
<file path=[Content_Types].xml><?xml version="1.0" encoding="utf-8"?>
<Types xmlns="http://schemas.openxmlformats.org/package/2006/content-types">
  <Override PartName="/xl/worksheets/sheet15.xml" ContentType="application/vnd.openxmlformats-officedocument.spreadsheetml.worksheet+xml"/>
  <Override PartName="/xl/embeddings/oleObject8.bin" ContentType="application/vnd.openxmlformats-officedocument.oleObject"/>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Default Extension="emf" ContentType="image/x-emf"/>
  <Default Extension="wmf" ContentType="image/x-wmf"/>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embeddings/oleObject7.bin" ContentType="application/vnd.openxmlformats-officedocument.oleObject"/>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codeName="ThisWorkbook" defaultThemeVersion="124226"/>
  <bookViews>
    <workbookView xWindow="768" yWindow="168" windowWidth="16488" windowHeight="7740" tabRatio="906"/>
  </bookViews>
  <sheets>
    <sheet name="Initial Data" sheetId="4" r:id="rId1"/>
    <sheet name="Results" sheetId="29" r:id="rId2"/>
    <sheet name="Baseline Emissions" sheetId="2" r:id="rId3"/>
    <sheet name="Project Emissions" sheetId="5" r:id="rId4"/>
    <sheet name="Pumps Data" sheetId="25" r:id="rId5"/>
    <sheet name="Emissions Reductions" sheetId="9" r:id="rId6"/>
    <sheet name="Baseline_NaturalGas" sheetId="22" r:id="rId7"/>
    <sheet name="BL Sensitivity Analysis" sheetId="40" r:id="rId8"/>
    <sheet name="BreakEven Analysis" sheetId="37" r:id="rId9"/>
    <sheet name="WHRS_Project Scenario" sheetId="23" r:id="rId10"/>
    <sheet name="WHRS Sensitivity Analysis" sheetId="36" r:id="rId11"/>
    <sheet name="Elec Gene 2006" sheetId="32" r:id="rId12"/>
    <sheet name="Elec Gene 2007" sheetId="33" r:id="rId13"/>
    <sheet name="Elec Gene jan-jun 2008" sheetId="34" r:id="rId14"/>
    <sheet name="Elec Gene jul-dec 2008" sheetId="35" r:id="rId15"/>
    <sheet name="Hoja1" sheetId="38" r:id="rId16"/>
  </sheets>
  <externalReferences>
    <externalReference r:id="rId17"/>
    <externalReference r:id="rId18"/>
  </externalReferences>
  <definedNames>
    <definedName name="ACUMUL1">[1]acumul!$B$2:$AL$187</definedName>
    <definedName name="_xlnm.Extract" localSheetId="1">Results!$AT$20:$BP$20</definedName>
    <definedName name="_xlnm.Print_Area" localSheetId="6">Baseline_NaturalGas!$A$1:$T$51</definedName>
    <definedName name="_xlnm.Print_Area" localSheetId="7">#REF!</definedName>
    <definedName name="_xlnm.Print_Area" localSheetId="8">#REF!</definedName>
    <definedName name="_xlnm.Print_Area" localSheetId="1">#REF!</definedName>
    <definedName name="_xlnm.Print_Area" localSheetId="9">'WHRS_Project Scenario'!$A$1:$T$47</definedName>
    <definedName name="_xlnm.Print_Area">#REF!</definedName>
    <definedName name="efe" localSheetId="7">#REF!</definedName>
    <definedName name="efe" localSheetId="8">#REF!</definedName>
    <definedName name="efe" localSheetId="1">#REF!</definedName>
    <definedName name="efe">#REF!</definedName>
    <definedName name="F_volume" localSheetId="7">#REF!</definedName>
    <definedName name="F_volume" localSheetId="8">#REF!</definedName>
    <definedName name="F_volume" localSheetId="1">#REF!</definedName>
    <definedName name="F_volume">#REF!</definedName>
    <definedName name="GWPch4" localSheetId="7">#REF!</definedName>
    <definedName name="GWPch4" localSheetId="8">#REF!</definedName>
    <definedName name="GWPch4" localSheetId="1">#REF!</definedName>
    <definedName name="GWPch4">#REF!</definedName>
    <definedName name="modelcorrection" localSheetId="7">#REF!</definedName>
    <definedName name="modelcorrection" localSheetId="8">#REF!</definedName>
    <definedName name="modelcorrection" localSheetId="1">#REF!</definedName>
    <definedName name="modelcorrection">#REF!</definedName>
    <definedName name="OX" localSheetId="7">#REF!</definedName>
    <definedName name="OX" localSheetId="8">#REF!</definedName>
    <definedName name="OX" localSheetId="1">#REF!</definedName>
    <definedName name="OX">#REF!</definedName>
    <definedName name="ptto" localSheetId="7">#REF!</definedName>
    <definedName name="ptto" localSheetId="8">#REF!</definedName>
    <definedName name="ptto" localSheetId="1">#REF!</definedName>
    <definedName name="ptto">#REF!</definedName>
    <definedName name="ptto2" localSheetId="7">#REF!</definedName>
    <definedName name="ptto2" localSheetId="8">#REF!</definedName>
    <definedName name="ptto2" localSheetId="1">#REF!</definedName>
    <definedName name="ptto2">#REF!</definedName>
    <definedName name="solver_adj" localSheetId="2" hidden="1">'Baseline Emissions'!#REF!</definedName>
    <definedName name="solver_adj" localSheetId="6" hidden="1">Baseline_NaturalGas!#REF!</definedName>
    <definedName name="solver_adj" localSheetId="3" hidden="1">'Project Emissions'!$E$21</definedName>
    <definedName name="solver_adj" localSheetId="9" hidden="1">'WHRS_Project Scenario'!#REF!</definedName>
    <definedName name="solver_cvg" localSheetId="2" hidden="1">0.0001</definedName>
    <definedName name="solver_cvg" localSheetId="6" hidden="1">0.0001</definedName>
    <definedName name="solver_cvg" localSheetId="3" hidden="1">0.0001</definedName>
    <definedName name="solver_cvg" localSheetId="9" hidden="1">0.0001</definedName>
    <definedName name="solver_drv" localSheetId="2" hidden="1">1</definedName>
    <definedName name="solver_drv" localSheetId="6" hidden="1">1</definedName>
    <definedName name="solver_drv" localSheetId="3" hidden="1">1</definedName>
    <definedName name="solver_drv" localSheetId="9" hidden="1">1</definedName>
    <definedName name="solver_est" localSheetId="2" hidden="1">1</definedName>
    <definedName name="solver_est" localSheetId="6" hidden="1">1</definedName>
    <definedName name="solver_est" localSheetId="3" hidden="1">1</definedName>
    <definedName name="solver_est" localSheetId="9" hidden="1">1</definedName>
    <definedName name="solver_itr" localSheetId="2" hidden="1">100</definedName>
    <definedName name="solver_itr" localSheetId="6" hidden="1">100</definedName>
    <definedName name="solver_itr" localSheetId="3" hidden="1">100</definedName>
    <definedName name="solver_itr" localSheetId="9" hidden="1">100</definedName>
    <definedName name="solver_lhs1" localSheetId="2" hidden="1">'Baseline Emissions'!#REF!</definedName>
    <definedName name="solver_lhs1" localSheetId="3" hidden="1">'Project Emissions'!#REF!</definedName>
    <definedName name="solver_lhs2" localSheetId="2" hidden="1">'Baseline Emissions'!#REF!</definedName>
    <definedName name="solver_lhs2" localSheetId="3" hidden="1">'Project Emissions'!#REF!</definedName>
    <definedName name="solver_lhs3" localSheetId="2" hidden="1">'Baseline Emissions'!#REF!</definedName>
    <definedName name="solver_lhs3" localSheetId="3" hidden="1">'Project Emissions'!#REF!</definedName>
    <definedName name="solver_lin" localSheetId="2" hidden="1">2</definedName>
    <definedName name="solver_lin" localSheetId="6" hidden="1">2</definedName>
    <definedName name="solver_lin" localSheetId="3" hidden="1">2</definedName>
    <definedName name="solver_lin" localSheetId="9" hidden="1">2</definedName>
    <definedName name="solver_neg" localSheetId="2" hidden="1">2</definedName>
    <definedName name="solver_neg" localSheetId="6" hidden="1">2</definedName>
    <definedName name="solver_neg" localSheetId="3" hidden="1">2</definedName>
    <definedName name="solver_neg" localSheetId="9" hidden="1">2</definedName>
    <definedName name="solver_num" localSheetId="2" hidden="1">0</definedName>
    <definedName name="solver_num" localSheetId="6" hidden="1">0</definedName>
    <definedName name="solver_num" localSheetId="3" hidden="1">0</definedName>
    <definedName name="solver_num" localSheetId="9" hidden="1">0</definedName>
    <definedName name="solver_nwt" localSheetId="2" hidden="1">1</definedName>
    <definedName name="solver_nwt" localSheetId="6" hidden="1">1</definedName>
    <definedName name="solver_nwt" localSheetId="3" hidden="1">1</definedName>
    <definedName name="solver_nwt" localSheetId="9" hidden="1">1</definedName>
    <definedName name="solver_opt" localSheetId="2" hidden="1">'Baseline Emissions'!#REF!</definedName>
    <definedName name="solver_opt" localSheetId="6" hidden="1">Baseline_NaturalGas!$C$51</definedName>
    <definedName name="solver_opt" localSheetId="3" hidden="1">'Project Emissions'!#REF!</definedName>
    <definedName name="solver_opt" localSheetId="9" hidden="1">'WHRS_Project Scenario'!$C$47</definedName>
    <definedName name="solver_pre" localSheetId="2" hidden="1">0.000001</definedName>
    <definedName name="solver_pre" localSheetId="6" hidden="1">0.000001</definedName>
    <definedName name="solver_pre" localSheetId="3" hidden="1">0.000001</definedName>
    <definedName name="solver_pre" localSheetId="9" hidden="1">0.000001</definedName>
    <definedName name="solver_rel1" localSheetId="2" hidden="1">1</definedName>
    <definedName name="solver_rel1" localSheetId="3" hidden="1">1</definedName>
    <definedName name="solver_rel2" localSheetId="2" hidden="1">1</definedName>
    <definedName name="solver_rel2" localSheetId="3" hidden="1">1</definedName>
    <definedName name="solver_rel3" localSheetId="2" hidden="1">1</definedName>
    <definedName name="solver_rel3" localSheetId="3" hidden="1">1</definedName>
    <definedName name="solver_rhs1" localSheetId="2" hidden="1">1</definedName>
    <definedName name="solver_rhs1" localSheetId="3" hidden="1">1</definedName>
    <definedName name="solver_rhs2" localSheetId="2" hidden="1">1</definedName>
    <definedName name="solver_rhs2" localSheetId="3" hidden="1">1</definedName>
    <definedName name="solver_rhs3" localSheetId="2" hidden="1">1</definedName>
    <definedName name="solver_rhs3" localSheetId="3" hidden="1">1</definedName>
    <definedName name="solver_scl" localSheetId="2" hidden="1">2</definedName>
    <definedName name="solver_scl" localSheetId="6" hidden="1">2</definedName>
    <definedName name="solver_scl" localSheetId="3" hidden="1">2</definedName>
    <definedName name="solver_scl" localSheetId="9" hidden="1">2</definedName>
    <definedName name="solver_sho" localSheetId="2" hidden="1">2</definedName>
    <definedName name="solver_sho" localSheetId="6" hidden="1">2</definedName>
    <definedName name="solver_sho" localSheetId="3" hidden="1">2</definedName>
    <definedName name="solver_sho" localSheetId="9" hidden="1">2</definedName>
    <definedName name="solver_tim" localSheetId="2" hidden="1">100</definedName>
    <definedName name="solver_tim" localSheetId="6" hidden="1">100</definedName>
    <definedName name="solver_tim" localSheetId="3" hidden="1">100</definedName>
    <definedName name="solver_tim" localSheetId="9" hidden="1">100</definedName>
    <definedName name="solver_tol" localSheetId="2" hidden="1">0.05</definedName>
    <definedName name="solver_tol" localSheetId="6" hidden="1">0.05</definedName>
    <definedName name="solver_tol" localSheetId="3" hidden="1">0.05</definedName>
    <definedName name="solver_tol" localSheetId="9" hidden="1">0.05</definedName>
    <definedName name="solver_typ" localSheetId="2" hidden="1">3</definedName>
    <definedName name="solver_typ" localSheetId="6" hidden="1">3</definedName>
    <definedName name="solver_typ" localSheetId="3" hidden="1">3</definedName>
    <definedName name="solver_typ" localSheetId="9" hidden="1">3</definedName>
    <definedName name="solver_val" localSheetId="2" hidden="1">12000</definedName>
    <definedName name="solver_val" localSheetId="6" hidden="1">0.64</definedName>
    <definedName name="solver_val" localSheetId="3" hidden="1">4.47</definedName>
    <definedName name="solver_val" localSheetId="9" hidden="1">0.64</definedName>
    <definedName name="_xlnm.Print_Titles" localSheetId="11">[2]Sheet1!$A$1:$IV$11</definedName>
    <definedName name="_xlnm.Print_Titles" localSheetId="12">[2]Sheet1!$A$1:$IV$11</definedName>
    <definedName name="_xlnm.Print_Titles" localSheetId="13">'Elec Gene jan-jun 2008'!$1:$11</definedName>
    <definedName name="_xlnm.Print_Titles" localSheetId="14">'Elec Gene jul-dec 2008'!$1:$11</definedName>
  </definedNames>
  <calcPr calcId="125725"/>
</workbook>
</file>

<file path=xl/calcChain.xml><?xml version="1.0" encoding="utf-8"?>
<calcChain xmlns="http://schemas.openxmlformats.org/spreadsheetml/2006/main">
  <c r="D26" i="23"/>
  <c r="C85" i="4"/>
  <c r="D25" i="23"/>
  <c r="C81" i="4"/>
  <c r="C7" i="23" l="1"/>
  <c r="C3"/>
  <c r="C6"/>
  <c r="D4" i="22"/>
  <c r="B13" i="37"/>
  <c r="B12"/>
  <c r="B11"/>
  <c r="J27" i="22" l="1"/>
  <c r="K27" s="1"/>
  <c r="I27"/>
  <c r="G27"/>
  <c r="H27"/>
  <c r="F27"/>
  <c r="E27"/>
  <c r="D27"/>
  <c r="C72" i="4" l="1"/>
  <c r="C60"/>
  <c r="C1275" i="36" l="1"/>
  <c r="C1226"/>
  <c r="C1177"/>
  <c r="C1128"/>
  <c r="C1079"/>
  <c r="C1041"/>
  <c r="C1003"/>
  <c r="C965"/>
  <c r="C927"/>
  <c r="C889"/>
  <c r="C851"/>
  <c r="C813"/>
  <c r="C775"/>
  <c r="C737"/>
  <c r="C699"/>
  <c r="C661"/>
  <c r="C623"/>
  <c r="C585"/>
  <c r="C547"/>
  <c r="C509"/>
  <c r="C471"/>
  <c r="C433"/>
  <c r="C395"/>
  <c r="C357"/>
  <c r="C319"/>
  <c r="C281"/>
  <c r="C243"/>
  <c r="C205"/>
  <c r="C51" i="4" l="1"/>
  <c r="C18"/>
  <c r="C49"/>
  <c r="C50"/>
  <c r="C52"/>
  <c r="Q151" i="37"/>
  <c r="P151"/>
  <c r="O151"/>
  <c r="N151"/>
  <c r="M151"/>
  <c r="L151"/>
  <c r="K151"/>
  <c r="J151"/>
  <c r="I151"/>
  <c r="H151"/>
  <c r="G151"/>
  <c r="F151"/>
  <c r="E151"/>
  <c r="D151"/>
  <c r="C151"/>
  <c r="B151"/>
  <c r="Q150"/>
  <c r="P150"/>
  <c r="O150"/>
  <c r="N150"/>
  <c r="M150"/>
  <c r="B146"/>
  <c r="Q140"/>
  <c r="P140"/>
  <c r="O140"/>
  <c r="N140"/>
  <c r="M140"/>
  <c r="Q1330" i="40"/>
  <c r="P1330"/>
  <c r="O1330"/>
  <c r="N1330"/>
  <c r="M1330"/>
  <c r="L1330"/>
  <c r="K1330"/>
  <c r="J1330"/>
  <c r="I1330"/>
  <c r="H1330"/>
  <c r="G1330"/>
  <c r="F1330"/>
  <c r="E1330"/>
  <c r="D1330"/>
  <c r="C1330"/>
  <c r="B1330"/>
  <c r="Q1329"/>
  <c r="P1329"/>
  <c r="O1329"/>
  <c r="N1329"/>
  <c r="M1329"/>
  <c r="B1325"/>
  <c r="Q1319"/>
  <c r="P1319"/>
  <c r="O1319"/>
  <c r="N1319"/>
  <c r="M1319"/>
  <c r="B1309"/>
  <c r="Q1285"/>
  <c r="P1285"/>
  <c r="O1285"/>
  <c r="N1285"/>
  <c r="M1285"/>
  <c r="L1285"/>
  <c r="K1285"/>
  <c r="J1285"/>
  <c r="I1285"/>
  <c r="H1285"/>
  <c r="G1285"/>
  <c r="F1285"/>
  <c r="E1285"/>
  <c r="D1285"/>
  <c r="C1285"/>
  <c r="B1285"/>
  <c r="Q1284"/>
  <c r="P1284"/>
  <c r="O1284"/>
  <c r="N1284"/>
  <c r="M1284"/>
  <c r="B1280"/>
  <c r="Q1274"/>
  <c r="P1274"/>
  <c r="O1274"/>
  <c r="N1274"/>
  <c r="M1274"/>
  <c r="B1264"/>
  <c r="Q1240"/>
  <c r="P1240"/>
  <c r="O1240"/>
  <c r="N1240"/>
  <c r="M1240"/>
  <c r="L1240"/>
  <c r="K1240"/>
  <c r="J1240"/>
  <c r="I1240"/>
  <c r="H1240"/>
  <c r="G1240"/>
  <c r="F1240"/>
  <c r="E1240"/>
  <c r="D1240"/>
  <c r="C1240"/>
  <c r="B1240"/>
  <c r="Q1239"/>
  <c r="P1239"/>
  <c r="O1239"/>
  <c r="N1239"/>
  <c r="M1239"/>
  <c r="B1235"/>
  <c r="Q1229"/>
  <c r="P1229"/>
  <c r="O1229"/>
  <c r="N1229"/>
  <c r="M1229"/>
  <c r="B1219"/>
  <c r="Q1195"/>
  <c r="P1195"/>
  <c r="O1195"/>
  <c r="N1195"/>
  <c r="M1195"/>
  <c r="L1195"/>
  <c r="K1195"/>
  <c r="J1195"/>
  <c r="I1195"/>
  <c r="H1195"/>
  <c r="G1195"/>
  <c r="F1195"/>
  <c r="E1195"/>
  <c r="D1195"/>
  <c r="C1195"/>
  <c r="B1195"/>
  <c r="Q1194"/>
  <c r="P1194"/>
  <c r="O1194"/>
  <c r="N1194"/>
  <c r="M1194"/>
  <c r="B1190"/>
  <c r="Q1184"/>
  <c r="P1184"/>
  <c r="O1184"/>
  <c r="N1184"/>
  <c r="M1184"/>
  <c r="Q1150"/>
  <c r="P1150"/>
  <c r="O1150"/>
  <c r="N1150"/>
  <c r="M1150"/>
  <c r="L1150"/>
  <c r="K1150"/>
  <c r="J1150"/>
  <c r="I1150"/>
  <c r="H1150"/>
  <c r="G1150"/>
  <c r="F1150"/>
  <c r="E1150"/>
  <c r="D1150"/>
  <c r="C1150"/>
  <c r="B1150"/>
  <c r="Q1149"/>
  <c r="P1149"/>
  <c r="O1149"/>
  <c r="N1149"/>
  <c r="M1149"/>
  <c r="B1145"/>
  <c r="Q1139"/>
  <c r="P1139"/>
  <c r="O1139"/>
  <c r="N1139"/>
  <c r="M1139"/>
  <c r="Q1105"/>
  <c r="P1105"/>
  <c r="O1105"/>
  <c r="N1105"/>
  <c r="M1105"/>
  <c r="L1105"/>
  <c r="K1105"/>
  <c r="J1105"/>
  <c r="I1105"/>
  <c r="H1105"/>
  <c r="G1105"/>
  <c r="F1105"/>
  <c r="E1105"/>
  <c r="D1105"/>
  <c r="C1105"/>
  <c r="B1105"/>
  <c r="Q1104"/>
  <c r="P1104"/>
  <c r="O1104"/>
  <c r="N1104"/>
  <c r="M1104"/>
  <c r="Q1094"/>
  <c r="P1094"/>
  <c r="O1094"/>
  <c r="N1094"/>
  <c r="M1094"/>
  <c r="Q1060"/>
  <c r="P1060"/>
  <c r="O1060"/>
  <c r="N1060"/>
  <c r="M1060"/>
  <c r="L1060"/>
  <c r="K1060"/>
  <c r="J1060"/>
  <c r="I1060"/>
  <c r="H1060"/>
  <c r="G1060"/>
  <c r="F1060"/>
  <c r="E1060"/>
  <c r="D1060"/>
  <c r="C1060"/>
  <c r="B1060"/>
  <c r="Q1059"/>
  <c r="P1059"/>
  <c r="O1059"/>
  <c r="N1059"/>
  <c r="M1059"/>
  <c r="Q1049"/>
  <c r="P1049"/>
  <c r="O1049"/>
  <c r="N1049"/>
  <c r="M1049"/>
  <c r="Q1015"/>
  <c r="P1015"/>
  <c r="O1015"/>
  <c r="N1015"/>
  <c r="M1015"/>
  <c r="L1015"/>
  <c r="K1015"/>
  <c r="J1015"/>
  <c r="I1015"/>
  <c r="H1015"/>
  <c r="G1015"/>
  <c r="F1015"/>
  <c r="E1015"/>
  <c r="D1015"/>
  <c r="C1015"/>
  <c r="B1015"/>
  <c r="Q1014"/>
  <c r="P1014"/>
  <c r="O1014"/>
  <c r="N1014"/>
  <c r="M1014"/>
  <c r="Q1004"/>
  <c r="P1004"/>
  <c r="O1004"/>
  <c r="N1004"/>
  <c r="M1004"/>
  <c r="Q970"/>
  <c r="P970"/>
  <c r="O970"/>
  <c r="N970"/>
  <c r="M970"/>
  <c r="L970"/>
  <c r="K970"/>
  <c r="J970"/>
  <c r="I970"/>
  <c r="H970"/>
  <c r="G970"/>
  <c r="F970"/>
  <c r="E970"/>
  <c r="D970"/>
  <c r="C970"/>
  <c r="B970"/>
  <c r="Q969"/>
  <c r="P969"/>
  <c r="O969"/>
  <c r="N969"/>
  <c r="M969"/>
  <c r="Q959"/>
  <c r="P959"/>
  <c r="O959"/>
  <c r="N959"/>
  <c r="M959"/>
  <c r="Q925"/>
  <c r="P925"/>
  <c r="O925"/>
  <c r="N925"/>
  <c r="M925"/>
  <c r="L925"/>
  <c r="K925"/>
  <c r="J925"/>
  <c r="I925"/>
  <c r="H925"/>
  <c r="G925"/>
  <c r="F925"/>
  <c r="E925"/>
  <c r="D925"/>
  <c r="C925"/>
  <c r="B925"/>
  <c r="Q924"/>
  <c r="P924"/>
  <c r="O924"/>
  <c r="N924"/>
  <c r="M924"/>
  <c r="Q914"/>
  <c r="P914"/>
  <c r="O914"/>
  <c r="N914"/>
  <c r="M914"/>
  <c r="K890"/>
  <c r="Q880"/>
  <c r="P880"/>
  <c r="O880"/>
  <c r="N880"/>
  <c r="M880"/>
  <c r="L880"/>
  <c r="K880"/>
  <c r="J880"/>
  <c r="I880"/>
  <c r="H880"/>
  <c r="G880"/>
  <c r="F880"/>
  <c r="E880"/>
  <c r="D880"/>
  <c r="C880"/>
  <c r="B880"/>
  <c r="Q879"/>
  <c r="P879"/>
  <c r="O879"/>
  <c r="N879"/>
  <c r="M879"/>
  <c r="Q869"/>
  <c r="P869"/>
  <c r="O869"/>
  <c r="N869"/>
  <c r="M869"/>
  <c r="Q835"/>
  <c r="P835"/>
  <c r="O835"/>
  <c r="N835"/>
  <c r="M835"/>
  <c r="L835"/>
  <c r="K835"/>
  <c r="J835"/>
  <c r="I835"/>
  <c r="H835"/>
  <c r="G835"/>
  <c r="F835"/>
  <c r="E835"/>
  <c r="D835"/>
  <c r="C835"/>
  <c r="B835"/>
  <c r="Q834"/>
  <c r="P834"/>
  <c r="O834"/>
  <c r="N834"/>
  <c r="M834"/>
  <c r="Q824"/>
  <c r="P824"/>
  <c r="O824"/>
  <c r="N824"/>
  <c r="M824"/>
  <c r="Q790"/>
  <c r="P790"/>
  <c r="O790"/>
  <c r="N790"/>
  <c r="M790"/>
  <c r="L790"/>
  <c r="K790"/>
  <c r="J790"/>
  <c r="I790"/>
  <c r="H790"/>
  <c r="G790"/>
  <c r="F790"/>
  <c r="E790"/>
  <c r="D790"/>
  <c r="C790"/>
  <c r="B790"/>
  <c r="Q789"/>
  <c r="P789"/>
  <c r="O789"/>
  <c r="N789"/>
  <c r="M789"/>
  <c r="Q779"/>
  <c r="P779"/>
  <c r="O779"/>
  <c r="N779"/>
  <c r="M779"/>
  <c r="Q745"/>
  <c r="P745"/>
  <c r="O745"/>
  <c r="N745"/>
  <c r="M745"/>
  <c r="L745"/>
  <c r="K745"/>
  <c r="J745"/>
  <c r="I745"/>
  <c r="H745"/>
  <c r="G745"/>
  <c r="F745"/>
  <c r="E745"/>
  <c r="D745"/>
  <c r="C745"/>
  <c r="B745"/>
  <c r="Q744"/>
  <c r="P744"/>
  <c r="O744"/>
  <c r="N744"/>
  <c r="M744"/>
  <c r="Q734"/>
  <c r="P734"/>
  <c r="O734"/>
  <c r="N734"/>
  <c r="M734"/>
  <c r="Q700"/>
  <c r="P700"/>
  <c r="O700"/>
  <c r="N700"/>
  <c r="M700"/>
  <c r="L700"/>
  <c r="K700"/>
  <c r="J700"/>
  <c r="I700"/>
  <c r="H700"/>
  <c r="G700"/>
  <c r="F700"/>
  <c r="E700"/>
  <c r="D700"/>
  <c r="C700"/>
  <c r="B700"/>
  <c r="Q699"/>
  <c r="P699"/>
  <c r="O699"/>
  <c r="N699"/>
  <c r="M699"/>
  <c r="Q689"/>
  <c r="P689"/>
  <c r="O689"/>
  <c r="N689"/>
  <c r="M689"/>
  <c r="Q655"/>
  <c r="P655"/>
  <c r="O655"/>
  <c r="N655"/>
  <c r="M655"/>
  <c r="L655"/>
  <c r="K655"/>
  <c r="J655"/>
  <c r="I655"/>
  <c r="H655"/>
  <c r="G655"/>
  <c r="F655"/>
  <c r="E655"/>
  <c r="D655"/>
  <c r="C655"/>
  <c r="B655"/>
  <c r="Q654"/>
  <c r="P654"/>
  <c r="O654"/>
  <c r="N654"/>
  <c r="M654"/>
  <c r="Q644"/>
  <c r="P644"/>
  <c r="O644"/>
  <c r="N644"/>
  <c r="M644"/>
  <c r="Q610"/>
  <c r="P610"/>
  <c r="O610"/>
  <c r="N610"/>
  <c r="M610"/>
  <c r="L610"/>
  <c r="K610"/>
  <c r="J610"/>
  <c r="I610"/>
  <c r="H610"/>
  <c r="G610"/>
  <c r="F610"/>
  <c r="E610"/>
  <c r="D610"/>
  <c r="C610"/>
  <c r="B610"/>
  <c r="Q609"/>
  <c r="P609"/>
  <c r="O609"/>
  <c r="N609"/>
  <c r="M609"/>
  <c r="Q599"/>
  <c r="P599"/>
  <c r="O599"/>
  <c r="N599"/>
  <c r="M599"/>
  <c r="Q565"/>
  <c r="P565"/>
  <c r="O565"/>
  <c r="N565"/>
  <c r="M565"/>
  <c r="L565"/>
  <c r="K565"/>
  <c r="J565"/>
  <c r="I565"/>
  <c r="H565"/>
  <c r="G565"/>
  <c r="F565"/>
  <c r="E565"/>
  <c r="D565"/>
  <c r="C565"/>
  <c r="B565"/>
  <c r="Q564"/>
  <c r="P564"/>
  <c r="O564"/>
  <c r="N564"/>
  <c r="M564"/>
  <c r="Q554"/>
  <c r="P554"/>
  <c r="O554"/>
  <c r="N554"/>
  <c r="M554"/>
  <c r="Q520"/>
  <c r="P520"/>
  <c r="O520"/>
  <c r="N520"/>
  <c r="M520"/>
  <c r="L520"/>
  <c r="K520"/>
  <c r="J520"/>
  <c r="I520"/>
  <c r="H520"/>
  <c r="G520"/>
  <c r="F520"/>
  <c r="E520"/>
  <c r="D520"/>
  <c r="C520"/>
  <c r="B520"/>
  <c r="Q519"/>
  <c r="P519"/>
  <c r="O519"/>
  <c r="N519"/>
  <c r="M519"/>
  <c r="Q509"/>
  <c r="P509"/>
  <c r="O509"/>
  <c r="N509"/>
  <c r="M509"/>
  <c r="Q498"/>
  <c r="P498"/>
  <c r="O498"/>
  <c r="N498"/>
  <c r="M498"/>
  <c r="L498"/>
  <c r="K498"/>
  <c r="J498"/>
  <c r="I498"/>
  <c r="H498"/>
  <c r="G498"/>
  <c r="F498"/>
  <c r="E498"/>
  <c r="D498"/>
  <c r="Q475"/>
  <c r="P475"/>
  <c r="O475"/>
  <c r="N475"/>
  <c r="M475"/>
  <c r="L475"/>
  <c r="K475"/>
  <c r="J475"/>
  <c r="I475"/>
  <c r="H475"/>
  <c r="G475"/>
  <c r="F475"/>
  <c r="E475"/>
  <c r="D475"/>
  <c r="C475"/>
  <c r="B475"/>
  <c r="Q474"/>
  <c r="P474"/>
  <c r="O474"/>
  <c r="N474"/>
  <c r="M474"/>
  <c r="Q464"/>
  <c r="P464"/>
  <c r="O464"/>
  <c r="N464"/>
  <c r="M464"/>
  <c r="Q430"/>
  <c r="P430"/>
  <c r="O430"/>
  <c r="N430"/>
  <c r="M430"/>
  <c r="L430"/>
  <c r="K430"/>
  <c r="J430"/>
  <c r="I430"/>
  <c r="H430"/>
  <c r="G430"/>
  <c r="F430"/>
  <c r="E430"/>
  <c r="D430"/>
  <c r="C430"/>
  <c r="B430"/>
  <c r="Q429"/>
  <c r="P429"/>
  <c r="O429"/>
  <c r="N429"/>
  <c r="M429"/>
  <c r="Q419"/>
  <c r="P419"/>
  <c r="O419"/>
  <c r="N419"/>
  <c r="M419"/>
  <c r="Q385"/>
  <c r="P385"/>
  <c r="O385"/>
  <c r="N385"/>
  <c r="M385"/>
  <c r="L385"/>
  <c r="K385"/>
  <c r="J385"/>
  <c r="I385"/>
  <c r="H385"/>
  <c r="G385"/>
  <c r="F385"/>
  <c r="E385"/>
  <c r="D385"/>
  <c r="C385"/>
  <c r="B385"/>
  <c r="Q384"/>
  <c r="P384"/>
  <c r="O384"/>
  <c r="N384"/>
  <c r="M384"/>
  <c r="Q374"/>
  <c r="P374"/>
  <c r="O374"/>
  <c r="N374"/>
  <c r="M374"/>
  <c r="Q340"/>
  <c r="P340"/>
  <c r="O340"/>
  <c r="N340"/>
  <c r="M340"/>
  <c r="L340"/>
  <c r="K340"/>
  <c r="J340"/>
  <c r="I340"/>
  <c r="H340"/>
  <c r="G340"/>
  <c r="F340"/>
  <c r="E340"/>
  <c r="D340"/>
  <c r="C340"/>
  <c r="B340"/>
  <c r="Q339"/>
  <c r="P339"/>
  <c r="O339"/>
  <c r="N339"/>
  <c r="M339"/>
  <c r="Q329"/>
  <c r="P329"/>
  <c r="O329"/>
  <c r="N329"/>
  <c r="M329"/>
  <c r="Q295"/>
  <c r="P295"/>
  <c r="O295"/>
  <c r="N295"/>
  <c r="M295"/>
  <c r="L295"/>
  <c r="K295"/>
  <c r="J295"/>
  <c r="I295"/>
  <c r="H295"/>
  <c r="G295"/>
  <c r="F295"/>
  <c r="E295"/>
  <c r="D295"/>
  <c r="C295"/>
  <c r="B295"/>
  <c r="Q294"/>
  <c r="P294"/>
  <c r="O294"/>
  <c r="N294"/>
  <c r="M294"/>
  <c r="Q284"/>
  <c r="P284"/>
  <c r="O284"/>
  <c r="N284"/>
  <c r="M284"/>
  <c r="Q250"/>
  <c r="P250"/>
  <c r="O250"/>
  <c r="N250"/>
  <c r="M250"/>
  <c r="L250"/>
  <c r="K250"/>
  <c r="J250"/>
  <c r="I250"/>
  <c r="H250"/>
  <c r="G250"/>
  <c r="F250"/>
  <c r="E250"/>
  <c r="D250"/>
  <c r="C250"/>
  <c r="B250"/>
  <c r="Q249"/>
  <c r="P249"/>
  <c r="O249"/>
  <c r="N249"/>
  <c r="M249"/>
  <c r="Q239"/>
  <c r="P239"/>
  <c r="O239"/>
  <c r="N239"/>
  <c r="M239"/>
  <c r="Q205"/>
  <c r="P205"/>
  <c r="O205"/>
  <c r="N205"/>
  <c r="M205"/>
  <c r="L205"/>
  <c r="K205"/>
  <c r="J205"/>
  <c r="I205"/>
  <c r="H205"/>
  <c r="G205"/>
  <c r="F205"/>
  <c r="E205"/>
  <c r="D205"/>
  <c r="C205"/>
  <c r="B205"/>
  <c r="Q204"/>
  <c r="P204"/>
  <c r="O204"/>
  <c r="N204"/>
  <c r="M204"/>
  <c r="Q194"/>
  <c r="P194"/>
  <c r="O194"/>
  <c r="N194"/>
  <c r="M194"/>
  <c r="Q160"/>
  <c r="P160"/>
  <c r="O160"/>
  <c r="N160"/>
  <c r="M160"/>
  <c r="L160"/>
  <c r="K160"/>
  <c r="J160"/>
  <c r="I160"/>
  <c r="H160"/>
  <c r="G160"/>
  <c r="F160"/>
  <c r="E160"/>
  <c r="D160"/>
  <c r="C160"/>
  <c r="B160"/>
  <c r="Q159"/>
  <c r="P159"/>
  <c r="O159"/>
  <c r="N159"/>
  <c r="M159"/>
  <c r="Q149"/>
  <c r="P149"/>
  <c r="O149"/>
  <c r="N149"/>
  <c r="M149"/>
  <c r="Q115"/>
  <c r="P115"/>
  <c r="O115"/>
  <c r="N115"/>
  <c r="M115"/>
  <c r="L115"/>
  <c r="K115"/>
  <c r="J115"/>
  <c r="I115"/>
  <c r="H115"/>
  <c r="G115"/>
  <c r="F115"/>
  <c r="E115"/>
  <c r="D115"/>
  <c r="C115"/>
  <c r="B115"/>
  <c r="Q114"/>
  <c r="P114"/>
  <c r="O114"/>
  <c r="N114"/>
  <c r="M114"/>
  <c r="Q104"/>
  <c r="P104"/>
  <c r="O104"/>
  <c r="N104"/>
  <c r="M104"/>
  <c r="P70"/>
  <c r="O70"/>
  <c r="N70"/>
  <c r="M70"/>
  <c r="K70"/>
  <c r="J70"/>
  <c r="I70"/>
  <c r="H70"/>
  <c r="G70"/>
  <c r="F70"/>
  <c r="E70"/>
  <c r="D70"/>
  <c r="C70"/>
  <c r="Q69"/>
  <c r="P69"/>
  <c r="O69"/>
  <c r="N69"/>
  <c r="M69"/>
  <c r="Q59"/>
  <c r="P59"/>
  <c r="O59"/>
  <c r="N59"/>
  <c r="M59"/>
  <c r="K710" l="1"/>
  <c r="C845"/>
  <c r="D575"/>
  <c r="C755"/>
  <c r="L620"/>
  <c r="K800"/>
  <c r="D665"/>
  <c r="J935"/>
  <c r="P575"/>
  <c r="H620"/>
  <c r="P665"/>
  <c r="G710"/>
  <c r="O755"/>
  <c r="G800"/>
  <c r="O845"/>
  <c r="G890"/>
  <c r="F935"/>
  <c r="L575"/>
  <c r="D620"/>
  <c r="L665"/>
  <c r="C710"/>
  <c r="K755"/>
  <c r="C800"/>
  <c r="K845"/>
  <c r="C890"/>
  <c r="N935"/>
  <c r="H575"/>
  <c r="P620"/>
  <c r="H665"/>
  <c r="O710"/>
  <c r="G755"/>
  <c r="O800"/>
  <c r="G845"/>
  <c r="O890"/>
  <c r="D11" i="22"/>
  <c r="C1205" i="40" s="1"/>
  <c r="C575"/>
  <c r="G575"/>
  <c r="K575"/>
  <c r="O575"/>
  <c r="C620"/>
  <c r="G620"/>
  <c r="K620"/>
  <c r="O620"/>
  <c r="C665"/>
  <c r="G665"/>
  <c r="K665"/>
  <c r="O665"/>
  <c r="F710"/>
  <c r="J710"/>
  <c r="N710"/>
  <c r="F755"/>
  <c r="J755"/>
  <c r="N755"/>
  <c r="F800"/>
  <c r="J800"/>
  <c r="N800"/>
  <c r="F845"/>
  <c r="J845"/>
  <c r="N845"/>
  <c r="F890"/>
  <c r="J890"/>
  <c r="N890"/>
  <c r="E935"/>
  <c r="I935"/>
  <c r="M935"/>
  <c r="Q935"/>
  <c r="F575"/>
  <c r="J575"/>
  <c r="N575"/>
  <c r="F620"/>
  <c r="J620"/>
  <c r="N620"/>
  <c r="F665"/>
  <c r="J665"/>
  <c r="N665"/>
  <c r="E710"/>
  <c r="I710"/>
  <c r="M710"/>
  <c r="Q710"/>
  <c r="E755"/>
  <c r="I755"/>
  <c r="M755"/>
  <c r="Q755"/>
  <c r="E800"/>
  <c r="I800"/>
  <c r="M800"/>
  <c r="Q800"/>
  <c r="E845"/>
  <c r="I845"/>
  <c r="M845"/>
  <c r="Q845"/>
  <c r="E890"/>
  <c r="I890"/>
  <c r="M890"/>
  <c r="Q890"/>
  <c r="D935"/>
  <c r="H935"/>
  <c r="L935"/>
  <c r="P935"/>
  <c r="E575"/>
  <c r="I575"/>
  <c r="M575"/>
  <c r="Q575"/>
  <c r="E620"/>
  <c r="I620"/>
  <c r="M620"/>
  <c r="Q620"/>
  <c r="E665"/>
  <c r="I665"/>
  <c r="M665"/>
  <c r="Q665"/>
  <c r="D710"/>
  <c r="H710"/>
  <c r="L710"/>
  <c r="P710"/>
  <c r="D755"/>
  <c r="H755"/>
  <c r="L755"/>
  <c r="P755"/>
  <c r="D800"/>
  <c r="H800"/>
  <c r="L800"/>
  <c r="P800"/>
  <c r="D845"/>
  <c r="H845"/>
  <c r="L845"/>
  <c r="P845"/>
  <c r="D890"/>
  <c r="H890"/>
  <c r="L890"/>
  <c r="P890"/>
  <c r="C935"/>
  <c r="G935"/>
  <c r="K935"/>
  <c r="O935"/>
  <c r="C1250" l="1"/>
  <c r="C980"/>
  <c r="C1295"/>
  <c r="C1115"/>
  <c r="C485"/>
  <c r="C1070"/>
  <c r="C530"/>
  <c r="C305"/>
  <c r="C350"/>
  <c r="C215"/>
  <c r="C395"/>
  <c r="C125"/>
  <c r="C80"/>
  <c r="C1025"/>
  <c r="C260"/>
  <c r="C1160"/>
  <c r="C440"/>
  <c r="C170"/>
  <c r="C35"/>
  <c r="F15" i="9"/>
  <c r="F22"/>
  <c r="K452" i="35" l="1"/>
  <c r="AB452"/>
  <c r="AB453" s="1"/>
  <c r="K45" i="4" l="1"/>
  <c r="J45"/>
  <c r="I45"/>
  <c r="H45"/>
  <c r="G45"/>
  <c r="F45"/>
  <c r="E45"/>
  <c r="D45"/>
  <c r="C45"/>
  <c r="B45"/>
  <c r="D53" i="23"/>
  <c r="C1302" i="36"/>
  <c r="M1301"/>
  <c r="N1301"/>
  <c r="O1301"/>
  <c r="P1301"/>
  <c r="P1304" s="1"/>
  <c r="Q1301"/>
  <c r="Q1293"/>
  <c r="P1293"/>
  <c r="O1293"/>
  <c r="N1293"/>
  <c r="M1293"/>
  <c r="L1293"/>
  <c r="K1293"/>
  <c r="J1293"/>
  <c r="I1293"/>
  <c r="H1293"/>
  <c r="G1293"/>
  <c r="F1293"/>
  <c r="E1293"/>
  <c r="D1293"/>
  <c r="C1293"/>
  <c r="Q1292"/>
  <c r="P1292"/>
  <c r="O1292"/>
  <c r="N1292"/>
  <c r="M1292"/>
  <c r="Q1282"/>
  <c r="P1282"/>
  <c r="O1282"/>
  <c r="N1282"/>
  <c r="M1282"/>
  <c r="C1274"/>
  <c r="C1253"/>
  <c r="M1252"/>
  <c r="M1255" s="1"/>
  <c r="N1252"/>
  <c r="N1255" s="1"/>
  <c r="O1252"/>
  <c r="O1255" s="1"/>
  <c r="P1252"/>
  <c r="P1255" s="1"/>
  <c r="Q1252"/>
  <c r="Q1255" s="1"/>
  <c r="Q1244"/>
  <c r="P1244"/>
  <c r="O1244"/>
  <c r="N1244"/>
  <c r="M1244"/>
  <c r="L1244"/>
  <c r="K1244"/>
  <c r="J1244"/>
  <c r="I1244"/>
  <c r="H1244"/>
  <c r="G1244"/>
  <c r="F1244"/>
  <c r="E1244"/>
  <c r="D1244"/>
  <c r="C1244"/>
  <c r="Q1243"/>
  <c r="P1243"/>
  <c r="O1243"/>
  <c r="N1243"/>
  <c r="M1243"/>
  <c r="Q1233"/>
  <c r="P1233"/>
  <c r="O1233"/>
  <c r="N1233"/>
  <c r="M1233"/>
  <c r="C1225"/>
  <c r="M1203"/>
  <c r="N1203"/>
  <c r="O1203"/>
  <c r="P1203"/>
  <c r="Q1203"/>
  <c r="C1204"/>
  <c r="Q1195"/>
  <c r="P1195"/>
  <c r="O1195"/>
  <c r="N1195"/>
  <c r="M1195"/>
  <c r="L1195"/>
  <c r="K1195"/>
  <c r="J1195"/>
  <c r="I1195"/>
  <c r="H1195"/>
  <c r="G1195"/>
  <c r="F1195"/>
  <c r="E1195"/>
  <c r="D1195"/>
  <c r="C1195"/>
  <c r="Q1194"/>
  <c r="P1194"/>
  <c r="O1194"/>
  <c r="N1194"/>
  <c r="M1194"/>
  <c r="Q1184"/>
  <c r="P1184"/>
  <c r="O1184"/>
  <c r="N1184"/>
  <c r="M1184"/>
  <c r="C1176"/>
  <c r="C1155"/>
  <c r="M1154"/>
  <c r="N1154"/>
  <c r="O1154"/>
  <c r="P1154"/>
  <c r="P1157" s="1"/>
  <c r="Q1154"/>
  <c r="Q1146"/>
  <c r="P1146"/>
  <c r="O1146"/>
  <c r="N1146"/>
  <c r="M1146"/>
  <c r="L1146"/>
  <c r="K1146"/>
  <c r="J1146"/>
  <c r="I1146"/>
  <c r="H1146"/>
  <c r="G1146"/>
  <c r="F1146"/>
  <c r="E1146"/>
  <c r="D1146"/>
  <c r="C1146"/>
  <c r="Q1145"/>
  <c r="P1145"/>
  <c r="O1145"/>
  <c r="N1145"/>
  <c r="M1145"/>
  <c r="Q1135"/>
  <c r="P1135"/>
  <c r="O1135"/>
  <c r="N1135"/>
  <c r="M1135"/>
  <c r="C1127"/>
  <c r="C1106"/>
  <c r="M1105"/>
  <c r="N1105"/>
  <c r="O1105"/>
  <c r="P1105"/>
  <c r="P1108" s="1"/>
  <c r="Q1105"/>
  <c r="Q1097"/>
  <c r="P1097"/>
  <c r="O1097"/>
  <c r="N1097"/>
  <c r="M1097"/>
  <c r="L1097"/>
  <c r="K1097"/>
  <c r="J1097"/>
  <c r="I1097"/>
  <c r="H1097"/>
  <c r="G1097"/>
  <c r="F1097"/>
  <c r="E1097"/>
  <c r="D1097"/>
  <c r="C1097"/>
  <c r="Q1096"/>
  <c r="P1096"/>
  <c r="O1096"/>
  <c r="N1096"/>
  <c r="M1096"/>
  <c r="Q1086"/>
  <c r="P1086"/>
  <c r="O1086"/>
  <c r="N1086"/>
  <c r="M1086"/>
  <c r="C1078"/>
  <c r="E1266" i="40" l="1"/>
  <c r="E1176"/>
  <c r="E1311"/>
  <c r="E1131"/>
  <c r="E1041"/>
  <c r="E1086"/>
  <c r="E816"/>
  <c r="E1221"/>
  <c r="E681"/>
  <c r="E546"/>
  <c r="E456"/>
  <c r="E951"/>
  <c r="E906"/>
  <c r="E636"/>
  <c r="E321"/>
  <c r="E411"/>
  <c r="E276"/>
  <c r="E231"/>
  <c r="E996"/>
  <c r="E861"/>
  <c r="E501"/>
  <c r="E726"/>
  <c r="E186"/>
  <c r="E96"/>
  <c r="E771"/>
  <c r="E591"/>
  <c r="E51"/>
  <c r="E141"/>
  <c r="E366"/>
  <c r="Q1206" i="36"/>
  <c r="M1206"/>
  <c r="F1311" i="40"/>
  <c r="F1266"/>
  <c r="F1221"/>
  <c r="F951"/>
  <c r="F1176"/>
  <c r="F996"/>
  <c r="F1131"/>
  <c r="F1086"/>
  <c r="F1041"/>
  <c r="F771"/>
  <c r="F636"/>
  <c r="F681"/>
  <c r="F501"/>
  <c r="F411"/>
  <c r="F276"/>
  <c r="F231"/>
  <c r="F861"/>
  <c r="F456"/>
  <c r="F366"/>
  <c r="F186"/>
  <c r="F141"/>
  <c r="F546"/>
  <c r="F321"/>
  <c r="F816"/>
  <c r="F591"/>
  <c r="F906"/>
  <c r="F726"/>
  <c r="F96"/>
  <c r="F51"/>
  <c r="N1157" i="36"/>
  <c r="C1311" i="40"/>
  <c r="C1176"/>
  <c r="C1131"/>
  <c r="C1086"/>
  <c r="C996"/>
  <c r="C1266"/>
  <c r="C1221"/>
  <c r="C951"/>
  <c r="C906"/>
  <c r="C816"/>
  <c r="C771"/>
  <c r="C726"/>
  <c r="C1041"/>
  <c r="C861"/>
  <c r="C636"/>
  <c r="C366"/>
  <c r="C591"/>
  <c r="C186"/>
  <c r="C141"/>
  <c r="C546"/>
  <c r="C501"/>
  <c r="C96"/>
  <c r="C51"/>
  <c r="C231"/>
  <c r="C456"/>
  <c r="C681"/>
  <c r="C411"/>
  <c r="C321"/>
  <c r="C276"/>
  <c r="G1221"/>
  <c r="G1176"/>
  <c r="G1131"/>
  <c r="G1266"/>
  <c r="G1086"/>
  <c r="G996"/>
  <c r="G1311"/>
  <c r="G906"/>
  <c r="G861"/>
  <c r="G726"/>
  <c r="G636"/>
  <c r="G366"/>
  <c r="G1041"/>
  <c r="G681"/>
  <c r="G456"/>
  <c r="G411"/>
  <c r="G186"/>
  <c r="G141"/>
  <c r="G591"/>
  <c r="G96"/>
  <c r="G51"/>
  <c r="G321"/>
  <c r="G276"/>
  <c r="G771"/>
  <c r="G231"/>
  <c r="G546"/>
  <c r="G501"/>
  <c r="G951"/>
  <c r="G816"/>
  <c r="O1206" i="36"/>
  <c r="D1311" i="40"/>
  <c r="D1266"/>
  <c r="D1221"/>
  <c r="D1176"/>
  <c r="D906"/>
  <c r="D1131"/>
  <c r="D1041"/>
  <c r="D861"/>
  <c r="D1086"/>
  <c r="D951"/>
  <c r="D816"/>
  <c r="D771"/>
  <c r="D726"/>
  <c r="D591"/>
  <c r="D996"/>
  <c r="D546"/>
  <c r="D501"/>
  <c r="D681"/>
  <c r="D636"/>
  <c r="D321"/>
  <c r="D411"/>
  <c r="D276"/>
  <c r="D366"/>
  <c r="D141"/>
  <c r="D51"/>
  <c r="D231"/>
  <c r="D186"/>
  <c r="D96"/>
  <c r="D456"/>
  <c r="B1097" i="36"/>
  <c r="N1108"/>
  <c r="B1195"/>
  <c r="N1304"/>
  <c r="Q1108"/>
  <c r="O1108"/>
  <c r="M1108"/>
  <c r="B1146"/>
  <c r="Q1157"/>
  <c r="O1157"/>
  <c r="M1157"/>
  <c r="P1206"/>
  <c r="N1206"/>
  <c r="B1293"/>
  <c r="Q1304"/>
  <c r="O1304"/>
  <c r="M1304"/>
  <c r="B1244"/>
  <c r="C1083"/>
  <c r="C1279"/>
  <c r="C1230"/>
  <c r="C1181"/>
  <c r="C1132"/>
  <c r="B1054"/>
  <c r="Q1059"/>
  <c r="P1059"/>
  <c r="O1059"/>
  <c r="N1059"/>
  <c r="M1059"/>
  <c r="L1059"/>
  <c r="K1059"/>
  <c r="J1059"/>
  <c r="I1059"/>
  <c r="H1059"/>
  <c r="G1059"/>
  <c r="F1059"/>
  <c r="E1059"/>
  <c r="D1059"/>
  <c r="C1059"/>
  <c r="Q1058"/>
  <c r="P1058"/>
  <c r="O1058"/>
  <c r="N1058"/>
  <c r="M1058"/>
  <c r="Q1048"/>
  <c r="P1048"/>
  <c r="O1048"/>
  <c r="N1048"/>
  <c r="M1048"/>
  <c r="C1040"/>
  <c r="B1016"/>
  <c r="Q1021"/>
  <c r="P1021"/>
  <c r="O1021"/>
  <c r="N1021"/>
  <c r="M1021"/>
  <c r="L1021"/>
  <c r="K1021"/>
  <c r="J1021"/>
  <c r="I1021"/>
  <c r="H1021"/>
  <c r="G1021"/>
  <c r="F1021"/>
  <c r="E1021"/>
  <c r="D1021"/>
  <c r="C1021"/>
  <c r="Q1020"/>
  <c r="P1020"/>
  <c r="O1020"/>
  <c r="N1020"/>
  <c r="M1020"/>
  <c r="Q1010"/>
  <c r="P1010"/>
  <c r="O1010"/>
  <c r="N1010"/>
  <c r="M1010"/>
  <c r="C1002"/>
  <c r="B978"/>
  <c r="Q983"/>
  <c r="P983"/>
  <c r="O983"/>
  <c r="N983"/>
  <c r="M983"/>
  <c r="L983"/>
  <c r="K983"/>
  <c r="J983"/>
  <c r="I983"/>
  <c r="H983"/>
  <c r="G983"/>
  <c r="F983"/>
  <c r="E983"/>
  <c r="D983"/>
  <c r="C983"/>
  <c r="Q982"/>
  <c r="P982"/>
  <c r="O982"/>
  <c r="N982"/>
  <c r="M982"/>
  <c r="Q972"/>
  <c r="P972"/>
  <c r="O972"/>
  <c r="N972"/>
  <c r="M972"/>
  <c r="C964"/>
  <c r="C969" s="1"/>
  <c r="B940"/>
  <c r="I1311" i="40" l="1"/>
  <c r="I1221"/>
  <c r="I1176"/>
  <c r="I1041"/>
  <c r="I906"/>
  <c r="I816"/>
  <c r="I996"/>
  <c r="I951"/>
  <c r="I681"/>
  <c r="I861"/>
  <c r="I771"/>
  <c r="I546"/>
  <c r="I456"/>
  <c r="I1266"/>
  <c r="I591"/>
  <c r="I501"/>
  <c r="I321"/>
  <c r="I1131"/>
  <c r="I726"/>
  <c r="I276"/>
  <c r="I231"/>
  <c r="I1086"/>
  <c r="I96"/>
  <c r="I366"/>
  <c r="I186"/>
  <c r="I51"/>
  <c r="I141"/>
  <c r="I636"/>
  <c r="I411"/>
  <c r="H1311"/>
  <c r="H1266"/>
  <c r="H1221"/>
  <c r="H906"/>
  <c r="H1176"/>
  <c r="H996"/>
  <c r="H951"/>
  <c r="H861"/>
  <c r="H816"/>
  <c r="H771"/>
  <c r="H1086"/>
  <c r="H726"/>
  <c r="H591"/>
  <c r="H366"/>
  <c r="H546"/>
  <c r="H501"/>
  <c r="H321"/>
  <c r="H1131"/>
  <c r="H681"/>
  <c r="H411"/>
  <c r="H276"/>
  <c r="H51"/>
  <c r="H456"/>
  <c r="H231"/>
  <c r="H186"/>
  <c r="H96"/>
  <c r="H636"/>
  <c r="H141"/>
  <c r="H1041"/>
  <c r="B983" i="36"/>
  <c r="C1045"/>
  <c r="C1007"/>
  <c r="B1021"/>
  <c r="B1059"/>
  <c r="Q945" l="1"/>
  <c r="P945"/>
  <c r="O945"/>
  <c r="N945"/>
  <c r="M945"/>
  <c r="L945"/>
  <c r="K945"/>
  <c r="J945"/>
  <c r="I945"/>
  <c r="H945"/>
  <c r="G945"/>
  <c r="F945"/>
  <c r="E945"/>
  <c r="D945"/>
  <c r="C945"/>
  <c r="Q944"/>
  <c r="P944"/>
  <c r="O944"/>
  <c r="N944"/>
  <c r="M944"/>
  <c r="Q934"/>
  <c r="P934"/>
  <c r="O934"/>
  <c r="N934"/>
  <c r="M934"/>
  <c r="C926"/>
  <c r="B902"/>
  <c r="Q907"/>
  <c r="P907"/>
  <c r="O907"/>
  <c r="N907"/>
  <c r="M907"/>
  <c r="L907"/>
  <c r="K907"/>
  <c r="J907"/>
  <c r="I907"/>
  <c r="H907"/>
  <c r="G907"/>
  <c r="F907"/>
  <c r="E907"/>
  <c r="D907"/>
  <c r="C907"/>
  <c r="Q906"/>
  <c r="P906"/>
  <c r="O906"/>
  <c r="N906"/>
  <c r="M906"/>
  <c r="Q896"/>
  <c r="P896"/>
  <c r="O896"/>
  <c r="N896"/>
  <c r="M896"/>
  <c r="C888"/>
  <c r="Q869"/>
  <c r="P869"/>
  <c r="O869"/>
  <c r="N869"/>
  <c r="M869"/>
  <c r="L869"/>
  <c r="K869"/>
  <c r="J869"/>
  <c r="I869"/>
  <c r="H869"/>
  <c r="G869"/>
  <c r="F869"/>
  <c r="E869"/>
  <c r="D869"/>
  <c r="C869"/>
  <c r="Q868"/>
  <c r="P868"/>
  <c r="O868"/>
  <c r="N868"/>
  <c r="M868"/>
  <c r="Q858"/>
  <c r="P858"/>
  <c r="O858"/>
  <c r="N858"/>
  <c r="M858"/>
  <c r="C850"/>
  <c r="Q831"/>
  <c r="P831"/>
  <c r="O831"/>
  <c r="N831"/>
  <c r="M831"/>
  <c r="L831"/>
  <c r="K831"/>
  <c r="J831"/>
  <c r="I831"/>
  <c r="H831"/>
  <c r="G831"/>
  <c r="F831"/>
  <c r="E831"/>
  <c r="D831"/>
  <c r="C831"/>
  <c r="Q830"/>
  <c r="P830"/>
  <c r="O830"/>
  <c r="N830"/>
  <c r="M830"/>
  <c r="Q820"/>
  <c r="P820"/>
  <c r="O820"/>
  <c r="N820"/>
  <c r="M820"/>
  <c r="C812"/>
  <c r="B945" l="1"/>
  <c r="B869"/>
  <c r="C893"/>
  <c r="B831"/>
  <c r="C855"/>
  <c r="B907"/>
  <c r="C931"/>
  <c r="C817"/>
  <c r="M106" i="37"/>
  <c r="N106"/>
  <c r="O106"/>
  <c r="P106"/>
  <c r="Q106"/>
  <c r="Q107" l="1"/>
  <c r="P107"/>
  <c r="O107"/>
  <c r="N107"/>
  <c r="M107"/>
  <c r="L107"/>
  <c r="K107"/>
  <c r="J107"/>
  <c r="I107"/>
  <c r="H107"/>
  <c r="G107"/>
  <c r="F107"/>
  <c r="E107"/>
  <c r="D107"/>
  <c r="C107"/>
  <c r="B107"/>
  <c r="Q96"/>
  <c r="P96"/>
  <c r="O96"/>
  <c r="N96"/>
  <c r="M96"/>
  <c r="D60"/>
  <c r="E60"/>
  <c r="F60"/>
  <c r="G60"/>
  <c r="H60"/>
  <c r="I60"/>
  <c r="J60"/>
  <c r="K60"/>
  <c r="M60"/>
  <c r="N60"/>
  <c r="O60"/>
  <c r="P60"/>
  <c r="C60"/>
  <c r="M59"/>
  <c r="N59"/>
  <c r="O59"/>
  <c r="P59"/>
  <c r="Q59"/>
  <c r="M49"/>
  <c r="N49"/>
  <c r="O49"/>
  <c r="P49"/>
  <c r="Q49"/>
  <c r="Q793" i="36" l="1"/>
  <c r="P793"/>
  <c r="O793"/>
  <c r="N793"/>
  <c r="M793"/>
  <c r="L793"/>
  <c r="K793"/>
  <c r="J793"/>
  <c r="I793"/>
  <c r="H793"/>
  <c r="G793"/>
  <c r="F793"/>
  <c r="E793"/>
  <c r="D793"/>
  <c r="C793"/>
  <c r="Q792"/>
  <c r="P792"/>
  <c r="O792"/>
  <c r="N792"/>
  <c r="M792"/>
  <c r="Q782"/>
  <c r="P782"/>
  <c r="O782"/>
  <c r="N782"/>
  <c r="M782"/>
  <c r="C774"/>
  <c r="Q755"/>
  <c r="P755"/>
  <c r="O755"/>
  <c r="N755"/>
  <c r="M755"/>
  <c r="L755"/>
  <c r="K755"/>
  <c r="J755"/>
  <c r="I755"/>
  <c r="H755"/>
  <c r="G755"/>
  <c r="F755"/>
  <c r="E755"/>
  <c r="D755"/>
  <c r="C755"/>
  <c r="Q754"/>
  <c r="P754"/>
  <c r="O754"/>
  <c r="N754"/>
  <c r="M754"/>
  <c r="Q744"/>
  <c r="P744"/>
  <c r="O744"/>
  <c r="N744"/>
  <c r="M744"/>
  <c r="C736"/>
  <c r="Q717"/>
  <c r="P717"/>
  <c r="O717"/>
  <c r="N717"/>
  <c r="M717"/>
  <c r="L717"/>
  <c r="K717"/>
  <c r="J717"/>
  <c r="I717"/>
  <c r="H717"/>
  <c r="G717"/>
  <c r="F717"/>
  <c r="E717"/>
  <c r="D717"/>
  <c r="C717"/>
  <c r="Q716"/>
  <c r="P716"/>
  <c r="O716"/>
  <c r="N716"/>
  <c r="M716"/>
  <c r="Q706"/>
  <c r="P706"/>
  <c r="O706"/>
  <c r="N706"/>
  <c r="M706"/>
  <c r="C698"/>
  <c r="Q679"/>
  <c r="P679"/>
  <c r="O679"/>
  <c r="N679"/>
  <c r="M679"/>
  <c r="L679"/>
  <c r="K679"/>
  <c r="J679"/>
  <c r="I679"/>
  <c r="H679"/>
  <c r="G679"/>
  <c r="F679"/>
  <c r="E679"/>
  <c r="D679"/>
  <c r="C679"/>
  <c r="Q678"/>
  <c r="P678"/>
  <c r="O678"/>
  <c r="N678"/>
  <c r="M678"/>
  <c r="Q668"/>
  <c r="P668"/>
  <c r="O668"/>
  <c r="N668"/>
  <c r="M668"/>
  <c r="C660"/>
  <c r="Q641"/>
  <c r="P641"/>
  <c r="O641"/>
  <c r="N641"/>
  <c r="M641"/>
  <c r="L641"/>
  <c r="K641"/>
  <c r="J641"/>
  <c r="I641"/>
  <c r="H641"/>
  <c r="G641"/>
  <c r="F641"/>
  <c r="E641"/>
  <c r="D641"/>
  <c r="C641"/>
  <c r="Q640"/>
  <c r="P640"/>
  <c r="O640"/>
  <c r="N640"/>
  <c r="M640"/>
  <c r="Q630"/>
  <c r="P630"/>
  <c r="O630"/>
  <c r="N630"/>
  <c r="M630"/>
  <c r="C622"/>
  <c r="Q603"/>
  <c r="P603"/>
  <c r="O603"/>
  <c r="N603"/>
  <c r="M603"/>
  <c r="L603"/>
  <c r="K603"/>
  <c r="J603"/>
  <c r="I603"/>
  <c r="H603"/>
  <c r="G603"/>
  <c r="F603"/>
  <c r="E603"/>
  <c r="D603"/>
  <c r="C603"/>
  <c r="Q602"/>
  <c r="P602"/>
  <c r="O602"/>
  <c r="N602"/>
  <c r="M602"/>
  <c r="Q592"/>
  <c r="P592"/>
  <c r="O592"/>
  <c r="N592"/>
  <c r="M592"/>
  <c r="C584"/>
  <c r="Q565"/>
  <c r="P565"/>
  <c r="O565"/>
  <c r="N565"/>
  <c r="M565"/>
  <c r="L565"/>
  <c r="K565"/>
  <c r="J565"/>
  <c r="I565"/>
  <c r="H565"/>
  <c r="G565"/>
  <c r="F565"/>
  <c r="E565"/>
  <c r="D565"/>
  <c r="C565"/>
  <c r="Q564"/>
  <c r="P564"/>
  <c r="O564"/>
  <c r="N564"/>
  <c r="M564"/>
  <c r="Q554"/>
  <c r="P554"/>
  <c r="O554"/>
  <c r="N554"/>
  <c r="M554"/>
  <c r="C546"/>
  <c r="B603" l="1"/>
  <c r="B679"/>
  <c r="C741"/>
  <c r="B755"/>
  <c r="B641"/>
  <c r="C627"/>
  <c r="C665"/>
  <c r="C703"/>
  <c r="C779"/>
  <c r="B793"/>
  <c r="C551"/>
  <c r="B565"/>
  <c r="C589"/>
  <c r="B717"/>
  <c r="Q527" l="1"/>
  <c r="P527"/>
  <c r="O527"/>
  <c r="N527"/>
  <c r="M527"/>
  <c r="L527"/>
  <c r="K527"/>
  <c r="J527"/>
  <c r="I527"/>
  <c r="H527"/>
  <c r="G527"/>
  <c r="F527"/>
  <c r="E527"/>
  <c r="D527"/>
  <c r="C527"/>
  <c r="Q526"/>
  <c r="P526"/>
  <c r="O526"/>
  <c r="N526"/>
  <c r="M526"/>
  <c r="Q516"/>
  <c r="P516"/>
  <c r="O516"/>
  <c r="N516"/>
  <c r="M516"/>
  <c r="C508"/>
  <c r="Q489"/>
  <c r="P489"/>
  <c r="O489"/>
  <c r="N489"/>
  <c r="M489"/>
  <c r="L489"/>
  <c r="K489"/>
  <c r="J489"/>
  <c r="I489"/>
  <c r="H489"/>
  <c r="G489"/>
  <c r="F489"/>
  <c r="E489"/>
  <c r="D489"/>
  <c r="C489"/>
  <c r="Q488"/>
  <c r="P488"/>
  <c r="O488"/>
  <c r="N488"/>
  <c r="M488"/>
  <c r="Q478"/>
  <c r="P478"/>
  <c r="O478"/>
  <c r="N478"/>
  <c r="M478"/>
  <c r="C470"/>
  <c r="Q451"/>
  <c r="P451"/>
  <c r="O451"/>
  <c r="N451"/>
  <c r="M451"/>
  <c r="L451"/>
  <c r="K451"/>
  <c r="J451"/>
  <c r="I451"/>
  <c r="H451"/>
  <c r="G451"/>
  <c r="F451"/>
  <c r="E451"/>
  <c r="D451"/>
  <c r="C451"/>
  <c r="Q450"/>
  <c r="P450"/>
  <c r="O450"/>
  <c r="N450"/>
  <c r="M450"/>
  <c r="Q440"/>
  <c r="P440"/>
  <c r="O440"/>
  <c r="N440"/>
  <c r="M440"/>
  <c r="C432"/>
  <c r="Q413"/>
  <c r="P413"/>
  <c r="O413"/>
  <c r="N413"/>
  <c r="M413"/>
  <c r="L413"/>
  <c r="K413"/>
  <c r="J413"/>
  <c r="I413"/>
  <c r="H413"/>
  <c r="G413"/>
  <c r="F413"/>
  <c r="E413"/>
  <c r="D413"/>
  <c r="C413"/>
  <c r="Q412"/>
  <c r="P412"/>
  <c r="O412"/>
  <c r="N412"/>
  <c r="M412"/>
  <c r="Q402"/>
  <c r="P402"/>
  <c r="O402"/>
  <c r="N402"/>
  <c r="M402"/>
  <c r="C394"/>
  <c r="C356"/>
  <c r="Q375"/>
  <c r="P375"/>
  <c r="O375"/>
  <c r="N375"/>
  <c r="M375"/>
  <c r="L375"/>
  <c r="K375"/>
  <c r="J375"/>
  <c r="I375"/>
  <c r="H375"/>
  <c r="G375"/>
  <c r="F375"/>
  <c r="E375"/>
  <c r="D375"/>
  <c r="C375"/>
  <c r="Q374"/>
  <c r="P374"/>
  <c r="O374"/>
  <c r="N374"/>
  <c r="M374"/>
  <c r="Q364"/>
  <c r="P364"/>
  <c r="O364"/>
  <c r="N364"/>
  <c r="M364"/>
  <c r="C318"/>
  <c r="Q337"/>
  <c r="P337"/>
  <c r="O337"/>
  <c r="N337"/>
  <c r="M337"/>
  <c r="L337"/>
  <c r="K337"/>
  <c r="J337"/>
  <c r="I337"/>
  <c r="H337"/>
  <c r="G337"/>
  <c r="F337"/>
  <c r="E337"/>
  <c r="D337"/>
  <c r="C337"/>
  <c r="Q336"/>
  <c r="P336"/>
  <c r="O336"/>
  <c r="N336"/>
  <c r="M336"/>
  <c r="Q326"/>
  <c r="P326"/>
  <c r="O326"/>
  <c r="N326"/>
  <c r="M326"/>
  <c r="C280"/>
  <c r="Q299"/>
  <c r="P299"/>
  <c r="O299"/>
  <c r="N299"/>
  <c r="M299"/>
  <c r="L299"/>
  <c r="K299"/>
  <c r="J299"/>
  <c r="I299"/>
  <c r="H299"/>
  <c r="G299"/>
  <c r="F299"/>
  <c r="E299"/>
  <c r="D299"/>
  <c r="C299"/>
  <c r="Q298"/>
  <c r="P298"/>
  <c r="O298"/>
  <c r="N298"/>
  <c r="M298"/>
  <c r="Q288"/>
  <c r="P288"/>
  <c r="O288"/>
  <c r="N288"/>
  <c r="M288"/>
  <c r="C242"/>
  <c r="Q261"/>
  <c r="P261"/>
  <c r="O261"/>
  <c r="N261"/>
  <c r="M261"/>
  <c r="L261"/>
  <c r="K261"/>
  <c r="J261"/>
  <c r="I261"/>
  <c r="H261"/>
  <c r="G261"/>
  <c r="F261"/>
  <c r="E261"/>
  <c r="D261"/>
  <c r="C261"/>
  <c r="Q260"/>
  <c r="P260"/>
  <c r="O260"/>
  <c r="N260"/>
  <c r="M260"/>
  <c r="Q250"/>
  <c r="P250"/>
  <c r="O250"/>
  <c r="N250"/>
  <c r="M250"/>
  <c r="C204"/>
  <c r="Q223"/>
  <c r="P223"/>
  <c r="O223"/>
  <c r="N223"/>
  <c r="M223"/>
  <c r="L223"/>
  <c r="K223"/>
  <c r="J223"/>
  <c r="I223"/>
  <c r="H223"/>
  <c r="G223"/>
  <c r="F223"/>
  <c r="E223"/>
  <c r="D223"/>
  <c r="C223"/>
  <c r="Q222"/>
  <c r="P222"/>
  <c r="O222"/>
  <c r="N222"/>
  <c r="M222"/>
  <c r="Q212"/>
  <c r="P212"/>
  <c r="O212"/>
  <c r="N212"/>
  <c r="M212"/>
  <c r="Q185"/>
  <c r="P185"/>
  <c r="O185"/>
  <c r="N185"/>
  <c r="M185"/>
  <c r="L185"/>
  <c r="K185"/>
  <c r="J185"/>
  <c r="I185"/>
  <c r="H185"/>
  <c r="G185"/>
  <c r="F185"/>
  <c r="E185"/>
  <c r="D185"/>
  <c r="C185"/>
  <c r="Q184"/>
  <c r="P184"/>
  <c r="O184"/>
  <c r="N184"/>
  <c r="M184"/>
  <c r="Q174"/>
  <c r="P174"/>
  <c r="O174"/>
  <c r="N174"/>
  <c r="M174"/>
  <c r="Q147"/>
  <c r="P147"/>
  <c r="O147"/>
  <c r="N147"/>
  <c r="M147"/>
  <c r="L147"/>
  <c r="K147"/>
  <c r="J147"/>
  <c r="I147"/>
  <c r="H147"/>
  <c r="G147"/>
  <c r="F147"/>
  <c r="E147"/>
  <c r="D147"/>
  <c r="C147"/>
  <c r="Q146"/>
  <c r="P146"/>
  <c r="O146"/>
  <c r="N146"/>
  <c r="M146"/>
  <c r="Q136"/>
  <c r="P136"/>
  <c r="O136"/>
  <c r="N136"/>
  <c r="M136"/>
  <c r="Q109"/>
  <c r="P109"/>
  <c r="O109"/>
  <c r="N109"/>
  <c r="M109"/>
  <c r="L109"/>
  <c r="K109"/>
  <c r="J109"/>
  <c r="I109"/>
  <c r="H109"/>
  <c r="G109"/>
  <c r="F109"/>
  <c r="E109"/>
  <c r="D109"/>
  <c r="C109"/>
  <c r="Q108"/>
  <c r="P108"/>
  <c r="O108"/>
  <c r="N108"/>
  <c r="M108"/>
  <c r="Q98"/>
  <c r="P98"/>
  <c r="O98"/>
  <c r="N98"/>
  <c r="M98"/>
  <c r="M70"/>
  <c r="N70"/>
  <c r="O70"/>
  <c r="P70"/>
  <c r="Q70"/>
  <c r="M60"/>
  <c r="N60"/>
  <c r="O60"/>
  <c r="P60"/>
  <c r="Q60"/>
  <c r="B489" l="1"/>
  <c r="B109"/>
  <c r="B185"/>
  <c r="C247"/>
  <c r="C285"/>
  <c r="C323"/>
  <c r="B375"/>
  <c r="C437"/>
  <c r="B147"/>
  <c r="B223"/>
  <c r="B261"/>
  <c r="B299"/>
  <c r="B413"/>
  <c r="C209"/>
  <c r="B337"/>
  <c r="C361"/>
  <c r="C399"/>
  <c r="B451"/>
  <c r="C475"/>
  <c r="C513"/>
  <c r="B527"/>
  <c r="D71" l="1"/>
  <c r="E71"/>
  <c r="F71"/>
  <c r="G71"/>
  <c r="H71"/>
  <c r="I71"/>
  <c r="J71"/>
  <c r="K71"/>
  <c r="M71"/>
  <c r="N71"/>
  <c r="O71"/>
  <c r="P71"/>
  <c r="C71"/>
  <c r="C20" i="4"/>
  <c r="D24" i="22"/>
  <c r="C1308" i="40" l="1"/>
  <c r="C1263"/>
  <c r="C1218"/>
  <c r="C1173"/>
  <c r="C903"/>
  <c r="C1038"/>
  <c r="C1128"/>
  <c r="C858"/>
  <c r="C1083"/>
  <c r="C813"/>
  <c r="C768"/>
  <c r="C723"/>
  <c r="C588"/>
  <c r="C543"/>
  <c r="C498"/>
  <c r="C948"/>
  <c r="C678"/>
  <c r="C633"/>
  <c r="C318"/>
  <c r="C993"/>
  <c r="C228"/>
  <c r="C183"/>
  <c r="C93"/>
  <c r="C273"/>
  <c r="C363"/>
  <c r="C138"/>
  <c r="C48"/>
  <c r="C408"/>
  <c r="C453"/>
  <c r="D1177" i="36"/>
  <c r="D1274"/>
  <c r="D1176"/>
  <c r="D1275"/>
  <c r="D1078"/>
  <c r="D1128"/>
  <c r="D1225"/>
  <c r="D1079"/>
  <c r="D1127"/>
  <c r="D1226"/>
  <c r="D964"/>
  <c r="D1041"/>
  <c r="D1040"/>
  <c r="D1003"/>
  <c r="D965"/>
  <c r="D1002"/>
  <c r="D851"/>
  <c r="D927"/>
  <c r="D926"/>
  <c r="D888"/>
  <c r="D812"/>
  <c r="D813"/>
  <c r="D889"/>
  <c r="D850"/>
  <c r="D661"/>
  <c r="D547"/>
  <c r="D699"/>
  <c r="D546"/>
  <c r="D774"/>
  <c r="D736"/>
  <c r="D585"/>
  <c r="D737"/>
  <c r="D623"/>
  <c r="D775"/>
  <c r="D698"/>
  <c r="D660"/>
  <c r="D622"/>
  <c r="D584"/>
  <c r="D281"/>
  <c r="D395"/>
  <c r="D204"/>
  <c r="D319"/>
  <c r="D433"/>
  <c r="D205"/>
  <c r="D318"/>
  <c r="D471"/>
  <c r="D243"/>
  <c r="D356"/>
  <c r="D509"/>
  <c r="D357"/>
  <c r="D508"/>
  <c r="D470"/>
  <c r="D432"/>
  <c r="D394"/>
  <c r="D280"/>
  <c r="D242"/>
  <c r="C85" i="37"/>
  <c r="C129" s="1"/>
  <c r="C38"/>
  <c r="C42" i="2"/>
  <c r="E42"/>
  <c r="I42"/>
  <c r="K42"/>
  <c r="G42"/>
  <c r="B42"/>
  <c r="J42"/>
  <c r="H42"/>
  <c r="F42"/>
  <c r="D42"/>
  <c r="E24" i="22"/>
  <c r="D1263" i="40" l="1"/>
  <c r="D1308"/>
  <c r="D1218"/>
  <c r="D1173"/>
  <c r="D1038"/>
  <c r="D1083"/>
  <c r="D813"/>
  <c r="D1128"/>
  <c r="D948"/>
  <c r="D903"/>
  <c r="D678"/>
  <c r="D543"/>
  <c r="D453"/>
  <c r="D633"/>
  <c r="D318"/>
  <c r="D993"/>
  <c r="D408"/>
  <c r="D273"/>
  <c r="D228"/>
  <c r="D588"/>
  <c r="D723"/>
  <c r="D183"/>
  <c r="D93"/>
  <c r="D48"/>
  <c r="D138"/>
  <c r="D768"/>
  <c r="D363"/>
  <c r="D858"/>
  <c r="D247" i="36"/>
  <c r="E242"/>
  <c r="E394"/>
  <c r="D399"/>
  <c r="E470"/>
  <c r="D475"/>
  <c r="E357"/>
  <c r="F357" s="1"/>
  <c r="G357" s="1"/>
  <c r="H357" s="1"/>
  <c r="I357" s="1"/>
  <c r="J357" s="1"/>
  <c r="K357" s="1"/>
  <c r="L357" s="1"/>
  <c r="M357" s="1"/>
  <c r="N357" s="1"/>
  <c r="O357" s="1"/>
  <c r="P357" s="1"/>
  <c r="Q357" s="1"/>
  <c r="E356"/>
  <c r="D361"/>
  <c r="E471"/>
  <c r="F471" s="1"/>
  <c r="G471" s="1"/>
  <c r="H471" s="1"/>
  <c r="I471" s="1"/>
  <c r="J471" s="1"/>
  <c r="K471" s="1"/>
  <c r="L471" s="1"/>
  <c r="M471" s="1"/>
  <c r="N471" s="1"/>
  <c r="O471" s="1"/>
  <c r="P471" s="1"/>
  <c r="Q471" s="1"/>
  <c r="E205"/>
  <c r="F205" s="1"/>
  <c r="G205" s="1"/>
  <c r="H205" s="1"/>
  <c r="I205" s="1"/>
  <c r="J205" s="1"/>
  <c r="K205" s="1"/>
  <c r="L205" s="1"/>
  <c r="M205" s="1"/>
  <c r="N205" s="1"/>
  <c r="O205" s="1"/>
  <c r="P205" s="1"/>
  <c r="Q205" s="1"/>
  <c r="E319"/>
  <c r="F319" s="1"/>
  <c r="G319" s="1"/>
  <c r="H319" s="1"/>
  <c r="I319" s="1"/>
  <c r="J319" s="1"/>
  <c r="K319" s="1"/>
  <c r="L319" s="1"/>
  <c r="M319" s="1"/>
  <c r="N319" s="1"/>
  <c r="O319" s="1"/>
  <c r="P319" s="1"/>
  <c r="Q319" s="1"/>
  <c r="E395"/>
  <c r="F395" s="1"/>
  <c r="G395" s="1"/>
  <c r="H395" s="1"/>
  <c r="I395" s="1"/>
  <c r="J395" s="1"/>
  <c r="K395" s="1"/>
  <c r="L395" s="1"/>
  <c r="M395" s="1"/>
  <c r="N395" s="1"/>
  <c r="O395" s="1"/>
  <c r="P395" s="1"/>
  <c r="Q395" s="1"/>
  <c r="E584"/>
  <c r="D589"/>
  <c r="E660"/>
  <c r="D665"/>
  <c r="E775"/>
  <c r="F775" s="1"/>
  <c r="G775" s="1"/>
  <c r="H775" s="1"/>
  <c r="I775" s="1"/>
  <c r="J775" s="1"/>
  <c r="K775" s="1"/>
  <c r="L775" s="1"/>
  <c r="M775" s="1"/>
  <c r="N775" s="1"/>
  <c r="O775" s="1"/>
  <c r="P775" s="1"/>
  <c r="Q775" s="1"/>
  <c r="E737"/>
  <c r="F737" s="1"/>
  <c r="G737" s="1"/>
  <c r="H737" s="1"/>
  <c r="I737" s="1"/>
  <c r="J737" s="1"/>
  <c r="K737" s="1"/>
  <c r="L737" s="1"/>
  <c r="M737" s="1"/>
  <c r="N737" s="1"/>
  <c r="O737" s="1"/>
  <c r="P737" s="1"/>
  <c r="Q737" s="1"/>
  <c r="E736"/>
  <c r="D741"/>
  <c r="E546"/>
  <c r="D551"/>
  <c r="E547"/>
  <c r="F547" s="1"/>
  <c r="G547" s="1"/>
  <c r="H547" s="1"/>
  <c r="I547" s="1"/>
  <c r="J547" s="1"/>
  <c r="K547" s="1"/>
  <c r="L547" s="1"/>
  <c r="M547" s="1"/>
  <c r="N547" s="1"/>
  <c r="O547" s="1"/>
  <c r="P547" s="1"/>
  <c r="Q547" s="1"/>
  <c r="D855"/>
  <c r="E850"/>
  <c r="E813"/>
  <c r="F813" s="1"/>
  <c r="G813" s="1"/>
  <c r="H813" s="1"/>
  <c r="I813" s="1"/>
  <c r="J813" s="1"/>
  <c r="K813" s="1"/>
  <c r="L813" s="1"/>
  <c r="M813" s="1"/>
  <c r="N813" s="1"/>
  <c r="O813" s="1"/>
  <c r="P813" s="1"/>
  <c r="Q813" s="1"/>
  <c r="E888"/>
  <c r="D893"/>
  <c r="E927"/>
  <c r="F927" s="1"/>
  <c r="G927" s="1"/>
  <c r="H927" s="1"/>
  <c r="I927" s="1"/>
  <c r="J927" s="1"/>
  <c r="K927" s="1"/>
  <c r="L927" s="1"/>
  <c r="M927" s="1"/>
  <c r="N927" s="1"/>
  <c r="O927" s="1"/>
  <c r="P927" s="1"/>
  <c r="Q927" s="1"/>
  <c r="E1002"/>
  <c r="D1007"/>
  <c r="E1003"/>
  <c r="F1003" s="1"/>
  <c r="G1003" s="1"/>
  <c r="H1003" s="1"/>
  <c r="I1003" s="1"/>
  <c r="J1003" s="1"/>
  <c r="K1003" s="1"/>
  <c r="L1003" s="1"/>
  <c r="M1003" s="1"/>
  <c r="N1003" s="1"/>
  <c r="O1003" s="1"/>
  <c r="P1003" s="1"/>
  <c r="Q1003" s="1"/>
  <c r="E1041"/>
  <c r="F1041" s="1"/>
  <c r="G1041" s="1"/>
  <c r="H1041" s="1"/>
  <c r="I1041" s="1"/>
  <c r="J1041" s="1"/>
  <c r="K1041" s="1"/>
  <c r="L1041" s="1"/>
  <c r="M1041" s="1"/>
  <c r="N1041" s="1"/>
  <c r="O1041" s="1"/>
  <c r="P1041" s="1"/>
  <c r="Q1041" s="1"/>
  <c r="E1226"/>
  <c r="F1226" s="1"/>
  <c r="G1226" s="1"/>
  <c r="H1226" s="1"/>
  <c r="I1226" s="1"/>
  <c r="J1226" s="1"/>
  <c r="K1226" s="1"/>
  <c r="L1226" s="1"/>
  <c r="M1226" s="1"/>
  <c r="N1226" s="1"/>
  <c r="O1226" s="1"/>
  <c r="P1226" s="1"/>
  <c r="Q1226" s="1"/>
  <c r="E1079"/>
  <c r="F1079" s="1"/>
  <c r="G1079" s="1"/>
  <c r="H1079" s="1"/>
  <c r="I1079" s="1"/>
  <c r="J1079" s="1"/>
  <c r="K1079" s="1"/>
  <c r="L1079" s="1"/>
  <c r="M1079" s="1"/>
  <c r="N1079" s="1"/>
  <c r="O1079" s="1"/>
  <c r="P1079" s="1"/>
  <c r="Q1079" s="1"/>
  <c r="E1128"/>
  <c r="F1128" s="1"/>
  <c r="G1128" s="1"/>
  <c r="H1128" s="1"/>
  <c r="I1128" s="1"/>
  <c r="J1128" s="1"/>
  <c r="K1128" s="1"/>
  <c r="L1128" s="1"/>
  <c r="M1128" s="1"/>
  <c r="N1128" s="1"/>
  <c r="O1128" s="1"/>
  <c r="P1128" s="1"/>
  <c r="Q1128" s="1"/>
  <c r="E1275"/>
  <c r="F1275" s="1"/>
  <c r="G1275" s="1"/>
  <c r="H1275" s="1"/>
  <c r="I1275" s="1"/>
  <c r="J1275" s="1"/>
  <c r="K1275" s="1"/>
  <c r="L1275" s="1"/>
  <c r="M1275" s="1"/>
  <c r="N1275" s="1"/>
  <c r="O1275" s="1"/>
  <c r="P1275" s="1"/>
  <c r="Q1275" s="1"/>
  <c r="D1279"/>
  <c r="E1274"/>
  <c r="E280"/>
  <c r="D285"/>
  <c r="E432"/>
  <c r="D437"/>
  <c r="E508"/>
  <c r="D513"/>
  <c r="E509"/>
  <c r="F509" s="1"/>
  <c r="G509" s="1"/>
  <c r="H509" s="1"/>
  <c r="I509" s="1"/>
  <c r="J509" s="1"/>
  <c r="K509" s="1"/>
  <c r="L509" s="1"/>
  <c r="M509" s="1"/>
  <c r="N509" s="1"/>
  <c r="O509" s="1"/>
  <c r="P509" s="1"/>
  <c r="Q509" s="1"/>
  <c r="E243"/>
  <c r="F243" s="1"/>
  <c r="G243" s="1"/>
  <c r="H243" s="1"/>
  <c r="I243" s="1"/>
  <c r="J243" s="1"/>
  <c r="K243" s="1"/>
  <c r="L243" s="1"/>
  <c r="M243" s="1"/>
  <c r="N243" s="1"/>
  <c r="O243" s="1"/>
  <c r="P243" s="1"/>
  <c r="Q243" s="1"/>
  <c r="E318"/>
  <c r="D323"/>
  <c r="E433"/>
  <c r="F433" s="1"/>
  <c r="G433" s="1"/>
  <c r="H433" s="1"/>
  <c r="I433" s="1"/>
  <c r="J433" s="1"/>
  <c r="K433" s="1"/>
  <c r="L433" s="1"/>
  <c r="M433" s="1"/>
  <c r="N433" s="1"/>
  <c r="O433" s="1"/>
  <c r="P433" s="1"/>
  <c r="Q433" s="1"/>
  <c r="D209"/>
  <c r="E204"/>
  <c r="E281"/>
  <c r="F281" s="1"/>
  <c r="G281" s="1"/>
  <c r="H281" s="1"/>
  <c r="I281" s="1"/>
  <c r="J281" s="1"/>
  <c r="K281" s="1"/>
  <c r="L281" s="1"/>
  <c r="M281" s="1"/>
  <c r="N281" s="1"/>
  <c r="O281" s="1"/>
  <c r="P281" s="1"/>
  <c r="Q281" s="1"/>
  <c r="E622"/>
  <c r="D627"/>
  <c r="E698"/>
  <c r="D703"/>
  <c r="E623"/>
  <c r="F623" s="1"/>
  <c r="G623" s="1"/>
  <c r="H623" s="1"/>
  <c r="I623" s="1"/>
  <c r="J623" s="1"/>
  <c r="K623" s="1"/>
  <c r="L623" s="1"/>
  <c r="M623" s="1"/>
  <c r="N623" s="1"/>
  <c r="O623" s="1"/>
  <c r="P623" s="1"/>
  <c r="Q623" s="1"/>
  <c r="E585"/>
  <c r="F585" s="1"/>
  <c r="G585" s="1"/>
  <c r="H585" s="1"/>
  <c r="I585" s="1"/>
  <c r="J585" s="1"/>
  <c r="K585" s="1"/>
  <c r="L585" s="1"/>
  <c r="M585" s="1"/>
  <c r="N585" s="1"/>
  <c r="O585" s="1"/>
  <c r="P585" s="1"/>
  <c r="Q585" s="1"/>
  <c r="E774"/>
  <c r="D779"/>
  <c r="E699"/>
  <c r="F699" s="1"/>
  <c r="G699" s="1"/>
  <c r="H699" s="1"/>
  <c r="I699" s="1"/>
  <c r="J699" s="1"/>
  <c r="K699" s="1"/>
  <c r="L699" s="1"/>
  <c r="M699" s="1"/>
  <c r="N699" s="1"/>
  <c r="O699" s="1"/>
  <c r="P699" s="1"/>
  <c r="Q699" s="1"/>
  <c r="E661"/>
  <c r="F661" s="1"/>
  <c r="G661" s="1"/>
  <c r="H661" s="1"/>
  <c r="I661" s="1"/>
  <c r="J661" s="1"/>
  <c r="K661" s="1"/>
  <c r="L661" s="1"/>
  <c r="M661" s="1"/>
  <c r="N661" s="1"/>
  <c r="O661" s="1"/>
  <c r="P661" s="1"/>
  <c r="Q661" s="1"/>
  <c r="E889"/>
  <c r="F889" s="1"/>
  <c r="G889" s="1"/>
  <c r="H889" s="1"/>
  <c r="I889" s="1"/>
  <c r="J889" s="1"/>
  <c r="K889" s="1"/>
  <c r="L889" s="1"/>
  <c r="M889" s="1"/>
  <c r="N889" s="1"/>
  <c r="O889" s="1"/>
  <c r="P889" s="1"/>
  <c r="Q889" s="1"/>
  <c r="E812"/>
  <c r="D817"/>
  <c r="E926"/>
  <c r="D931"/>
  <c r="E851"/>
  <c r="F851" s="1"/>
  <c r="G851" s="1"/>
  <c r="H851" s="1"/>
  <c r="I851" s="1"/>
  <c r="J851" s="1"/>
  <c r="K851" s="1"/>
  <c r="L851" s="1"/>
  <c r="M851" s="1"/>
  <c r="N851" s="1"/>
  <c r="O851" s="1"/>
  <c r="P851" s="1"/>
  <c r="Q851" s="1"/>
  <c r="E965"/>
  <c r="F965" s="1"/>
  <c r="G965" s="1"/>
  <c r="H965" s="1"/>
  <c r="I965" s="1"/>
  <c r="J965" s="1"/>
  <c r="K965" s="1"/>
  <c r="L965" s="1"/>
  <c r="M965" s="1"/>
  <c r="N965" s="1"/>
  <c r="O965" s="1"/>
  <c r="P965" s="1"/>
  <c r="Q965" s="1"/>
  <c r="E1040"/>
  <c r="D1045"/>
  <c r="E964"/>
  <c r="D969"/>
  <c r="E1127"/>
  <c r="D1132"/>
  <c r="E1225"/>
  <c r="D1230"/>
  <c r="D1083"/>
  <c r="E1078"/>
  <c r="D1181"/>
  <c r="E1176"/>
  <c r="E1177"/>
  <c r="F1177" s="1"/>
  <c r="G1177" s="1"/>
  <c r="H1177" s="1"/>
  <c r="I1177" s="1"/>
  <c r="J1177" s="1"/>
  <c r="K1177" s="1"/>
  <c r="L1177" s="1"/>
  <c r="M1177" s="1"/>
  <c r="N1177" s="1"/>
  <c r="O1177" s="1"/>
  <c r="P1177" s="1"/>
  <c r="Q1177" s="1"/>
  <c r="F24" i="22"/>
  <c r="D85" i="37"/>
  <c r="D129" s="1"/>
  <c r="D38"/>
  <c r="E1128" i="40" l="1"/>
  <c r="E948"/>
  <c r="E1263"/>
  <c r="E1218"/>
  <c r="E1173"/>
  <c r="E993"/>
  <c r="E1083"/>
  <c r="E1038"/>
  <c r="E768"/>
  <c r="E633"/>
  <c r="E903"/>
  <c r="E678"/>
  <c r="E408"/>
  <c r="E273"/>
  <c r="E228"/>
  <c r="E858"/>
  <c r="E453"/>
  <c r="E363"/>
  <c r="E183"/>
  <c r="E138"/>
  <c r="E1308"/>
  <c r="E318"/>
  <c r="E588"/>
  <c r="E813"/>
  <c r="E543"/>
  <c r="E48"/>
  <c r="E723"/>
  <c r="E93"/>
  <c r="B1226" i="36"/>
  <c r="B433"/>
  <c r="B1003"/>
  <c r="B471"/>
  <c r="B661"/>
  <c r="B813"/>
  <c r="B851"/>
  <c r="B1079"/>
  <c r="B1041"/>
  <c r="B889"/>
  <c r="B699"/>
  <c r="B1128"/>
  <c r="F1176"/>
  <c r="E1181"/>
  <c r="E1132"/>
  <c r="F1127"/>
  <c r="F1040"/>
  <c r="E1045"/>
  <c r="F812"/>
  <c r="E817"/>
  <c r="F698"/>
  <c r="E703"/>
  <c r="F508"/>
  <c r="E513"/>
  <c r="E285"/>
  <c r="F280"/>
  <c r="F1274"/>
  <c r="E1279"/>
  <c r="F1002"/>
  <c r="E1007"/>
  <c r="E741"/>
  <c r="F736"/>
  <c r="F584"/>
  <c r="E589"/>
  <c r="F470"/>
  <c r="E475"/>
  <c r="B585"/>
  <c r="B623"/>
  <c r="B281"/>
  <c r="B243"/>
  <c r="B509"/>
  <c r="B1275"/>
  <c r="B357"/>
  <c r="F1078"/>
  <c r="E1083"/>
  <c r="E1230"/>
  <c r="F1225"/>
  <c r="E969"/>
  <c r="F964"/>
  <c r="E931"/>
  <c r="F926"/>
  <c r="E779"/>
  <c r="F774"/>
  <c r="E627"/>
  <c r="F622"/>
  <c r="E209"/>
  <c r="F204"/>
  <c r="F318"/>
  <c r="E323"/>
  <c r="F432"/>
  <c r="E437"/>
  <c r="E893"/>
  <c r="F888"/>
  <c r="F850"/>
  <c r="E855"/>
  <c r="F546"/>
  <c r="E551"/>
  <c r="F660"/>
  <c r="E665"/>
  <c r="F356"/>
  <c r="E361"/>
  <c r="F394"/>
  <c r="E399"/>
  <c r="E247"/>
  <c r="F242"/>
  <c r="B1177"/>
  <c r="B965"/>
  <c r="B927"/>
  <c r="B547"/>
  <c r="B737"/>
  <c r="B775"/>
  <c r="B395"/>
  <c r="B319"/>
  <c r="B205"/>
  <c r="G24" i="22"/>
  <c r="E85" i="37"/>
  <c r="E129" s="1"/>
  <c r="E38"/>
  <c r="E613" i="36"/>
  <c r="G613"/>
  <c r="I613"/>
  <c r="K613"/>
  <c r="M613"/>
  <c r="O613"/>
  <c r="Q613"/>
  <c r="D613"/>
  <c r="F613"/>
  <c r="H613"/>
  <c r="J613"/>
  <c r="L613"/>
  <c r="N613"/>
  <c r="P613"/>
  <c r="C613"/>
  <c r="C575"/>
  <c r="E575"/>
  <c r="K575"/>
  <c r="Q575"/>
  <c r="D575"/>
  <c r="F575"/>
  <c r="H575"/>
  <c r="J575"/>
  <c r="L575"/>
  <c r="N575"/>
  <c r="P575"/>
  <c r="G575"/>
  <c r="I575"/>
  <c r="M575"/>
  <c r="O575"/>
  <c r="D537"/>
  <c r="E537"/>
  <c r="G537"/>
  <c r="I537"/>
  <c r="K537"/>
  <c r="M537"/>
  <c r="O537"/>
  <c r="Q537"/>
  <c r="F537"/>
  <c r="H537"/>
  <c r="J537"/>
  <c r="L537"/>
  <c r="N537"/>
  <c r="P537"/>
  <c r="C537"/>
  <c r="C499"/>
  <c r="D499"/>
  <c r="F499"/>
  <c r="H499"/>
  <c r="J499"/>
  <c r="L499"/>
  <c r="N499"/>
  <c r="P499"/>
  <c r="E499"/>
  <c r="G499"/>
  <c r="I499"/>
  <c r="K499"/>
  <c r="M499"/>
  <c r="O499"/>
  <c r="Q499"/>
  <c r="D16" i="23"/>
  <c r="L18" i="9"/>
  <c r="K456" i="35"/>
  <c r="F1218" i="40" l="1"/>
  <c r="F1173"/>
  <c r="F1083"/>
  <c r="F993"/>
  <c r="F1308"/>
  <c r="F1263"/>
  <c r="F858"/>
  <c r="F723"/>
  <c r="F1128"/>
  <c r="F948"/>
  <c r="F633"/>
  <c r="F363"/>
  <c r="F903"/>
  <c r="F678"/>
  <c r="F453"/>
  <c r="F408"/>
  <c r="F183"/>
  <c r="F138"/>
  <c r="F588"/>
  <c r="F93"/>
  <c r="F48"/>
  <c r="F1038"/>
  <c r="F813"/>
  <c r="F228"/>
  <c r="F543"/>
  <c r="F318"/>
  <c r="F273"/>
  <c r="F768"/>
  <c r="F247" i="36"/>
  <c r="G242"/>
  <c r="G888"/>
  <c r="F893"/>
  <c r="F209"/>
  <c r="G204"/>
  <c r="G622"/>
  <c r="F627"/>
  <c r="F779"/>
  <c r="G774"/>
  <c r="G926"/>
  <c r="F931"/>
  <c r="F969"/>
  <c r="G964"/>
  <c r="G1225"/>
  <c r="F1230"/>
  <c r="F475"/>
  <c r="G470"/>
  <c r="F589"/>
  <c r="G584"/>
  <c r="F1007"/>
  <c r="G1002"/>
  <c r="G1274"/>
  <c r="F1279"/>
  <c r="F513"/>
  <c r="G508"/>
  <c r="G698"/>
  <c r="F703"/>
  <c r="G812"/>
  <c r="F817"/>
  <c r="F1045"/>
  <c r="G1040"/>
  <c r="G1176"/>
  <c r="F1181"/>
  <c r="F399"/>
  <c r="G394"/>
  <c r="G356"/>
  <c r="F361"/>
  <c r="F665"/>
  <c r="G660"/>
  <c r="G546"/>
  <c r="F551"/>
  <c r="G850"/>
  <c r="F855"/>
  <c r="F437"/>
  <c r="G432"/>
  <c r="F323"/>
  <c r="G318"/>
  <c r="F1083"/>
  <c r="G1078"/>
  <c r="G736"/>
  <c r="F741"/>
  <c r="G280"/>
  <c r="F285"/>
  <c r="G1127"/>
  <c r="F1132"/>
  <c r="C1216"/>
  <c r="C1265"/>
  <c r="C1118"/>
  <c r="C1167"/>
  <c r="C1031"/>
  <c r="C1069"/>
  <c r="C955"/>
  <c r="C993"/>
  <c r="C879"/>
  <c r="C917"/>
  <c r="C803"/>
  <c r="C841"/>
  <c r="H24" i="22"/>
  <c r="F85" i="37"/>
  <c r="F129" s="1"/>
  <c r="F38"/>
  <c r="E88"/>
  <c r="E132" s="1"/>
  <c r="G88"/>
  <c r="G132" s="1"/>
  <c r="D88"/>
  <c r="D132" s="1"/>
  <c r="F88"/>
  <c r="F132" s="1"/>
  <c r="H88"/>
  <c r="H132" s="1"/>
  <c r="I88"/>
  <c r="I132" s="1"/>
  <c r="C88"/>
  <c r="C132" s="1"/>
  <c r="C72"/>
  <c r="C116" s="1"/>
  <c r="E41"/>
  <c r="G41"/>
  <c r="D41"/>
  <c r="F41"/>
  <c r="H41"/>
  <c r="C25"/>
  <c r="C41"/>
  <c r="I41"/>
  <c r="C727" i="36"/>
  <c r="C765"/>
  <c r="C651"/>
  <c r="C689"/>
  <c r="C195"/>
  <c r="C43"/>
  <c r="C347"/>
  <c r="C119"/>
  <c r="C271"/>
  <c r="C423"/>
  <c r="C81"/>
  <c r="C157"/>
  <c r="C233"/>
  <c r="C309"/>
  <c r="C385"/>
  <c r="C461"/>
  <c r="J1266" i="40" l="1"/>
  <c r="J1176"/>
  <c r="J1131"/>
  <c r="J951"/>
  <c r="J1086"/>
  <c r="J1041"/>
  <c r="J771"/>
  <c r="J1311"/>
  <c r="J636"/>
  <c r="J1221"/>
  <c r="J996"/>
  <c r="J906"/>
  <c r="J816"/>
  <c r="J681"/>
  <c r="J501"/>
  <c r="J411"/>
  <c r="J861"/>
  <c r="J726"/>
  <c r="J546"/>
  <c r="J276"/>
  <c r="J231"/>
  <c r="J186"/>
  <c r="J141"/>
  <c r="J321"/>
  <c r="J96"/>
  <c r="J456"/>
  <c r="J366"/>
  <c r="J591"/>
  <c r="J51"/>
  <c r="G1308"/>
  <c r="G1263"/>
  <c r="G1218"/>
  <c r="G903"/>
  <c r="G1128"/>
  <c r="G1173"/>
  <c r="G993"/>
  <c r="G948"/>
  <c r="G858"/>
  <c r="G813"/>
  <c r="G768"/>
  <c r="G1083"/>
  <c r="G723"/>
  <c r="G588"/>
  <c r="G363"/>
  <c r="G1038"/>
  <c r="G543"/>
  <c r="G318"/>
  <c r="G453"/>
  <c r="G408"/>
  <c r="G273"/>
  <c r="G678"/>
  <c r="G48"/>
  <c r="G228"/>
  <c r="G183"/>
  <c r="G93"/>
  <c r="G138"/>
  <c r="G633"/>
  <c r="G285" i="36"/>
  <c r="H280"/>
  <c r="G323"/>
  <c r="H318"/>
  <c r="G551"/>
  <c r="H546"/>
  <c r="G665"/>
  <c r="H660"/>
  <c r="H356"/>
  <c r="G361"/>
  <c r="H394"/>
  <c r="G399"/>
  <c r="G1181"/>
  <c r="H1176"/>
  <c r="H1040"/>
  <c r="G1045"/>
  <c r="G817"/>
  <c r="H812"/>
  <c r="G589"/>
  <c r="H584"/>
  <c r="H204"/>
  <c r="G209"/>
  <c r="H888"/>
  <c r="G893"/>
  <c r="G1132"/>
  <c r="H1127"/>
  <c r="G741"/>
  <c r="H736"/>
  <c r="H1078"/>
  <c r="G1083"/>
  <c r="H432"/>
  <c r="G437"/>
  <c r="H850"/>
  <c r="G855"/>
  <c r="G703"/>
  <c r="H698"/>
  <c r="H508"/>
  <c r="G513"/>
  <c r="G1279"/>
  <c r="H1274"/>
  <c r="G1007"/>
  <c r="H1002"/>
  <c r="H470"/>
  <c r="G475"/>
  <c r="G1230"/>
  <c r="H1225"/>
  <c r="G969"/>
  <c r="H964"/>
  <c r="H926"/>
  <c r="G931"/>
  <c r="G779"/>
  <c r="H774"/>
  <c r="H622"/>
  <c r="G627"/>
  <c r="H242"/>
  <c r="G247"/>
  <c r="C840"/>
  <c r="E840"/>
  <c r="G840"/>
  <c r="I840"/>
  <c r="K840"/>
  <c r="M840"/>
  <c r="O840"/>
  <c r="Q840"/>
  <c r="D840"/>
  <c r="F840"/>
  <c r="H840"/>
  <c r="J840"/>
  <c r="L840"/>
  <c r="N840"/>
  <c r="P840"/>
  <c r="C802"/>
  <c r="E802"/>
  <c r="G802"/>
  <c r="I802"/>
  <c r="K802"/>
  <c r="M802"/>
  <c r="O802"/>
  <c r="Q802"/>
  <c r="D802"/>
  <c r="F802"/>
  <c r="H802"/>
  <c r="J802"/>
  <c r="L802"/>
  <c r="N802"/>
  <c r="P802"/>
  <c r="I24" i="22"/>
  <c r="G85" i="37"/>
  <c r="G129" s="1"/>
  <c r="G38"/>
  <c r="J88"/>
  <c r="J132" s="1"/>
  <c r="J41"/>
  <c r="C167" i="36"/>
  <c r="C91"/>
  <c r="C129"/>
  <c r="E26" i="23"/>
  <c r="C53" i="36"/>
  <c r="D10" i="22"/>
  <c r="D15" i="23"/>
  <c r="C1264" i="36" s="1"/>
  <c r="K457" i="35"/>
  <c r="K458" s="1"/>
  <c r="H1308" i="40" l="1"/>
  <c r="H1263"/>
  <c r="H1173"/>
  <c r="H1038"/>
  <c r="H1218"/>
  <c r="H1128"/>
  <c r="H903"/>
  <c r="H813"/>
  <c r="H993"/>
  <c r="H678"/>
  <c r="H858"/>
  <c r="H768"/>
  <c r="H543"/>
  <c r="H453"/>
  <c r="H1083"/>
  <c r="H948"/>
  <c r="H588"/>
  <c r="H318"/>
  <c r="H723"/>
  <c r="H273"/>
  <c r="H228"/>
  <c r="H363"/>
  <c r="H48"/>
  <c r="H138"/>
  <c r="H93"/>
  <c r="H633"/>
  <c r="H408"/>
  <c r="H183"/>
  <c r="C1069"/>
  <c r="C304"/>
  <c r="C169"/>
  <c r="C1249"/>
  <c r="C1204"/>
  <c r="C1159"/>
  <c r="C1024"/>
  <c r="C979"/>
  <c r="C664"/>
  <c r="C619"/>
  <c r="C574"/>
  <c r="C484"/>
  <c r="C439"/>
  <c r="C214"/>
  <c r="C79"/>
  <c r="C1294"/>
  <c r="C1114"/>
  <c r="C889"/>
  <c r="C844"/>
  <c r="C799"/>
  <c r="C754"/>
  <c r="C709"/>
  <c r="C349"/>
  <c r="C124"/>
  <c r="C934"/>
  <c r="C529"/>
  <c r="C394"/>
  <c r="C259"/>
  <c r="C34"/>
  <c r="H779" i="36"/>
  <c r="I774"/>
  <c r="I964"/>
  <c r="H969"/>
  <c r="H1230"/>
  <c r="I1225"/>
  <c r="I1002"/>
  <c r="H1007"/>
  <c r="H1279"/>
  <c r="I1274"/>
  <c r="I698"/>
  <c r="H703"/>
  <c r="H741"/>
  <c r="I736"/>
  <c r="H1132"/>
  <c r="I1127"/>
  <c r="I888"/>
  <c r="H893"/>
  <c r="I204"/>
  <c r="H209"/>
  <c r="H1045"/>
  <c r="I1040"/>
  <c r="I1176"/>
  <c r="H1181"/>
  <c r="I660"/>
  <c r="H665"/>
  <c r="I546"/>
  <c r="H551"/>
  <c r="I318"/>
  <c r="H323"/>
  <c r="H285"/>
  <c r="I280"/>
  <c r="I242"/>
  <c r="H247"/>
  <c r="H627"/>
  <c r="I622"/>
  <c r="I926"/>
  <c r="H931"/>
  <c r="H475"/>
  <c r="I470"/>
  <c r="H513"/>
  <c r="I508"/>
  <c r="I850"/>
  <c r="H855"/>
  <c r="H437"/>
  <c r="I432"/>
  <c r="I1078"/>
  <c r="H1083"/>
  <c r="I584"/>
  <c r="H589"/>
  <c r="I812"/>
  <c r="H817"/>
  <c r="H399"/>
  <c r="I394"/>
  <c r="I356"/>
  <c r="H361"/>
  <c r="C1166"/>
  <c r="C1215"/>
  <c r="C1068"/>
  <c r="C1117"/>
  <c r="C992"/>
  <c r="C1030"/>
  <c r="C916"/>
  <c r="C954"/>
  <c r="C878"/>
  <c r="J24" i="22"/>
  <c r="H85" i="37"/>
  <c r="H129" s="1"/>
  <c r="H38"/>
  <c r="C71"/>
  <c r="C115" s="1"/>
  <c r="C24"/>
  <c r="D167" i="36"/>
  <c r="C764"/>
  <c r="C726"/>
  <c r="C688"/>
  <c r="C650"/>
  <c r="C612"/>
  <c r="C574"/>
  <c r="C498"/>
  <c r="C536"/>
  <c r="C422"/>
  <c r="C460"/>
  <c r="C346"/>
  <c r="C384"/>
  <c r="C270"/>
  <c r="C308"/>
  <c r="C194"/>
  <c r="C232"/>
  <c r="C118"/>
  <c r="C156"/>
  <c r="D91"/>
  <c r="D129"/>
  <c r="F26" i="23"/>
  <c r="D53" i="36"/>
  <c r="C42"/>
  <c r="C80"/>
  <c r="K451" i="35"/>
  <c r="I1263" i="40" l="1"/>
  <c r="I1173"/>
  <c r="I1308"/>
  <c r="I1218"/>
  <c r="I1128"/>
  <c r="I948"/>
  <c r="I1083"/>
  <c r="I1038"/>
  <c r="I768"/>
  <c r="I633"/>
  <c r="I993"/>
  <c r="I813"/>
  <c r="I678"/>
  <c r="I408"/>
  <c r="I858"/>
  <c r="I723"/>
  <c r="I543"/>
  <c r="I273"/>
  <c r="I228"/>
  <c r="I183"/>
  <c r="I138"/>
  <c r="I453"/>
  <c r="I363"/>
  <c r="I318"/>
  <c r="I93"/>
  <c r="I588"/>
  <c r="I903"/>
  <c r="I48"/>
  <c r="J1078" i="36"/>
  <c r="I1083"/>
  <c r="J432"/>
  <c r="I437"/>
  <c r="I855"/>
  <c r="J850"/>
  <c r="J508"/>
  <c r="I513"/>
  <c r="I323"/>
  <c r="J318"/>
  <c r="I1045"/>
  <c r="J1040"/>
  <c r="I209"/>
  <c r="J204"/>
  <c r="J736"/>
  <c r="I741"/>
  <c r="J698"/>
  <c r="I703"/>
  <c r="I1279"/>
  <c r="J1274"/>
  <c r="J1002"/>
  <c r="I1007"/>
  <c r="I1230"/>
  <c r="J1225"/>
  <c r="I969"/>
  <c r="J964"/>
  <c r="J356"/>
  <c r="I361"/>
  <c r="J394"/>
  <c r="I399"/>
  <c r="I817"/>
  <c r="J812"/>
  <c r="J584"/>
  <c r="I589"/>
  <c r="J470"/>
  <c r="I475"/>
  <c r="J926"/>
  <c r="I931"/>
  <c r="I627"/>
  <c r="J622"/>
  <c r="I247"/>
  <c r="J242"/>
  <c r="J280"/>
  <c r="I285"/>
  <c r="J546"/>
  <c r="I551"/>
  <c r="J660"/>
  <c r="I665"/>
  <c r="J1176"/>
  <c r="I1181"/>
  <c r="I893"/>
  <c r="J888"/>
  <c r="J1127"/>
  <c r="I1132"/>
  <c r="J774"/>
  <c r="I779"/>
  <c r="K24" i="22"/>
  <c r="I85" i="37"/>
  <c r="I129" s="1"/>
  <c r="I38"/>
  <c r="E167" i="36"/>
  <c r="E91"/>
  <c r="E129"/>
  <c r="G26" i="23"/>
  <c r="E53" i="36"/>
  <c r="C43" i="22"/>
  <c r="C39" i="23"/>
  <c r="B1288" i="36" s="1"/>
  <c r="J1173" i="40" l="1"/>
  <c r="J1128"/>
  <c r="J1308"/>
  <c r="J1263"/>
  <c r="J1218"/>
  <c r="J1083"/>
  <c r="J993"/>
  <c r="J1038"/>
  <c r="J903"/>
  <c r="J723"/>
  <c r="J633"/>
  <c r="J363"/>
  <c r="J183"/>
  <c r="J138"/>
  <c r="J813"/>
  <c r="J768"/>
  <c r="J453"/>
  <c r="J408"/>
  <c r="J93"/>
  <c r="J48"/>
  <c r="J228"/>
  <c r="J678"/>
  <c r="J543"/>
  <c r="J948"/>
  <c r="J858"/>
  <c r="J588"/>
  <c r="J318"/>
  <c r="J273"/>
  <c r="B1055"/>
  <c r="B1010"/>
  <c r="B920"/>
  <c r="B830"/>
  <c r="B695"/>
  <c r="B245"/>
  <c r="B110"/>
  <c r="B875"/>
  <c r="B560"/>
  <c r="B335"/>
  <c r="B200"/>
  <c r="B740"/>
  <c r="B605"/>
  <c r="B515"/>
  <c r="B425"/>
  <c r="B290"/>
  <c r="B65"/>
  <c r="B1100"/>
  <c r="B965"/>
  <c r="B785"/>
  <c r="B650"/>
  <c r="B470"/>
  <c r="B380"/>
  <c r="B155"/>
  <c r="J893" i="36"/>
  <c r="K888"/>
  <c r="K1176"/>
  <c r="J1181"/>
  <c r="J247"/>
  <c r="K242"/>
  <c r="K622"/>
  <c r="J627"/>
  <c r="J589"/>
  <c r="K584"/>
  <c r="J399"/>
  <c r="K394"/>
  <c r="K356"/>
  <c r="J361"/>
  <c r="J1007"/>
  <c r="K1002"/>
  <c r="J703"/>
  <c r="K698"/>
  <c r="J741"/>
  <c r="K736"/>
  <c r="J1045"/>
  <c r="K1040"/>
  <c r="J513"/>
  <c r="K508"/>
  <c r="J437"/>
  <c r="K432"/>
  <c r="K1078"/>
  <c r="J1083"/>
  <c r="J779"/>
  <c r="K774"/>
  <c r="J1132"/>
  <c r="K1127"/>
  <c r="K660"/>
  <c r="J665"/>
  <c r="K546"/>
  <c r="J551"/>
  <c r="J285"/>
  <c r="K280"/>
  <c r="J931"/>
  <c r="K926"/>
  <c r="J475"/>
  <c r="K470"/>
  <c r="K812"/>
  <c r="J817"/>
  <c r="J969"/>
  <c r="K964"/>
  <c r="J1230"/>
  <c r="K1225"/>
  <c r="J1279"/>
  <c r="K1274"/>
  <c r="K204"/>
  <c r="J209"/>
  <c r="K318"/>
  <c r="J323"/>
  <c r="K850"/>
  <c r="J855"/>
  <c r="B1190"/>
  <c r="B1239"/>
  <c r="B1092"/>
  <c r="B1141"/>
  <c r="B826"/>
  <c r="B864"/>
  <c r="L24" i="22"/>
  <c r="J85" i="37"/>
  <c r="J129" s="1"/>
  <c r="J38"/>
  <c r="B102"/>
  <c r="B55"/>
  <c r="F167" i="36"/>
  <c r="B750"/>
  <c r="B788"/>
  <c r="B674"/>
  <c r="B712"/>
  <c r="B598"/>
  <c r="B636"/>
  <c r="B522"/>
  <c r="B560"/>
  <c r="B446"/>
  <c r="B484"/>
  <c r="B370"/>
  <c r="B408"/>
  <c r="B294"/>
  <c r="B332"/>
  <c r="B218"/>
  <c r="B256"/>
  <c r="B142"/>
  <c r="B180"/>
  <c r="F91"/>
  <c r="F129"/>
  <c r="B66"/>
  <c r="B104"/>
  <c r="H26" i="23"/>
  <c r="F53" i="36"/>
  <c r="D8" i="22"/>
  <c r="D20" s="1"/>
  <c r="B29" i="2"/>
  <c r="B30" s="1"/>
  <c r="E10" i="22"/>
  <c r="E11"/>
  <c r="B33" i="2"/>
  <c r="C33" s="1"/>
  <c r="D33" s="1"/>
  <c r="E33" s="1"/>
  <c r="F33" s="1"/>
  <c r="G33" s="1"/>
  <c r="H33" s="1"/>
  <c r="I33" s="1"/>
  <c r="J33" s="1"/>
  <c r="K33" s="1"/>
  <c r="B28"/>
  <c r="C28" s="1"/>
  <c r="D28" s="1"/>
  <c r="E28" s="1"/>
  <c r="B43"/>
  <c r="B15" s="1"/>
  <c r="C16"/>
  <c r="E3" i="25"/>
  <c r="F3" s="1"/>
  <c r="D3"/>
  <c r="D8"/>
  <c r="E4"/>
  <c r="F4" s="1"/>
  <c r="D4"/>
  <c r="E5"/>
  <c r="F5" s="1"/>
  <c r="D5"/>
  <c r="K459" i="35"/>
  <c r="K460" s="1"/>
  <c r="K453"/>
  <c r="K454" s="1"/>
  <c r="K455" s="1"/>
  <c r="D16" i="2"/>
  <c r="E16"/>
  <c r="F16"/>
  <c r="G16"/>
  <c r="H16"/>
  <c r="I16"/>
  <c r="J16"/>
  <c r="K16"/>
  <c r="C4" i="23"/>
  <c r="C5"/>
  <c r="G455" i="35"/>
  <c r="AE745" i="32"/>
  <c r="J13" i="29"/>
  <c r="J12"/>
  <c r="J11"/>
  <c r="J10"/>
  <c r="J9"/>
  <c r="J8"/>
  <c r="J7"/>
  <c r="J6"/>
  <c r="J5"/>
  <c r="J4"/>
  <c r="F4"/>
  <c r="B4"/>
  <c r="C11" i="23"/>
  <c r="D17" s="1"/>
  <c r="E16"/>
  <c r="E15"/>
  <c r="F5" i="29"/>
  <c r="F6"/>
  <c r="B11" i="5"/>
  <c r="C11"/>
  <c r="C35"/>
  <c r="D35" s="1"/>
  <c r="E35" s="1"/>
  <c r="F35" s="1"/>
  <c r="G35" s="1"/>
  <c r="H35" s="1"/>
  <c r="I35" s="1"/>
  <c r="J35" s="1"/>
  <c r="K35" s="1"/>
  <c r="C36"/>
  <c r="D36" s="1"/>
  <c r="E36" s="1"/>
  <c r="F36" s="1"/>
  <c r="G36" s="1"/>
  <c r="H36" s="1"/>
  <c r="I36" s="1"/>
  <c r="J36" s="1"/>
  <c r="K36" s="1"/>
  <c r="C13"/>
  <c r="D13" s="1"/>
  <c r="E13" s="1"/>
  <c r="F13" s="1"/>
  <c r="G13" s="1"/>
  <c r="H13" s="1"/>
  <c r="I13" s="1"/>
  <c r="J13" s="1"/>
  <c r="K13" s="1"/>
  <c r="D11"/>
  <c r="E11"/>
  <c r="F11"/>
  <c r="G11"/>
  <c r="H11"/>
  <c r="I11"/>
  <c r="J11"/>
  <c r="K11"/>
  <c r="C33" i="4"/>
  <c r="B5" i="29"/>
  <c r="F24" i="9"/>
  <c r="F23"/>
  <c r="F21"/>
  <c r="F20"/>
  <c r="F19"/>
  <c r="F18"/>
  <c r="F17"/>
  <c r="F16"/>
  <c r="K1308" i="40" l="1"/>
  <c r="K1263"/>
  <c r="K1218"/>
  <c r="K903"/>
  <c r="K993"/>
  <c r="K1083"/>
  <c r="K858"/>
  <c r="K1038"/>
  <c r="K948"/>
  <c r="K723"/>
  <c r="K588"/>
  <c r="K813"/>
  <c r="K768"/>
  <c r="K453"/>
  <c r="K408"/>
  <c r="K1173"/>
  <c r="K678"/>
  <c r="K633"/>
  <c r="K363"/>
  <c r="K318"/>
  <c r="K1128"/>
  <c r="K138"/>
  <c r="K228"/>
  <c r="K183"/>
  <c r="K273"/>
  <c r="K543"/>
  <c r="K48"/>
  <c r="K93"/>
  <c r="C1259"/>
  <c r="C81" i="37"/>
  <c r="C1304" i="40"/>
  <c r="C1214"/>
  <c r="C1034"/>
  <c r="C1169"/>
  <c r="C1079"/>
  <c r="C809"/>
  <c r="C674"/>
  <c r="C989"/>
  <c r="C539"/>
  <c r="C449"/>
  <c r="C854"/>
  <c r="C629"/>
  <c r="C314"/>
  <c r="C944"/>
  <c r="C899"/>
  <c r="C764"/>
  <c r="C404"/>
  <c r="C269"/>
  <c r="C224"/>
  <c r="C1124"/>
  <c r="C719"/>
  <c r="C494"/>
  <c r="C179"/>
  <c r="C89"/>
  <c r="C359"/>
  <c r="C584"/>
  <c r="C44"/>
  <c r="C134"/>
  <c r="D934"/>
  <c r="D529"/>
  <c r="D394"/>
  <c r="D259"/>
  <c r="D34"/>
  <c r="D1069"/>
  <c r="D304"/>
  <c r="D169"/>
  <c r="D1249"/>
  <c r="D1204"/>
  <c r="D1159"/>
  <c r="D1024"/>
  <c r="D979"/>
  <c r="D664"/>
  <c r="D619"/>
  <c r="D574"/>
  <c r="D484"/>
  <c r="D439"/>
  <c r="D214"/>
  <c r="D79"/>
  <c r="D1294"/>
  <c r="D1114"/>
  <c r="D889"/>
  <c r="D844"/>
  <c r="D799"/>
  <c r="D754"/>
  <c r="D709"/>
  <c r="D349"/>
  <c r="D124"/>
  <c r="D1205"/>
  <c r="D1025"/>
  <c r="D440"/>
  <c r="D395"/>
  <c r="D80"/>
  <c r="D35"/>
  <c r="D1295"/>
  <c r="D1115"/>
  <c r="D1070"/>
  <c r="D350"/>
  <c r="D305"/>
  <c r="D1250"/>
  <c r="D1160"/>
  <c r="D980"/>
  <c r="D530"/>
  <c r="D485"/>
  <c r="D260"/>
  <c r="D215"/>
  <c r="D170"/>
  <c r="D125"/>
  <c r="D12" i="22"/>
  <c r="D3"/>
  <c r="D5" s="1"/>
  <c r="L850" i="36"/>
  <c r="K855"/>
  <c r="K323"/>
  <c r="L318"/>
  <c r="L204"/>
  <c r="K209"/>
  <c r="K969"/>
  <c r="L964"/>
  <c r="L812"/>
  <c r="K817"/>
  <c r="L470"/>
  <c r="K475"/>
  <c r="K285"/>
  <c r="L280"/>
  <c r="K551"/>
  <c r="L546"/>
  <c r="L660"/>
  <c r="K665"/>
  <c r="L1127"/>
  <c r="K1132"/>
  <c r="L774"/>
  <c r="K779"/>
  <c r="L1078"/>
  <c r="K1083"/>
  <c r="L698"/>
  <c r="K703"/>
  <c r="L242"/>
  <c r="K247"/>
  <c r="K1279"/>
  <c r="L1274"/>
  <c r="K1230"/>
  <c r="L1225"/>
  <c r="L926"/>
  <c r="K931"/>
  <c r="L432"/>
  <c r="K437"/>
  <c r="L508"/>
  <c r="K513"/>
  <c r="K1045"/>
  <c r="L1040"/>
  <c r="L736"/>
  <c r="K741"/>
  <c r="L1002"/>
  <c r="K1007"/>
  <c r="L356"/>
  <c r="K361"/>
  <c r="L394"/>
  <c r="K399"/>
  <c r="L584"/>
  <c r="K589"/>
  <c r="K627"/>
  <c r="L622"/>
  <c r="L1176"/>
  <c r="K1181"/>
  <c r="L888"/>
  <c r="K893"/>
  <c r="D1216"/>
  <c r="D1265"/>
  <c r="D1215"/>
  <c r="D1264"/>
  <c r="C1217"/>
  <c r="C1218" s="1"/>
  <c r="C1220" s="1"/>
  <c r="C1222" s="1"/>
  <c r="C1266"/>
  <c r="C1267" s="1"/>
  <c r="C1269" s="1"/>
  <c r="D1118"/>
  <c r="D1167"/>
  <c r="D1117"/>
  <c r="D1166"/>
  <c r="C1119"/>
  <c r="C1120" s="1"/>
  <c r="C1122" s="1"/>
  <c r="C1124" s="1"/>
  <c r="C1168"/>
  <c r="C1169" s="1"/>
  <c r="C1171" s="1"/>
  <c r="D1031"/>
  <c r="D1069"/>
  <c r="D1030"/>
  <c r="D1068"/>
  <c r="C1032"/>
  <c r="C1070"/>
  <c r="D954"/>
  <c r="D992"/>
  <c r="D955"/>
  <c r="D993"/>
  <c r="C956"/>
  <c r="C994"/>
  <c r="D878"/>
  <c r="D916"/>
  <c r="D879"/>
  <c r="D917"/>
  <c r="C880"/>
  <c r="C881" s="1"/>
  <c r="C883" s="1"/>
  <c r="C885" s="1"/>
  <c r="C918"/>
  <c r="D803"/>
  <c r="D841"/>
  <c r="C804"/>
  <c r="C805" s="1"/>
  <c r="C807" s="1"/>
  <c r="C809" s="1"/>
  <c r="C842"/>
  <c r="C766"/>
  <c r="C767" s="1"/>
  <c r="C728"/>
  <c r="C729" s="1"/>
  <c r="C652"/>
  <c r="C653" s="1"/>
  <c r="C386"/>
  <c r="C387" s="1"/>
  <c r="C389" s="1"/>
  <c r="C391" s="1"/>
  <c r="C500"/>
  <c r="C501" s="1"/>
  <c r="C690"/>
  <c r="C691" s="1"/>
  <c r="C614"/>
  <c r="C576"/>
  <c r="C538"/>
  <c r="C462"/>
  <c r="C424"/>
  <c r="C348"/>
  <c r="D348" s="1"/>
  <c r="D18" i="23"/>
  <c r="M24" i="22"/>
  <c r="K85" i="37"/>
  <c r="K129" s="1"/>
  <c r="K38"/>
  <c r="D71"/>
  <c r="D115" s="1"/>
  <c r="D72"/>
  <c r="D116" s="1"/>
  <c r="D24"/>
  <c r="D25"/>
  <c r="G167" i="36"/>
  <c r="D726"/>
  <c r="D764"/>
  <c r="D727"/>
  <c r="D765"/>
  <c r="D650"/>
  <c r="D688"/>
  <c r="D651"/>
  <c r="D689"/>
  <c r="D612"/>
  <c r="D536"/>
  <c r="D574"/>
  <c r="D461"/>
  <c r="D460"/>
  <c r="D498"/>
  <c r="D384"/>
  <c r="D422"/>
  <c r="D385"/>
  <c r="D423"/>
  <c r="D309"/>
  <c r="D347"/>
  <c r="D308"/>
  <c r="D346"/>
  <c r="C310"/>
  <c r="D233"/>
  <c r="D271"/>
  <c r="D232"/>
  <c r="D270"/>
  <c r="C234"/>
  <c r="C272"/>
  <c r="D157"/>
  <c r="D195"/>
  <c r="D156"/>
  <c r="D194"/>
  <c r="C158"/>
  <c r="C196"/>
  <c r="C128"/>
  <c r="C133" s="1"/>
  <c r="C166"/>
  <c r="G91"/>
  <c r="G129"/>
  <c r="D81"/>
  <c r="D119"/>
  <c r="D80"/>
  <c r="D118"/>
  <c r="C82"/>
  <c r="C120"/>
  <c r="C90"/>
  <c r="C95" s="1"/>
  <c r="D30" i="23"/>
  <c r="I26"/>
  <c r="G53" i="36"/>
  <c r="O55" i="23"/>
  <c r="E25"/>
  <c r="C52" i="36"/>
  <c r="C57" s="1"/>
  <c r="E17" i="23"/>
  <c r="C44" i="36"/>
  <c r="F16" i="23"/>
  <c r="D43" i="36"/>
  <c r="F15" i="23"/>
  <c r="D42" i="36"/>
  <c r="B6" i="29"/>
  <c r="F11" i="22"/>
  <c r="B16" i="2"/>
  <c r="B60"/>
  <c r="B61"/>
  <c r="C61" s="1"/>
  <c r="D61" s="1"/>
  <c r="E61" s="1"/>
  <c r="F61" s="1"/>
  <c r="G61" s="1"/>
  <c r="H61" s="1"/>
  <c r="I61" s="1"/>
  <c r="J61" s="1"/>
  <c r="K61" s="1"/>
  <c r="C8" i="23"/>
  <c r="C43" i="2"/>
  <c r="C15" s="1"/>
  <c r="C29"/>
  <c r="D29" s="1"/>
  <c r="E29" s="1"/>
  <c r="F29" s="1"/>
  <c r="G29" s="1"/>
  <c r="H29" s="1"/>
  <c r="I29" s="1"/>
  <c r="J29" s="1"/>
  <c r="K29" s="1"/>
  <c r="G3" i="25"/>
  <c r="B32" i="5" s="1"/>
  <c r="L27" i="22"/>
  <c r="N55" i="23"/>
  <c r="G4" i="25"/>
  <c r="B33" i="5" s="1"/>
  <c r="C33" s="1"/>
  <c r="D33" s="1"/>
  <c r="E33" s="1"/>
  <c r="F33" s="1"/>
  <c r="G33" s="1"/>
  <c r="H33" s="1"/>
  <c r="I33" s="1"/>
  <c r="J33" s="1"/>
  <c r="K33" s="1"/>
  <c r="R55" i="23"/>
  <c r="B32" i="2"/>
  <c r="C32" s="1"/>
  <c r="D32" s="1"/>
  <c r="E32" s="1"/>
  <c r="F32" s="1"/>
  <c r="G32" s="1"/>
  <c r="H32" s="1"/>
  <c r="I32" s="1"/>
  <c r="J32" s="1"/>
  <c r="K32" s="1"/>
  <c r="B31"/>
  <c r="C31" s="1"/>
  <c r="D31" s="1"/>
  <c r="E31" s="1"/>
  <c r="F31" s="1"/>
  <c r="G31" s="1"/>
  <c r="H31" s="1"/>
  <c r="I31" s="1"/>
  <c r="J31" s="1"/>
  <c r="K31" s="1"/>
  <c r="K461" i="35"/>
  <c r="B30" i="5" s="1"/>
  <c r="C30" s="1"/>
  <c r="D30" s="1"/>
  <c r="E30" s="1"/>
  <c r="F30" s="1"/>
  <c r="G30" s="1"/>
  <c r="H30" s="1"/>
  <c r="I30" s="1"/>
  <c r="J30" s="1"/>
  <c r="K30" s="1"/>
  <c r="G5" i="25"/>
  <c r="B34" i="5" s="1"/>
  <c r="C34" s="1"/>
  <c r="D34" s="1"/>
  <c r="E34" s="1"/>
  <c r="F34" s="1"/>
  <c r="G34" s="1"/>
  <c r="H34" s="1"/>
  <c r="I34" s="1"/>
  <c r="J34" s="1"/>
  <c r="K34" s="1"/>
  <c r="Q55" i="23"/>
  <c r="P55"/>
  <c r="F28" i="2"/>
  <c r="C30"/>
  <c r="F10" i="22"/>
  <c r="E4" l="1"/>
  <c r="K1176" i="40"/>
  <c r="K1131"/>
  <c r="K1311"/>
  <c r="K1086"/>
  <c r="K996"/>
  <c r="K1221"/>
  <c r="K1041"/>
  <c r="K726"/>
  <c r="K951"/>
  <c r="K636"/>
  <c r="K366"/>
  <c r="K186"/>
  <c r="K141"/>
  <c r="K816"/>
  <c r="K771"/>
  <c r="K456"/>
  <c r="K411"/>
  <c r="K96"/>
  <c r="K51"/>
  <c r="K591"/>
  <c r="K861"/>
  <c r="K681"/>
  <c r="K546"/>
  <c r="K501"/>
  <c r="K906"/>
  <c r="K231"/>
  <c r="K1266"/>
  <c r="K321"/>
  <c r="K276"/>
  <c r="L1218"/>
  <c r="L1038"/>
  <c r="L1308"/>
  <c r="L993"/>
  <c r="L948"/>
  <c r="L813"/>
  <c r="L1173"/>
  <c r="L858"/>
  <c r="L768"/>
  <c r="L678"/>
  <c r="L1263"/>
  <c r="L903"/>
  <c r="L543"/>
  <c r="L453"/>
  <c r="L633"/>
  <c r="L363"/>
  <c r="L318"/>
  <c r="L1128"/>
  <c r="L588"/>
  <c r="L273"/>
  <c r="L228"/>
  <c r="L48"/>
  <c r="L723"/>
  <c r="L183"/>
  <c r="L1083"/>
  <c r="L408"/>
  <c r="L138"/>
  <c r="L93"/>
  <c r="E1294"/>
  <c r="E1114"/>
  <c r="E889"/>
  <c r="E844"/>
  <c r="E799"/>
  <c r="E754"/>
  <c r="E709"/>
  <c r="E349"/>
  <c r="E124"/>
  <c r="E934"/>
  <c r="E529"/>
  <c r="E394"/>
  <c r="E259"/>
  <c r="E34"/>
  <c r="E1069"/>
  <c r="E304"/>
  <c r="E169"/>
  <c r="E1249"/>
  <c r="E1204"/>
  <c r="E1159"/>
  <c r="E1024"/>
  <c r="E979"/>
  <c r="E664"/>
  <c r="E619"/>
  <c r="E574"/>
  <c r="E484"/>
  <c r="E439"/>
  <c r="E214"/>
  <c r="E79"/>
  <c r="E170"/>
  <c r="E125"/>
  <c r="E1205"/>
  <c r="E1025"/>
  <c r="E440"/>
  <c r="E395"/>
  <c r="E80"/>
  <c r="E35"/>
  <c r="E1295"/>
  <c r="E1115"/>
  <c r="E1070"/>
  <c r="E350"/>
  <c r="E305"/>
  <c r="E1250"/>
  <c r="E1160"/>
  <c r="E980"/>
  <c r="E530"/>
  <c r="E485"/>
  <c r="E260"/>
  <c r="E215"/>
  <c r="C1206"/>
  <c r="C1207" s="1"/>
  <c r="C1209" s="1"/>
  <c r="C1071"/>
  <c r="C1072" s="1"/>
  <c r="C1074" s="1"/>
  <c r="C1026"/>
  <c r="C1027" s="1"/>
  <c r="C1029" s="1"/>
  <c r="C981"/>
  <c r="C982" s="1"/>
  <c r="C984" s="1"/>
  <c r="C846"/>
  <c r="C847" s="1"/>
  <c r="C849" s="1"/>
  <c r="C621"/>
  <c r="C622" s="1"/>
  <c r="C624" s="1"/>
  <c r="C396"/>
  <c r="C397" s="1"/>
  <c r="C399" s="1"/>
  <c r="C261"/>
  <c r="C1251"/>
  <c r="C1252" s="1"/>
  <c r="C1254" s="1"/>
  <c r="C801"/>
  <c r="C802" s="1"/>
  <c r="C804" s="1"/>
  <c r="C576"/>
  <c r="C577" s="1"/>
  <c r="C579" s="1"/>
  <c r="C306"/>
  <c r="C756"/>
  <c r="C757" s="1"/>
  <c r="C759" s="1"/>
  <c r="C531"/>
  <c r="C532" s="1"/>
  <c r="C534" s="1"/>
  <c r="C441"/>
  <c r="C442" s="1"/>
  <c r="C444" s="1"/>
  <c r="C1296"/>
  <c r="C1297" s="1"/>
  <c r="C1299" s="1"/>
  <c r="C1161"/>
  <c r="C1162" s="1"/>
  <c r="C1164" s="1"/>
  <c r="C1116"/>
  <c r="C1117" s="1"/>
  <c r="C1119" s="1"/>
  <c r="C936"/>
  <c r="C937" s="1"/>
  <c r="C939" s="1"/>
  <c r="C891"/>
  <c r="C892" s="1"/>
  <c r="C894" s="1"/>
  <c r="C711"/>
  <c r="C712" s="1"/>
  <c r="C714" s="1"/>
  <c r="C666"/>
  <c r="C667" s="1"/>
  <c r="C669" s="1"/>
  <c r="C486"/>
  <c r="C487" s="1"/>
  <c r="C489" s="1"/>
  <c r="C351"/>
  <c r="C171"/>
  <c r="C216"/>
  <c r="C81"/>
  <c r="C126"/>
  <c r="C36"/>
  <c r="C349" i="36"/>
  <c r="C351" s="1"/>
  <c r="C353" s="1"/>
  <c r="K1281"/>
  <c r="I1281"/>
  <c r="G1281"/>
  <c r="E1281"/>
  <c r="C1281"/>
  <c r="B1246"/>
  <c r="L1232"/>
  <c r="J1232"/>
  <c r="H1232"/>
  <c r="F1232"/>
  <c r="D1232"/>
  <c r="B1197"/>
  <c r="L1183"/>
  <c r="J1183"/>
  <c r="H1183"/>
  <c r="F1183"/>
  <c r="D1183"/>
  <c r="K1134"/>
  <c r="I1134"/>
  <c r="G1134"/>
  <c r="E1134"/>
  <c r="C1134"/>
  <c r="L1085"/>
  <c r="J1085"/>
  <c r="H1085"/>
  <c r="F1085"/>
  <c r="D1085"/>
  <c r="C46" i="23"/>
  <c r="B1295" i="36"/>
  <c r="L1281"/>
  <c r="J1281"/>
  <c r="H1281"/>
  <c r="F1281"/>
  <c r="D1281"/>
  <c r="K1232"/>
  <c r="I1232"/>
  <c r="G1232"/>
  <c r="E1232"/>
  <c r="C1232"/>
  <c r="K1183"/>
  <c r="I1183"/>
  <c r="G1183"/>
  <c r="E1183"/>
  <c r="C1183"/>
  <c r="B1148"/>
  <c r="L1134"/>
  <c r="J1134"/>
  <c r="H1134"/>
  <c r="F1134"/>
  <c r="D1134"/>
  <c r="B1099"/>
  <c r="B1110" s="1"/>
  <c r="K1085"/>
  <c r="I1085"/>
  <c r="G1085"/>
  <c r="E1085"/>
  <c r="C1085"/>
  <c r="L1047"/>
  <c r="J1047"/>
  <c r="H1047"/>
  <c r="F1047"/>
  <c r="D1047"/>
  <c r="B1023"/>
  <c r="K1009"/>
  <c r="I1009"/>
  <c r="G1009"/>
  <c r="E1009"/>
  <c r="C1009"/>
  <c r="L971"/>
  <c r="J971"/>
  <c r="H971"/>
  <c r="F971"/>
  <c r="D971"/>
  <c r="B947"/>
  <c r="B1061"/>
  <c r="I1047"/>
  <c r="E1047"/>
  <c r="L1009"/>
  <c r="H1009"/>
  <c r="D1009"/>
  <c r="K971"/>
  <c r="G971"/>
  <c r="C971"/>
  <c r="K1047"/>
  <c r="G1047"/>
  <c r="C1047"/>
  <c r="J1009"/>
  <c r="F1009"/>
  <c r="B985"/>
  <c r="I971"/>
  <c r="E971"/>
  <c r="L933"/>
  <c r="J933"/>
  <c r="H933"/>
  <c r="F933"/>
  <c r="D933"/>
  <c r="K895"/>
  <c r="I895"/>
  <c r="G895"/>
  <c r="E895"/>
  <c r="C895"/>
  <c r="K857"/>
  <c r="I857"/>
  <c r="G857"/>
  <c r="E857"/>
  <c r="C857"/>
  <c r="K819"/>
  <c r="I819"/>
  <c r="G819"/>
  <c r="E819"/>
  <c r="C819"/>
  <c r="K933"/>
  <c r="I933"/>
  <c r="G933"/>
  <c r="E933"/>
  <c r="C933"/>
  <c r="B909"/>
  <c r="L895"/>
  <c r="J895"/>
  <c r="H895"/>
  <c r="F895"/>
  <c r="D895"/>
  <c r="B871"/>
  <c r="L857"/>
  <c r="J857"/>
  <c r="H857"/>
  <c r="F857"/>
  <c r="D857"/>
  <c r="B833"/>
  <c r="L819"/>
  <c r="J819"/>
  <c r="H819"/>
  <c r="F819"/>
  <c r="D819"/>
  <c r="M1176"/>
  <c r="L1181"/>
  <c r="L741"/>
  <c r="M736"/>
  <c r="L513"/>
  <c r="M508"/>
  <c r="L437"/>
  <c r="M432"/>
  <c r="L931"/>
  <c r="M926"/>
  <c r="M1225"/>
  <c r="L1230"/>
  <c r="L247"/>
  <c r="M242"/>
  <c r="L703"/>
  <c r="M698"/>
  <c r="L1083"/>
  <c r="M1078"/>
  <c r="L779"/>
  <c r="M774"/>
  <c r="M1127"/>
  <c r="L1132"/>
  <c r="M546"/>
  <c r="L551"/>
  <c r="L285"/>
  <c r="M280"/>
  <c r="L969"/>
  <c r="M964"/>
  <c r="L855"/>
  <c r="M850"/>
  <c r="L893"/>
  <c r="M888"/>
  <c r="M622"/>
  <c r="L627"/>
  <c r="L589"/>
  <c r="M584"/>
  <c r="L399"/>
  <c r="M394"/>
  <c r="M356"/>
  <c r="L361"/>
  <c r="L1007"/>
  <c r="M1002"/>
  <c r="L1045"/>
  <c r="M1040"/>
  <c r="M1274"/>
  <c r="L1279"/>
  <c r="M660"/>
  <c r="L665"/>
  <c r="L475"/>
  <c r="M470"/>
  <c r="L817"/>
  <c r="M812"/>
  <c r="M204"/>
  <c r="L209"/>
  <c r="M318"/>
  <c r="L323"/>
  <c r="E1216"/>
  <c r="E1265"/>
  <c r="E1215"/>
  <c r="E1264"/>
  <c r="D1217"/>
  <c r="D1218" s="1"/>
  <c r="D1220" s="1"/>
  <c r="D1222" s="1"/>
  <c r="D1266"/>
  <c r="D1267" s="1"/>
  <c r="D1269" s="1"/>
  <c r="D1271" s="1"/>
  <c r="C1271"/>
  <c r="E1118"/>
  <c r="E1167"/>
  <c r="D1119"/>
  <c r="D1120" s="1"/>
  <c r="D1122" s="1"/>
  <c r="D1124" s="1"/>
  <c r="D1168"/>
  <c r="D1169" s="1"/>
  <c r="D1171" s="1"/>
  <c r="D1173" s="1"/>
  <c r="E1117"/>
  <c r="E1166"/>
  <c r="C1173"/>
  <c r="E1031"/>
  <c r="E1069"/>
  <c r="D1032"/>
  <c r="D1070"/>
  <c r="E1030"/>
  <c r="E1068"/>
  <c r="E954"/>
  <c r="E992"/>
  <c r="E955"/>
  <c r="E993"/>
  <c r="D956"/>
  <c r="D994"/>
  <c r="E878"/>
  <c r="E916"/>
  <c r="E879"/>
  <c r="E917"/>
  <c r="D880"/>
  <c r="D881" s="1"/>
  <c r="D883" s="1"/>
  <c r="D885" s="1"/>
  <c r="D918"/>
  <c r="D804"/>
  <c r="D842"/>
  <c r="E803"/>
  <c r="E841"/>
  <c r="C769"/>
  <c r="C771" s="1"/>
  <c r="C693"/>
  <c r="C695" s="1"/>
  <c r="C731"/>
  <c r="C655"/>
  <c r="E20" i="22"/>
  <c r="C34" i="37"/>
  <c r="C125" s="1"/>
  <c r="K781" i="36"/>
  <c r="I781"/>
  <c r="G781"/>
  <c r="E781"/>
  <c r="C781"/>
  <c r="K743"/>
  <c r="I743"/>
  <c r="G743"/>
  <c r="E743"/>
  <c r="C743"/>
  <c r="K705"/>
  <c r="I705"/>
  <c r="G705"/>
  <c r="E705"/>
  <c r="C705"/>
  <c r="K667"/>
  <c r="I667"/>
  <c r="G667"/>
  <c r="E667"/>
  <c r="C667"/>
  <c r="L629"/>
  <c r="J629"/>
  <c r="H629"/>
  <c r="F629"/>
  <c r="D629"/>
  <c r="B605"/>
  <c r="L591"/>
  <c r="J591"/>
  <c r="H591"/>
  <c r="F591"/>
  <c r="D591"/>
  <c r="K553"/>
  <c r="I553"/>
  <c r="G553"/>
  <c r="E553"/>
  <c r="C553"/>
  <c r="B529"/>
  <c r="L553"/>
  <c r="H553"/>
  <c r="D553"/>
  <c r="B795"/>
  <c r="L781"/>
  <c r="J781"/>
  <c r="H781"/>
  <c r="F781"/>
  <c r="D781"/>
  <c r="B757"/>
  <c r="L743"/>
  <c r="J743"/>
  <c r="H743"/>
  <c r="F743"/>
  <c r="D743"/>
  <c r="B719"/>
  <c r="L705"/>
  <c r="J705"/>
  <c r="H705"/>
  <c r="F705"/>
  <c r="D705"/>
  <c r="B681"/>
  <c r="L667"/>
  <c r="J667"/>
  <c r="H667"/>
  <c r="F667"/>
  <c r="D667"/>
  <c r="B643"/>
  <c r="K629"/>
  <c r="I629"/>
  <c r="G629"/>
  <c r="E629"/>
  <c r="C629"/>
  <c r="K591"/>
  <c r="I591"/>
  <c r="G591"/>
  <c r="E591"/>
  <c r="C591"/>
  <c r="B567"/>
  <c r="J553"/>
  <c r="F553"/>
  <c r="K515"/>
  <c r="I515"/>
  <c r="G515"/>
  <c r="E515"/>
  <c r="C515"/>
  <c r="B491"/>
  <c r="L477"/>
  <c r="J477"/>
  <c r="H477"/>
  <c r="F477"/>
  <c r="D477"/>
  <c r="B453"/>
  <c r="L439"/>
  <c r="J439"/>
  <c r="H439"/>
  <c r="F439"/>
  <c r="D439"/>
  <c r="L401"/>
  <c r="J401"/>
  <c r="H401"/>
  <c r="F401"/>
  <c r="D401"/>
  <c r="B377"/>
  <c r="L363"/>
  <c r="J363"/>
  <c r="H363"/>
  <c r="F363"/>
  <c r="D363"/>
  <c r="B339"/>
  <c r="K325"/>
  <c r="I325"/>
  <c r="G325"/>
  <c r="E325"/>
  <c r="C325"/>
  <c r="K287"/>
  <c r="I287"/>
  <c r="G287"/>
  <c r="E287"/>
  <c r="C287"/>
  <c r="K249"/>
  <c r="I249"/>
  <c r="G249"/>
  <c r="E249"/>
  <c r="C249"/>
  <c r="B225"/>
  <c r="E211"/>
  <c r="G211"/>
  <c r="I211"/>
  <c r="K211"/>
  <c r="C211"/>
  <c r="D173"/>
  <c r="F173"/>
  <c r="H173"/>
  <c r="J173"/>
  <c r="L173"/>
  <c r="D135"/>
  <c r="F135"/>
  <c r="H135"/>
  <c r="J135"/>
  <c r="L135"/>
  <c r="D97"/>
  <c r="F97"/>
  <c r="H97"/>
  <c r="J97"/>
  <c r="L97"/>
  <c r="D59"/>
  <c r="H59"/>
  <c r="L59"/>
  <c r="L515"/>
  <c r="J515"/>
  <c r="H515"/>
  <c r="F515"/>
  <c r="D515"/>
  <c r="K477"/>
  <c r="I477"/>
  <c r="G477"/>
  <c r="E477"/>
  <c r="C477"/>
  <c r="K439"/>
  <c r="I439"/>
  <c r="G439"/>
  <c r="E439"/>
  <c r="C439"/>
  <c r="B415"/>
  <c r="K401"/>
  <c r="I401"/>
  <c r="G401"/>
  <c r="E401"/>
  <c r="C401"/>
  <c r="K363"/>
  <c r="I363"/>
  <c r="G363"/>
  <c r="E363"/>
  <c r="C363"/>
  <c r="L325"/>
  <c r="J325"/>
  <c r="H325"/>
  <c r="F325"/>
  <c r="D325"/>
  <c r="B301"/>
  <c r="L287"/>
  <c r="J287"/>
  <c r="H287"/>
  <c r="F287"/>
  <c r="D287"/>
  <c r="B263"/>
  <c r="L249"/>
  <c r="J249"/>
  <c r="H249"/>
  <c r="F249"/>
  <c r="D249"/>
  <c r="D211"/>
  <c r="F211"/>
  <c r="H211"/>
  <c r="J211"/>
  <c r="L211"/>
  <c r="B187"/>
  <c r="E173"/>
  <c r="G173"/>
  <c r="I173"/>
  <c r="K173"/>
  <c r="C173"/>
  <c r="B149"/>
  <c r="E135"/>
  <c r="G135"/>
  <c r="I135"/>
  <c r="K135"/>
  <c r="C135"/>
  <c r="B111"/>
  <c r="E97"/>
  <c r="G97"/>
  <c r="I97"/>
  <c r="K97"/>
  <c r="C97"/>
  <c r="B73"/>
  <c r="E59"/>
  <c r="G59"/>
  <c r="I59"/>
  <c r="K59"/>
  <c r="C59"/>
  <c r="F59"/>
  <c r="J59"/>
  <c r="N24" i="22"/>
  <c r="L85" i="37"/>
  <c r="L129" s="1"/>
  <c r="L38"/>
  <c r="D13" i="22"/>
  <c r="K88" i="37"/>
  <c r="K132" s="1"/>
  <c r="E71"/>
  <c r="E115" s="1"/>
  <c r="E72"/>
  <c r="E116" s="1"/>
  <c r="C73"/>
  <c r="C117" s="1"/>
  <c r="E24"/>
  <c r="M27" i="22"/>
  <c r="K41" i="37"/>
  <c r="G11" i="22"/>
  <c r="E25" i="37"/>
  <c r="E12" i="22"/>
  <c r="C26" i="37"/>
  <c r="D766" i="36"/>
  <c r="D767" s="1"/>
  <c r="H167"/>
  <c r="D166"/>
  <c r="D171" s="1"/>
  <c r="E726"/>
  <c r="E764"/>
  <c r="E727"/>
  <c r="E765"/>
  <c r="D690"/>
  <c r="D691" s="1"/>
  <c r="D728"/>
  <c r="D729" s="1"/>
  <c r="C733"/>
  <c r="E650"/>
  <c r="E688"/>
  <c r="E651"/>
  <c r="E689"/>
  <c r="D614"/>
  <c r="D615" s="1"/>
  <c r="D652"/>
  <c r="D653" s="1"/>
  <c r="E612"/>
  <c r="D538"/>
  <c r="D539" s="1"/>
  <c r="D576"/>
  <c r="D577" s="1"/>
  <c r="E536"/>
  <c r="E574"/>
  <c r="C503"/>
  <c r="D462"/>
  <c r="D500"/>
  <c r="D501" s="1"/>
  <c r="E461"/>
  <c r="E460"/>
  <c r="E498"/>
  <c r="D386"/>
  <c r="D387" s="1"/>
  <c r="D389" s="1"/>
  <c r="D391" s="1"/>
  <c r="D424"/>
  <c r="E384"/>
  <c r="E422"/>
  <c r="E385"/>
  <c r="E423"/>
  <c r="E348"/>
  <c r="F348" s="1"/>
  <c r="G348" s="1"/>
  <c r="H348" s="1"/>
  <c r="I348" s="1"/>
  <c r="J348" s="1"/>
  <c r="K348" s="1"/>
  <c r="L348" s="1"/>
  <c r="M348" s="1"/>
  <c r="N348" s="1"/>
  <c r="O348" s="1"/>
  <c r="P348" s="1"/>
  <c r="Q348" s="1"/>
  <c r="D349"/>
  <c r="D351" s="1"/>
  <c r="D353" s="1"/>
  <c r="E309"/>
  <c r="E347"/>
  <c r="E308"/>
  <c r="E346"/>
  <c r="D310"/>
  <c r="C311"/>
  <c r="E233"/>
  <c r="E271"/>
  <c r="E232"/>
  <c r="E270"/>
  <c r="D234"/>
  <c r="D272"/>
  <c r="C235"/>
  <c r="C273"/>
  <c r="E157"/>
  <c r="E195"/>
  <c r="D158"/>
  <c r="D196"/>
  <c r="E156"/>
  <c r="E194"/>
  <c r="C159"/>
  <c r="C197"/>
  <c r="C171"/>
  <c r="H91"/>
  <c r="H129"/>
  <c r="D90"/>
  <c r="D95" s="1"/>
  <c r="D128"/>
  <c r="E81"/>
  <c r="E119"/>
  <c r="E80"/>
  <c r="E118"/>
  <c r="D82"/>
  <c r="D120"/>
  <c r="C83"/>
  <c r="C121"/>
  <c r="J26" i="23"/>
  <c r="H53" i="36"/>
  <c r="F25" i="23"/>
  <c r="D52" i="36"/>
  <c r="D57" s="1"/>
  <c r="E42"/>
  <c r="E30" i="23"/>
  <c r="D20"/>
  <c r="C45" i="36"/>
  <c r="F17" i="23"/>
  <c r="D44" i="36"/>
  <c r="G15" i="23"/>
  <c r="G16"/>
  <c r="E43" i="36"/>
  <c r="F32" i="23"/>
  <c r="E32"/>
  <c r="G32"/>
  <c r="I32"/>
  <c r="K32"/>
  <c r="M32"/>
  <c r="H32"/>
  <c r="J32"/>
  <c r="L32"/>
  <c r="D32"/>
  <c r="D43" s="1"/>
  <c r="F7" i="29"/>
  <c r="B62" i="2"/>
  <c r="B66" s="1"/>
  <c r="B14" s="1"/>
  <c r="E7" i="23"/>
  <c r="C9"/>
  <c r="E5"/>
  <c r="C25" i="22"/>
  <c r="E6" i="23"/>
  <c r="E4"/>
  <c r="E3"/>
  <c r="D43" i="2"/>
  <c r="C60"/>
  <c r="D60" s="1"/>
  <c r="E60" s="1"/>
  <c r="F60" s="1"/>
  <c r="G60" s="1"/>
  <c r="H60" s="1"/>
  <c r="I60" s="1"/>
  <c r="J60" s="1"/>
  <c r="K60" s="1"/>
  <c r="C32" i="5"/>
  <c r="D32" s="1"/>
  <c r="D37" s="1"/>
  <c r="D12" s="1"/>
  <c r="D14" s="1"/>
  <c r="B37"/>
  <c r="B12" s="1"/>
  <c r="B14" s="1"/>
  <c r="G4" i="29" s="1"/>
  <c r="B7"/>
  <c r="B34" i="2"/>
  <c r="B17" s="1"/>
  <c r="E18" i="23"/>
  <c r="G10" i="22"/>
  <c r="D30" i="2"/>
  <c r="C34"/>
  <c r="C17" s="1"/>
  <c r="G28"/>
  <c r="B153" i="37" l="1"/>
  <c r="L139"/>
  <c r="H139"/>
  <c r="D139"/>
  <c r="I139"/>
  <c r="E139"/>
  <c r="C48"/>
  <c r="L1318" i="40"/>
  <c r="H1318"/>
  <c r="D1318"/>
  <c r="B1287"/>
  <c r="L1273"/>
  <c r="H1273"/>
  <c r="D1273"/>
  <c r="I1228"/>
  <c r="E1228"/>
  <c r="I1183"/>
  <c r="E1183"/>
  <c r="C139" i="37"/>
  <c r="J139"/>
  <c r="I1318" i="40"/>
  <c r="C1318"/>
  <c r="J1273"/>
  <c r="E1273"/>
  <c r="H1228"/>
  <c r="C1228"/>
  <c r="K1183"/>
  <c r="F1183"/>
  <c r="B1152"/>
  <c r="L1138"/>
  <c r="H1138"/>
  <c r="D1138"/>
  <c r="K139" i="37"/>
  <c r="K1318" i="40"/>
  <c r="E1318"/>
  <c r="F1273"/>
  <c r="G1228"/>
  <c r="H1183"/>
  <c r="G139" i="37"/>
  <c r="B62"/>
  <c r="J1318" i="40"/>
  <c r="K1273"/>
  <c r="C1273"/>
  <c r="B1242"/>
  <c r="L1228"/>
  <c r="F1228"/>
  <c r="G1183"/>
  <c r="K1138"/>
  <c r="F1138"/>
  <c r="K1093"/>
  <c r="G1093"/>
  <c r="C1093"/>
  <c r="J1048"/>
  <c r="F1048"/>
  <c r="L1003"/>
  <c r="H1003"/>
  <c r="D1003"/>
  <c r="B972"/>
  <c r="K958"/>
  <c r="G958"/>
  <c r="C958"/>
  <c r="I913"/>
  <c r="E913"/>
  <c r="B882"/>
  <c r="F139" i="37"/>
  <c r="B1332" i="40"/>
  <c r="K1228"/>
  <c r="C1183"/>
  <c r="J1138"/>
  <c r="C1138"/>
  <c r="J1093"/>
  <c r="E1093"/>
  <c r="K1048"/>
  <c r="E1048"/>
  <c r="B1017"/>
  <c r="G1003"/>
  <c r="H958"/>
  <c r="F1318"/>
  <c r="D1183"/>
  <c r="E1138"/>
  <c r="B1107"/>
  <c r="L1093"/>
  <c r="F1093"/>
  <c r="L1048"/>
  <c r="G1048"/>
  <c r="I1003"/>
  <c r="C1003"/>
  <c r="I958"/>
  <c r="D958"/>
  <c r="J913"/>
  <c r="D913"/>
  <c r="I868"/>
  <c r="E868"/>
  <c r="J823"/>
  <c r="F823"/>
  <c r="K778"/>
  <c r="G778"/>
  <c r="C778"/>
  <c r="G1273"/>
  <c r="B1197"/>
  <c r="L1183"/>
  <c r="I1093"/>
  <c r="H1048"/>
  <c r="E1003"/>
  <c r="J958"/>
  <c r="G913"/>
  <c r="H868"/>
  <c r="C868"/>
  <c r="I823"/>
  <c r="D823"/>
  <c r="B792"/>
  <c r="I778"/>
  <c r="D778"/>
  <c r="B747"/>
  <c r="L733"/>
  <c r="H733"/>
  <c r="D733"/>
  <c r="B702"/>
  <c r="J688"/>
  <c r="F688"/>
  <c r="K643"/>
  <c r="G643"/>
  <c r="C643"/>
  <c r="I1273"/>
  <c r="I1048"/>
  <c r="F1003"/>
  <c r="L958"/>
  <c r="H913"/>
  <c r="J868"/>
  <c r="D868"/>
  <c r="B837"/>
  <c r="K823"/>
  <c r="E823"/>
  <c r="J778"/>
  <c r="E778"/>
  <c r="I733"/>
  <c r="E733"/>
  <c r="K688"/>
  <c r="G688"/>
  <c r="C688"/>
  <c r="L643"/>
  <c r="H643"/>
  <c r="D643"/>
  <c r="B612"/>
  <c r="I598"/>
  <c r="E598"/>
  <c r="J553"/>
  <c r="F553"/>
  <c r="K508"/>
  <c r="G508"/>
  <c r="C508"/>
  <c r="L463"/>
  <c r="H463"/>
  <c r="D463"/>
  <c r="K418"/>
  <c r="G418"/>
  <c r="C418"/>
  <c r="L373"/>
  <c r="H373"/>
  <c r="D373"/>
  <c r="L328"/>
  <c r="H328"/>
  <c r="D328"/>
  <c r="D1228"/>
  <c r="G1138"/>
  <c r="D1093"/>
  <c r="B1062"/>
  <c r="J1003"/>
  <c r="E958"/>
  <c r="C913"/>
  <c r="F868"/>
  <c r="H823"/>
  <c r="H778"/>
  <c r="K733"/>
  <c r="C733"/>
  <c r="H688"/>
  <c r="F643"/>
  <c r="J598"/>
  <c r="D598"/>
  <c r="B567"/>
  <c r="K553"/>
  <c r="E553"/>
  <c r="J508"/>
  <c r="E508"/>
  <c r="K463"/>
  <c r="F463"/>
  <c r="H418"/>
  <c r="I373"/>
  <c r="C373"/>
  <c r="I328"/>
  <c r="C328"/>
  <c r="K283"/>
  <c r="G283"/>
  <c r="C283"/>
  <c r="K238"/>
  <c r="G238"/>
  <c r="C238"/>
  <c r="L193"/>
  <c r="H193"/>
  <c r="D193"/>
  <c r="L148"/>
  <c r="H148"/>
  <c r="D148"/>
  <c r="B117"/>
  <c r="J1183"/>
  <c r="D1048"/>
  <c r="L913"/>
  <c r="L868"/>
  <c r="G823"/>
  <c r="F778"/>
  <c r="J733"/>
  <c r="E688"/>
  <c r="E643"/>
  <c r="H598"/>
  <c r="C598"/>
  <c r="I553"/>
  <c r="D553"/>
  <c r="B522"/>
  <c r="I508"/>
  <c r="D508"/>
  <c r="B477"/>
  <c r="J463"/>
  <c r="E463"/>
  <c r="L418"/>
  <c r="F418"/>
  <c r="G373"/>
  <c r="G328"/>
  <c r="J283"/>
  <c r="F283"/>
  <c r="J238"/>
  <c r="F238"/>
  <c r="K193"/>
  <c r="G193"/>
  <c r="C193"/>
  <c r="K148"/>
  <c r="G148"/>
  <c r="C148"/>
  <c r="L103"/>
  <c r="H103"/>
  <c r="D103"/>
  <c r="L58"/>
  <c r="H58"/>
  <c r="D58"/>
  <c r="G1318"/>
  <c r="C1048"/>
  <c r="J1228"/>
  <c r="B927"/>
  <c r="F913"/>
  <c r="K868"/>
  <c r="C823"/>
  <c r="C553"/>
  <c r="F373"/>
  <c r="E238"/>
  <c r="E193"/>
  <c r="J103"/>
  <c r="B72"/>
  <c r="D688"/>
  <c r="L553"/>
  <c r="L508"/>
  <c r="B432"/>
  <c r="B342"/>
  <c r="J328"/>
  <c r="D238"/>
  <c r="H1093"/>
  <c r="K1003"/>
  <c r="K913"/>
  <c r="L823"/>
  <c r="F733"/>
  <c r="L688"/>
  <c r="L598"/>
  <c r="G553"/>
  <c r="F508"/>
  <c r="G463"/>
  <c r="D418"/>
  <c r="B387"/>
  <c r="J373"/>
  <c r="E328"/>
  <c r="I283"/>
  <c r="H238"/>
  <c r="F193"/>
  <c r="E148"/>
  <c r="K103"/>
  <c r="F103"/>
  <c r="J58"/>
  <c r="E58"/>
  <c r="L778"/>
  <c r="I688"/>
  <c r="K598"/>
  <c r="C463"/>
  <c r="J418"/>
  <c r="K328"/>
  <c r="H283"/>
  <c r="B162"/>
  <c r="J148"/>
  <c r="E103"/>
  <c r="I58"/>
  <c r="C58"/>
  <c r="F958"/>
  <c r="G868"/>
  <c r="B657"/>
  <c r="J643"/>
  <c r="G598"/>
  <c r="I418"/>
  <c r="E373"/>
  <c r="E283"/>
  <c r="B252"/>
  <c r="L238"/>
  <c r="B207"/>
  <c r="J193"/>
  <c r="I643"/>
  <c r="F598"/>
  <c r="C103"/>
  <c r="K58"/>
  <c r="I1138"/>
  <c r="H553"/>
  <c r="I463"/>
  <c r="K373"/>
  <c r="G58"/>
  <c r="G733"/>
  <c r="H508"/>
  <c r="L283"/>
  <c r="I238"/>
  <c r="I193"/>
  <c r="I148"/>
  <c r="I103"/>
  <c r="F58"/>
  <c r="E418"/>
  <c r="F328"/>
  <c r="B297"/>
  <c r="D283"/>
  <c r="F148"/>
  <c r="G103"/>
  <c r="L1311"/>
  <c r="L1266"/>
  <c r="L1221"/>
  <c r="L906"/>
  <c r="L1131"/>
  <c r="L996"/>
  <c r="L1086"/>
  <c r="L861"/>
  <c r="L1041"/>
  <c r="L1176"/>
  <c r="L726"/>
  <c r="L591"/>
  <c r="L816"/>
  <c r="L771"/>
  <c r="L456"/>
  <c r="L411"/>
  <c r="L681"/>
  <c r="L636"/>
  <c r="L366"/>
  <c r="L321"/>
  <c r="L951"/>
  <c r="L141"/>
  <c r="L231"/>
  <c r="L186"/>
  <c r="L276"/>
  <c r="L501"/>
  <c r="L96"/>
  <c r="L51"/>
  <c r="L546"/>
  <c r="M1308"/>
  <c r="M1173"/>
  <c r="M948"/>
  <c r="M1128"/>
  <c r="M903"/>
  <c r="M768"/>
  <c r="M1083"/>
  <c r="M813"/>
  <c r="M633"/>
  <c r="M1038"/>
  <c r="M858"/>
  <c r="M678"/>
  <c r="M408"/>
  <c r="M1218"/>
  <c r="M993"/>
  <c r="M588"/>
  <c r="M273"/>
  <c r="M228"/>
  <c r="M543"/>
  <c r="M183"/>
  <c r="M138"/>
  <c r="M1263"/>
  <c r="M453"/>
  <c r="M363"/>
  <c r="M48"/>
  <c r="M723"/>
  <c r="M93"/>
  <c r="M318"/>
  <c r="B1174"/>
  <c r="B1129"/>
  <c r="B1084"/>
  <c r="B994"/>
  <c r="B949"/>
  <c r="B904"/>
  <c r="B814"/>
  <c r="B769"/>
  <c r="B724"/>
  <c r="B859"/>
  <c r="B634"/>
  <c r="B364"/>
  <c r="B589"/>
  <c r="B184"/>
  <c r="B139"/>
  <c r="B544"/>
  <c r="B499"/>
  <c r="B94"/>
  <c r="B49"/>
  <c r="B679"/>
  <c r="B1039"/>
  <c r="B409"/>
  <c r="B454"/>
  <c r="B229"/>
  <c r="B319"/>
  <c r="B274"/>
  <c r="D81" i="37"/>
  <c r="D1304" i="40"/>
  <c r="D1259"/>
  <c r="D1214"/>
  <c r="D1124"/>
  <c r="D944"/>
  <c r="D989"/>
  <c r="D1169"/>
  <c r="D1079"/>
  <c r="D1034"/>
  <c r="D764"/>
  <c r="D899"/>
  <c r="D629"/>
  <c r="D674"/>
  <c r="D494"/>
  <c r="D404"/>
  <c r="D269"/>
  <c r="D224"/>
  <c r="D809"/>
  <c r="D449"/>
  <c r="D359"/>
  <c r="D179"/>
  <c r="D134"/>
  <c r="D584"/>
  <c r="D314"/>
  <c r="D539"/>
  <c r="D854"/>
  <c r="D44"/>
  <c r="D719"/>
  <c r="D89"/>
  <c r="F1249"/>
  <c r="F1204"/>
  <c r="F1159"/>
  <c r="F1024"/>
  <c r="F979"/>
  <c r="F664"/>
  <c r="F619"/>
  <c r="F574"/>
  <c r="F484"/>
  <c r="F439"/>
  <c r="F214"/>
  <c r="F79"/>
  <c r="F1294"/>
  <c r="F1114"/>
  <c r="F889"/>
  <c r="F844"/>
  <c r="F799"/>
  <c r="F754"/>
  <c r="F709"/>
  <c r="F349"/>
  <c r="F124"/>
  <c r="F934"/>
  <c r="F529"/>
  <c r="F394"/>
  <c r="F259"/>
  <c r="F34"/>
  <c r="F1069"/>
  <c r="F304"/>
  <c r="F169"/>
  <c r="F1250"/>
  <c r="F1160"/>
  <c r="F980"/>
  <c r="F530"/>
  <c r="F485"/>
  <c r="F260"/>
  <c r="F215"/>
  <c r="F170"/>
  <c r="F125"/>
  <c r="F1205"/>
  <c r="F1025"/>
  <c r="F440"/>
  <c r="F395"/>
  <c r="F80"/>
  <c r="F35"/>
  <c r="F1295"/>
  <c r="F1115"/>
  <c r="F1070"/>
  <c r="F350"/>
  <c r="F305"/>
  <c r="D1296"/>
  <c r="D1297" s="1"/>
  <c r="D1299" s="1"/>
  <c r="D1301" s="1"/>
  <c r="D1161"/>
  <c r="D1162" s="1"/>
  <c r="D1164" s="1"/>
  <c r="D1166" s="1"/>
  <c r="D1116"/>
  <c r="D1117" s="1"/>
  <c r="D1119" s="1"/>
  <c r="D1121" s="1"/>
  <c r="D936"/>
  <c r="D937" s="1"/>
  <c r="D939" s="1"/>
  <c r="D941" s="1"/>
  <c r="D891"/>
  <c r="D892" s="1"/>
  <c r="D894" s="1"/>
  <c r="D896" s="1"/>
  <c r="D711"/>
  <c r="D712" s="1"/>
  <c r="D714" s="1"/>
  <c r="D716" s="1"/>
  <c r="D666"/>
  <c r="D667" s="1"/>
  <c r="D669" s="1"/>
  <c r="D671" s="1"/>
  <c r="D486"/>
  <c r="D487" s="1"/>
  <c r="D489" s="1"/>
  <c r="D491" s="1"/>
  <c r="D351"/>
  <c r="D1206"/>
  <c r="D1207" s="1"/>
  <c r="D1209" s="1"/>
  <c r="D1211" s="1"/>
  <c r="D1071"/>
  <c r="D1072" s="1"/>
  <c r="D1074" s="1"/>
  <c r="D1076" s="1"/>
  <c r="D1026"/>
  <c r="D1027" s="1"/>
  <c r="D1029" s="1"/>
  <c r="D1031" s="1"/>
  <c r="D981"/>
  <c r="D982" s="1"/>
  <c r="D984" s="1"/>
  <c r="D986" s="1"/>
  <c r="D846"/>
  <c r="D847" s="1"/>
  <c r="D849" s="1"/>
  <c r="D851" s="1"/>
  <c r="D621"/>
  <c r="D622" s="1"/>
  <c r="D624" s="1"/>
  <c r="D626" s="1"/>
  <c r="D396"/>
  <c r="D397" s="1"/>
  <c r="D399" s="1"/>
  <c r="D401" s="1"/>
  <c r="D1251"/>
  <c r="D1252" s="1"/>
  <c r="D1254" s="1"/>
  <c r="D1256" s="1"/>
  <c r="D801"/>
  <c r="D802" s="1"/>
  <c r="D804" s="1"/>
  <c r="D806" s="1"/>
  <c r="D576"/>
  <c r="D577" s="1"/>
  <c r="D579" s="1"/>
  <c r="D581" s="1"/>
  <c r="D306"/>
  <c r="D756"/>
  <c r="D757" s="1"/>
  <c r="D759" s="1"/>
  <c r="D761" s="1"/>
  <c r="D531"/>
  <c r="D532" s="1"/>
  <c r="D534" s="1"/>
  <c r="D536" s="1"/>
  <c r="D441"/>
  <c r="D442" s="1"/>
  <c r="D444" s="1"/>
  <c r="D446" s="1"/>
  <c r="D36"/>
  <c r="D171"/>
  <c r="D216"/>
  <c r="D81"/>
  <c r="D261"/>
  <c r="D126"/>
  <c r="C716"/>
  <c r="C1166"/>
  <c r="C761"/>
  <c r="C1256"/>
  <c r="C851"/>
  <c r="C1211"/>
  <c r="C671"/>
  <c r="C1121"/>
  <c r="C536"/>
  <c r="C806"/>
  <c r="C626"/>
  <c r="C1076"/>
  <c r="C307"/>
  <c r="C309" s="1"/>
  <c r="C352"/>
  <c r="C354" s="1"/>
  <c r="C262"/>
  <c r="C264" s="1"/>
  <c r="C217"/>
  <c r="C219" s="1"/>
  <c r="C82"/>
  <c r="C84" s="1"/>
  <c r="C127"/>
  <c r="C129" s="1"/>
  <c r="C37"/>
  <c r="C39" s="1"/>
  <c r="C172"/>
  <c r="C174" s="1"/>
  <c r="C491"/>
  <c r="C941"/>
  <c r="C446"/>
  <c r="C581"/>
  <c r="C401"/>
  <c r="C1031"/>
  <c r="C896"/>
  <c r="C1301"/>
  <c r="C986"/>
  <c r="D6" i="22"/>
  <c r="K26"/>
  <c r="J40" i="37" s="1"/>
  <c r="J43" s="1"/>
  <c r="D26" i="22"/>
  <c r="D29" s="1"/>
  <c r="M665" i="36"/>
  <c r="M670" s="1"/>
  <c r="N660"/>
  <c r="M1279"/>
  <c r="M1284" s="1"/>
  <c r="N1274"/>
  <c r="M1007"/>
  <c r="M1012" s="1"/>
  <c r="N1002"/>
  <c r="N356"/>
  <c r="M361"/>
  <c r="M366" s="1"/>
  <c r="N394"/>
  <c r="M399"/>
  <c r="M404" s="1"/>
  <c r="N584"/>
  <c r="M589"/>
  <c r="M594" s="1"/>
  <c r="M627"/>
  <c r="M632" s="1"/>
  <c r="N622"/>
  <c r="N888"/>
  <c r="M893"/>
  <c r="M898" s="1"/>
  <c r="N774"/>
  <c r="M779"/>
  <c r="M784" s="1"/>
  <c r="M1230"/>
  <c r="M1235" s="1"/>
  <c r="N1225"/>
  <c r="N926"/>
  <c r="M931"/>
  <c r="M936" s="1"/>
  <c r="N432"/>
  <c r="M437"/>
  <c r="M442" s="1"/>
  <c r="N508"/>
  <c r="M513"/>
  <c r="M518" s="1"/>
  <c r="N736"/>
  <c r="M741"/>
  <c r="M746" s="1"/>
  <c r="D830"/>
  <c r="D820"/>
  <c r="D822" s="1"/>
  <c r="H830"/>
  <c r="H820"/>
  <c r="H822" s="1"/>
  <c r="L830"/>
  <c r="L820"/>
  <c r="L822" s="1"/>
  <c r="D868"/>
  <c r="D858"/>
  <c r="D860" s="1"/>
  <c r="H868"/>
  <c r="H858"/>
  <c r="H860" s="1"/>
  <c r="L868"/>
  <c r="L858"/>
  <c r="L860" s="1"/>
  <c r="D906"/>
  <c r="D896"/>
  <c r="D898" s="1"/>
  <c r="D900" s="1"/>
  <c r="D902" s="1"/>
  <c r="D903" s="1"/>
  <c r="D905" s="1"/>
  <c r="H906"/>
  <c r="H896"/>
  <c r="H898" s="1"/>
  <c r="L906"/>
  <c r="L896"/>
  <c r="L898" s="1"/>
  <c r="C944"/>
  <c r="B933"/>
  <c r="C934"/>
  <c r="G944"/>
  <c r="G934"/>
  <c r="G936" s="1"/>
  <c r="K944"/>
  <c r="K934"/>
  <c r="K936" s="1"/>
  <c r="E830"/>
  <c r="E820"/>
  <c r="E822" s="1"/>
  <c r="I830"/>
  <c r="I820"/>
  <c r="I822" s="1"/>
  <c r="C868"/>
  <c r="B857"/>
  <c r="C858"/>
  <c r="G868"/>
  <c r="G858"/>
  <c r="G860" s="1"/>
  <c r="K868"/>
  <c r="K858"/>
  <c r="K860" s="1"/>
  <c r="E906"/>
  <c r="E896"/>
  <c r="E898" s="1"/>
  <c r="I906"/>
  <c r="I896"/>
  <c r="I898" s="1"/>
  <c r="D944"/>
  <c r="D934"/>
  <c r="D936" s="1"/>
  <c r="H944"/>
  <c r="H934"/>
  <c r="H936" s="1"/>
  <c r="L944"/>
  <c r="L934"/>
  <c r="L936" s="1"/>
  <c r="I982"/>
  <c r="I972"/>
  <c r="I974" s="1"/>
  <c r="F1020"/>
  <c r="F1010"/>
  <c r="F1012" s="1"/>
  <c r="C1058"/>
  <c r="B1047"/>
  <c r="C1048"/>
  <c r="K1058"/>
  <c r="K1048"/>
  <c r="K1050" s="1"/>
  <c r="G982"/>
  <c r="G972"/>
  <c r="G974" s="1"/>
  <c r="D1020"/>
  <c r="D1010"/>
  <c r="D1012" s="1"/>
  <c r="L1020"/>
  <c r="L1010"/>
  <c r="I1058"/>
  <c r="I1048"/>
  <c r="I1050" s="1"/>
  <c r="F982"/>
  <c r="F972"/>
  <c r="F974" s="1"/>
  <c r="J982"/>
  <c r="J972"/>
  <c r="J974" s="1"/>
  <c r="C1020"/>
  <c r="B1009"/>
  <c r="C1010"/>
  <c r="G1020"/>
  <c r="G1010"/>
  <c r="G1012" s="1"/>
  <c r="K1020"/>
  <c r="K1010"/>
  <c r="K1012" s="1"/>
  <c r="D1058"/>
  <c r="D1048"/>
  <c r="D1050" s="1"/>
  <c r="H1058"/>
  <c r="H1048"/>
  <c r="H1050" s="1"/>
  <c r="L1058"/>
  <c r="L1048"/>
  <c r="L1050" s="1"/>
  <c r="E1096"/>
  <c r="E1086"/>
  <c r="E1088" s="1"/>
  <c r="I1096"/>
  <c r="I1086"/>
  <c r="I1088" s="1"/>
  <c r="F1145"/>
  <c r="F1135"/>
  <c r="F1137" s="1"/>
  <c r="J1145"/>
  <c r="J1135"/>
  <c r="J1137" s="1"/>
  <c r="E1194"/>
  <c r="E1184"/>
  <c r="E1186" s="1"/>
  <c r="I1194"/>
  <c r="I1184"/>
  <c r="I1186" s="1"/>
  <c r="C1243"/>
  <c r="B1232"/>
  <c r="C1233"/>
  <c r="G1243"/>
  <c r="G1233"/>
  <c r="G1235" s="1"/>
  <c r="K1243"/>
  <c r="K1233"/>
  <c r="K1235" s="1"/>
  <c r="F1292"/>
  <c r="F1282"/>
  <c r="F1284" s="1"/>
  <c r="J1292"/>
  <c r="J1282"/>
  <c r="J1284" s="1"/>
  <c r="D1096"/>
  <c r="D1086"/>
  <c r="D1088" s="1"/>
  <c r="H1096"/>
  <c r="H1086"/>
  <c r="H1088" s="1"/>
  <c r="L1096"/>
  <c r="L1086"/>
  <c r="L1088" s="1"/>
  <c r="E1145"/>
  <c r="E1135"/>
  <c r="E1137" s="1"/>
  <c r="I1145"/>
  <c r="I1135"/>
  <c r="I1137" s="1"/>
  <c r="D1194"/>
  <c r="D1184"/>
  <c r="D1186" s="1"/>
  <c r="D1188" s="1"/>
  <c r="D1190" s="1"/>
  <c r="D1191" s="1"/>
  <c r="D1193" s="1"/>
  <c r="H1194"/>
  <c r="H1184"/>
  <c r="H1186" s="1"/>
  <c r="L1194"/>
  <c r="L1184"/>
  <c r="L1186" s="1"/>
  <c r="D1243"/>
  <c r="D1233"/>
  <c r="D1235" s="1"/>
  <c r="D1237" s="1"/>
  <c r="D1239" s="1"/>
  <c r="D1240" s="1"/>
  <c r="D1242" s="1"/>
  <c r="H1243"/>
  <c r="H1233"/>
  <c r="H1235" s="1"/>
  <c r="L1243"/>
  <c r="L1233"/>
  <c r="L1235" s="1"/>
  <c r="C1292"/>
  <c r="B1281"/>
  <c r="C1282"/>
  <c r="G1292"/>
  <c r="G1282"/>
  <c r="G1284" s="1"/>
  <c r="K1292"/>
  <c r="K1282"/>
  <c r="K1284" s="1"/>
  <c r="M323"/>
  <c r="M328" s="1"/>
  <c r="N318"/>
  <c r="N204"/>
  <c r="M209"/>
  <c r="M214" s="1"/>
  <c r="N812"/>
  <c r="M817"/>
  <c r="M822" s="1"/>
  <c r="N470"/>
  <c r="M475"/>
  <c r="M480" s="1"/>
  <c r="N1040"/>
  <c r="M1045"/>
  <c r="M1050" s="1"/>
  <c r="N850"/>
  <c r="M855"/>
  <c r="M860" s="1"/>
  <c r="M969"/>
  <c r="M974" s="1"/>
  <c r="N964"/>
  <c r="N280"/>
  <c r="M285"/>
  <c r="M290" s="1"/>
  <c r="M551"/>
  <c r="M556" s="1"/>
  <c r="N546"/>
  <c r="M1132"/>
  <c r="M1137" s="1"/>
  <c r="N1127"/>
  <c r="N1078"/>
  <c r="M1083"/>
  <c r="M1088" s="1"/>
  <c r="M703"/>
  <c r="M708" s="1"/>
  <c r="N698"/>
  <c r="M247"/>
  <c r="M252" s="1"/>
  <c r="N242"/>
  <c r="M1181"/>
  <c r="M1186" s="1"/>
  <c r="N1176"/>
  <c r="F830"/>
  <c r="F820"/>
  <c r="F822" s="1"/>
  <c r="J830"/>
  <c r="J820"/>
  <c r="J822" s="1"/>
  <c r="F868"/>
  <c r="F858"/>
  <c r="F860" s="1"/>
  <c r="J868"/>
  <c r="J858"/>
  <c r="J860" s="1"/>
  <c r="F906"/>
  <c r="F896"/>
  <c r="F898" s="1"/>
  <c r="J906"/>
  <c r="J896"/>
  <c r="J898" s="1"/>
  <c r="E944"/>
  <c r="E934"/>
  <c r="E936" s="1"/>
  <c r="I944"/>
  <c r="I934"/>
  <c r="I936" s="1"/>
  <c r="C830"/>
  <c r="B819"/>
  <c r="C820"/>
  <c r="G830"/>
  <c r="G820"/>
  <c r="G822" s="1"/>
  <c r="K830"/>
  <c r="K820"/>
  <c r="K822" s="1"/>
  <c r="E868"/>
  <c r="E858"/>
  <c r="E860" s="1"/>
  <c r="I868"/>
  <c r="I858"/>
  <c r="I860" s="1"/>
  <c r="C906"/>
  <c r="B895"/>
  <c r="C896"/>
  <c r="G906"/>
  <c r="G896"/>
  <c r="G898" s="1"/>
  <c r="K906"/>
  <c r="K896"/>
  <c r="K898" s="1"/>
  <c r="F944"/>
  <c r="F934"/>
  <c r="F936" s="1"/>
  <c r="J944"/>
  <c r="J934"/>
  <c r="J936" s="1"/>
  <c r="E982"/>
  <c r="E972"/>
  <c r="E974" s="1"/>
  <c r="J1020"/>
  <c r="J1010"/>
  <c r="J1012" s="1"/>
  <c r="G1058"/>
  <c r="G1048"/>
  <c r="G1050" s="1"/>
  <c r="C982"/>
  <c r="C972"/>
  <c r="B971"/>
  <c r="K982"/>
  <c r="K972"/>
  <c r="K974" s="1"/>
  <c r="H1020"/>
  <c r="H1010"/>
  <c r="H1012" s="1"/>
  <c r="E1058"/>
  <c r="E1048"/>
  <c r="E1050" s="1"/>
  <c r="D982"/>
  <c r="D972"/>
  <c r="D974" s="1"/>
  <c r="H982"/>
  <c r="H972"/>
  <c r="H974" s="1"/>
  <c r="L982"/>
  <c r="L972"/>
  <c r="L974" s="1"/>
  <c r="E1020"/>
  <c r="E1010"/>
  <c r="E1012" s="1"/>
  <c r="I1020"/>
  <c r="I1010"/>
  <c r="I1012" s="1"/>
  <c r="F1058"/>
  <c r="F1048"/>
  <c r="F1050" s="1"/>
  <c r="J1058"/>
  <c r="J1048"/>
  <c r="J1050" s="1"/>
  <c r="C1096"/>
  <c r="B1085"/>
  <c r="C1086"/>
  <c r="G1096"/>
  <c r="G1086"/>
  <c r="G1088" s="1"/>
  <c r="K1096"/>
  <c r="K1086"/>
  <c r="K1088" s="1"/>
  <c r="D1145"/>
  <c r="D1135"/>
  <c r="D1137" s="1"/>
  <c r="D1139" s="1"/>
  <c r="D1141" s="1"/>
  <c r="D1142" s="1"/>
  <c r="D1144" s="1"/>
  <c r="H1145"/>
  <c r="H1135"/>
  <c r="H1137" s="1"/>
  <c r="L1145"/>
  <c r="L1135"/>
  <c r="L1137" s="1"/>
  <c r="C1194"/>
  <c r="B1183"/>
  <c r="C1184"/>
  <c r="G1194"/>
  <c r="G1184"/>
  <c r="G1186" s="1"/>
  <c r="K1194"/>
  <c r="K1184"/>
  <c r="K1186" s="1"/>
  <c r="E1243"/>
  <c r="E1233"/>
  <c r="E1235" s="1"/>
  <c r="I1243"/>
  <c r="I1233"/>
  <c r="I1235" s="1"/>
  <c r="D1292"/>
  <c r="D1282"/>
  <c r="D1284" s="1"/>
  <c r="D1286" s="1"/>
  <c r="D1288" s="1"/>
  <c r="D1289" s="1"/>
  <c r="D1291" s="1"/>
  <c r="H1292"/>
  <c r="H1282"/>
  <c r="H1284" s="1"/>
  <c r="L1292"/>
  <c r="L1282"/>
  <c r="L1284" s="1"/>
  <c r="F1096"/>
  <c r="F1086"/>
  <c r="F1088" s="1"/>
  <c r="J1096"/>
  <c r="J1086"/>
  <c r="J1088" s="1"/>
  <c r="C1145"/>
  <c r="C1135"/>
  <c r="B1134"/>
  <c r="G1145"/>
  <c r="G1135"/>
  <c r="G1137" s="1"/>
  <c r="K1145"/>
  <c r="K1135"/>
  <c r="K1137" s="1"/>
  <c r="F1194"/>
  <c r="F1184"/>
  <c r="F1186" s="1"/>
  <c r="J1194"/>
  <c r="J1184"/>
  <c r="J1186" s="1"/>
  <c r="F1243"/>
  <c r="F1233"/>
  <c r="F1235" s="1"/>
  <c r="J1243"/>
  <c r="J1233"/>
  <c r="J1235" s="1"/>
  <c r="E1292"/>
  <c r="E1282"/>
  <c r="E1284" s="1"/>
  <c r="I1292"/>
  <c r="I1282"/>
  <c r="I1284" s="1"/>
  <c r="L1012"/>
  <c r="F1216"/>
  <c r="F1265"/>
  <c r="F1215"/>
  <c r="F1264"/>
  <c r="E1217"/>
  <c r="E1218" s="1"/>
  <c r="E1220" s="1"/>
  <c r="E1222" s="1"/>
  <c r="E1266"/>
  <c r="E1267" s="1"/>
  <c r="E1269" s="1"/>
  <c r="E1271" s="1"/>
  <c r="F1118"/>
  <c r="F1167"/>
  <c r="E1119"/>
  <c r="E1120" s="1"/>
  <c r="E1122" s="1"/>
  <c r="E1124" s="1"/>
  <c r="E1168"/>
  <c r="E1169" s="1"/>
  <c r="E1171" s="1"/>
  <c r="E1173" s="1"/>
  <c r="F1117"/>
  <c r="F1166"/>
  <c r="F1031"/>
  <c r="F1069"/>
  <c r="E1032"/>
  <c r="E1070"/>
  <c r="F1030"/>
  <c r="F1068"/>
  <c r="F954"/>
  <c r="F992"/>
  <c r="F955"/>
  <c r="F993"/>
  <c r="E956"/>
  <c r="E994"/>
  <c r="F878"/>
  <c r="F916"/>
  <c r="F879"/>
  <c r="F917"/>
  <c r="E880"/>
  <c r="E881" s="1"/>
  <c r="E883" s="1"/>
  <c r="E885" s="1"/>
  <c r="E918"/>
  <c r="E804"/>
  <c r="E842"/>
  <c r="F803"/>
  <c r="F841"/>
  <c r="H15" i="23"/>
  <c r="O24" i="22"/>
  <c r="M85" i="37"/>
  <c r="M129" s="1"/>
  <c r="M38"/>
  <c r="F70" i="36"/>
  <c r="F60"/>
  <c r="K70"/>
  <c r="K60"/>
  <c r="G70"/>
  <c r="G60"/>
  <c r="K108"/>
  <c r="K98"/>
  <c r="G108"/>
  <c r="G98"/>
  <c r="K146"/>
  <c r="K136"/>
  <c r="G146"/>
  <c r="G136"/>
  <c r="K184"/>
  <c r="K174"/>
  <c r="G184"/>
  <c r="G174"/>
  <c r="J222"/>
  <c r="J212"/>
  <c r="J214" s="1"/>
  <c r="F222"/>
  <c r="F212"/>
  <c r="F214" s="1"/>
  <c r="D260"/>
  <c r="D250"/>
  <c r="D252" s="1"/>
  <c r="H260"/>
  <c r="H250"/>
  <c r="H252" s="1"/>
  <c r="L260"/>
  <c r="L250"/>
  <c r="L252" s="1"/>
  <c r="D298"/>
  <c r="D288"/>
  <c r="D290" s="1"/>
  <c r="H298"/>
  <c r="H288"/>
  <c r="H290" s="1"/>
  <c r="L298"/>
  <c r="L288"/>
  <c r="L290" s="1"/>
  <c r="D336"/>
  <c r="D326"/>
  <c r="D328" s="1"/>
  <c r="H336"/>
  <c r="H326"/>
  <c r="H328" s="1"/>
  <c r="L336"/>
  <c r="L326"/>
  <c r="L328" s="1"/>
  <c r="E374"/>
  <c r="E364"/>
  <c r="E366" s="1"/>
  <c r="I374"/>
  <c r="I364"/>
  <c r="I366" s="1"/>
  <c r="C412"/>
  <c r="B401"/>
  <c r="C402"/>
  <c r="G412"/>
  <c r="G402"/>
  <c r="G404" s="1"/>
  <c r="K412"/>
  <c r="K402"/>
  <c r="K404" s="1"/>
  <c r="C450"/>
  <c r="B439"/>
  <c r="C440"/>
  <c r="G450"/>
  <c r="G440"/>
  <c r="G442" s="1"/>
  <c r="K450"/>
  <c r="K440"/>
  <c r="K442" s="1"/>
  <c r="E488"/>
  <c r="E478"/>
  <c r="E480" s="1"/>
  <c r="I488"/>
  <c r="I478"/>
  <c r="I480" s="1"/>
  <c r="D526"/>
  <c r="D516"/>
  <c r="H526"/>
  <c r="H516"/>
  <c r="H518" s="1"/>
  <c r="L526"/>
  <c r="L516"/>
  <c r="L518" s="1"/>
  <c r="H70"/>
  <c r="H60"/>
  <c r="L108"/>
  <c r="L98"/>
  <c r="H108"/>
  <c r="H98"/>
  <c r="D108"/>
  <c r="D98"/>
  <c r="J146"/>
  <c r="J136"/>
  <c r="F146"/>
  <c r="F136"/>
  <c r="L184"/>
  <c r="L174"/>
  <c r="H184"/>
  <c r="H174"/>
  <c r="D184"/>
  <c r="D174"/>
  <c r="D176" s="1"/>
  <c r="K222"/>
  <c r="K212"/>
  <c r="K214" s="1"/>
  <c r="G222"/>
  <c r="G212"/>
  <c r="G214" s="1"/>
  <c r="E260"/>
  <c r="E250"/>
  <c r="E252" s="1"/>
  <c r="I260"/>
  <c r="I250"/>
  <c r="I252" s="1"/>
  <c r="C298"/>
  <c r="C288"/>
  <c r="B287"/>
  <c r="G298"/>
  <c r="G288"/>
  <c r="G290" s="1"/>
  <c r="K298"/>
  <c r="K288"/>
  <c r="K290" s="1"/>
  <c r="E336"/>
  <c r="E326"/>
  <c r="E328" s="1"/>
  <c r="I336"/>
  <c r="I326"/>
  <c r="I328" s="1"/>
  <c r="F374"/>
  <c r="F364"/>
  <c r="F366" s="1"/>
  <c r="J374"/>
  <c r="J364"/>
  <c r="J366" s="1"/>
  <c r="F412"/>
  <c r="F402"/>
  <c r="F404" s="1"/>
  <c r="J412"/>
  <c r="J402"/>
  <c r="J404" s="1"/>
  <c r="D450"/>
  <c r="D440"/>
  <c r="D442" s="1"/>
  <c r="H450"/>
  <c r="H440"/>
  <c r="H442" s="1"/>
  <c r="L450"/>
  <c r="L440"/>
  <c r="L442" s="1"/>
  <c r="D488"/>
  <c r="D478"/>
  <c r="D480" s="1"/>
  <c r="H488"/>
  <c r="H478"/>
  <c r="H480" s="1"/>
  <c r="L488"/>
  <c r="L478"/>
  <c r="L480" s="1"/>
  <c r="C526"/>
  <c r="C516"/>
  <c r="C518" s="1"/>
  <c r="B515"/>
  <c r="G526"/>
  <c r="G516"/>
  <c r="G518" s="1"/>
  <c r="K526"/>
  <c r="K516"/>
  <c r="K518" s="1"/>
  <c r="J564"/>
  <c r="J554"/>
  <c r="J556" s="1"/>
  <c r="C602"/>
  <c r="B591"/>
  <c r="C592"/>
  <c r="G602"/>
  <c r="G592"/>
  <c r="G594" s="1"/>
  <c r="K602"/>
  <c r="K592"/>
  <c r="K594" s="1"/>
  <c r="E640"/>
  <c r="E630"/>
  <c r="E632" s="1"/>
  <c r="I640"/>
  <c r="I630"/>
  <c r="I632" s="1"/>
  <c r="F678"/>
  <c r="F668"/>
  <c r="F670" s="1"/>
  <c r="J678"/>
  <c r="J668"/>
  <c r="J670" s="1"/>
  <c r="F716"/>
  <c r="F706"/>
  <c r="F708" s="1"/>
  <c r="J716"/>
  <c r="J706"/>
  <c r="J708" s="1"/>
  <c r="F754"/>
  <c r="F744"/>
  <c r="F746" s="1"/>
  <c r="J754"/>
  <c r="J744"/>
  <c r="J746" s="1"/>
  <c r="F792"/>
  <c r="F782"/>
  <c r="F784" s="1"/>
  <c r="J792"/>
  <c r="J782"/>
  <c r="J784" s="1"/>
  <c r="H564"/>
  <c r="H554"/>
  <c r="H556" s="1"/>
  <c r="E564"/>
  <c r="E554"/>
  <c r="E556" s="1"/>
  <c r="I564"/>
  <c r="I554"/>
  <c r="I556" s="1"/>
  <c r="D602"/>
  <c r="D592"/>
  <c r="D594" s="1"/>
  <c r="H602"/>
  <c r="H592"/>
  <c r="H594" s="1"/>
  <c r="L602"/>
  <c r="L592"/>
  <c r="L594" s="1"/>
  <c r="D640"/>
  <c r="D630"/>
  <c r="D632" s="1"/>
  <c r="H640"/>
  <c r="H630"/>
  <c r="H632" s="1"/>
  <c r="L640"/>
  <c r="L630"/>
  <c r="L632" s="1"/>
  <c r="E678"/>
  <c r="E668"/>
  <c r="E670" s="1"/>
  <c r="I678"/>
  <c r="I668"/>
  <c r="I670" s="1"/>
  <c r="C716"/>
  <c r="B705"/>
  <c r="C706"/>
  <c r="G716"/>
  <c r="G706"/>
  <c r="G708" s="1"/>
  <c r="K716"/>
  <c r="K706"/>
  <c r="K708" s="1"/>
  <c r="E754"/>
  <c r="E744"/>
  <c r="E746" s="1"/>
  <c r="I754"/>
  <c r="I744"/>
  <c r="I746" s="1"/>
  <c r="C792"/>
  <c r="B781"/>
  <c r="C782"/>
  <c r="G792"/>
  <c r="G782"/>
  <c r="G784" s="1"/>
  <c r="K792"/>
  <c r="K782"/>
  <c r="K784" s="1"/>
  <c r="F20" i="22"/>
  <c r="D34" i="37"/>
  <c r="D125" s="1"/>
  <c r="D100" i="36"/>
  <c r="B86" i="37"/>
  <c r="B130" s="1"/>
  <c r="B39"/>
  <c r="E3" i="22"/>
  <c r="E95" i="37"/>
  <c r="G95"/>
  <c r="I95"/>
  <c r="K95"/>
  <c r="C95"/>
  <c r="B109"/>
  <c r="D95"/>
  <c r="F95"/>
  <c r="H95"/>
  <c r="J95"/>
  <c r="L95"/>
  <c r="E48"/>
  <c r="G48"/>
  <c r="I48"/>
  <c r="K48"/>
  <c r="C50" i="22"/>
  <c r="D36"/>
  <c r="D37" s="1"/>
  <c r="D48" i="37"/>
  <c r="F48"/>
  <c r="H48"/>
  <c r="J48"/>
  <c r="L48"/>
  <c r="F36" i="22"/>
  <c r="H36"/>
  <c r="J36"/>
  <c r="L36"/>
  <c r="E36"/>
  <c r="G36"/>
  <c r="I36"/>
  <c r="K36"/>
  <c r="M36"/>
  <c r="J70" i="36"/>
  <c r="J60"/>
  <c r="C70"/>
  <c r="B59"/>
  <c r="C60"/>
  <c r="I70"/>
  <c r="I60"/>
  <c r="E70"/>
  <c r="E60"/>
  <c r="C108"/>
  <c r="C98"/>
  <c r="B97"/>
  <c r="I108"/>
  <c r="I98"/>
  <c r="E108"/>
  <c r="E98"/>
  <c r="C146"/>
  <c r="B135"/>
  <c r="C136"/>
  <c r="I146"/>
  <c r="I136"/>
  <c r="E146"/>
  <c r="E136"/>
  <c r="B173"/>
  <c r="C184"/>
  <c r="C174"/>
  <c r="C176" s="1"/>
  <c r="I184"/>
  <c r="I174"/>
  <c r="E184"/>
  <c r="E174"/>
  <c r="L222"/>
  <c r="L212"/>
  <c r="L214" s="1"/>
  <c r="H222"/>
  <c r="H212"/>
  <c r="H214" s="1"/>
  <c r="D222"/>
  <c r="D212"/>
  <c r="D214" s="1"/>
  <c r="F260"/>
  <c r="F250"/>
  <c r="F252" s="1"/>
  <c r="J260"/>
  <c r="J250"/>
  <c r="J252" s="1"/>
  <c r="F298"/>
  <c r="F288"/>
  <c r="F290" s="1"/>
  <c r="J298"/>
  <c r="J288"/>
  <c r="J290" s="1"/>
  <c r="F336"/>
  <c r="F326"/>
  <c r="J336"/>
  <c r="J326"/>
  <c r="J328" s="1"/>
  <c r="C374"/>
  <c r="C364"/>
  <c r="B363"/>
  <c r="G374"/>
  <c r="G364"/>
  <c r="G366" s="1"/>
  <c r="K374"/>
  <c r="K364"/>
  <c r="K366" s="1"/>
  <c r="E412"/>
  <c r="E402"/>
  <c r="E404" s="1"/>
  <c r="I412"/>
  <c r="I402"/>
  <c r="I404" s="1"/>
  <c r="E450"/>
  <c r="E440"/>
  <c r="E442" s="1"/>
  <c r="I450"/>
  <c r="I440"/>
  <c r="I442" s="1"/>
  <c r="C488"/>
  <c r="C478"/>
  <c r="B477"/>
  <c r="G488"/>
  <c r="G478"/>
  <c r="G480" s="1"/>
  <c r="K488"/>
  <c r="K478"/>
  <c r="K480" s="1"/>
  <c r="F526"/>
  <c r="F516"/>
  <c r="F518" s="1"/>
  <c r="J526"/>
  <c r="J516"/>
  <c r="J518" s="1"/>
  <c r="L70"/>
  <c r="L60"/>
  <c r="D70"/>
  <c r="D60"/>
  <c r="D62" s="1"/>
  <c r="J108"/>
  <c r="J98"/>
  <c r="F108"/>
  <c r="F98"/>
  <c r="L146"/>
  <c r="L136"/>
  <c r="H146"/>
  <c r="H136"/>
  <c r="D146"/>
  <c r="D136"/>
  <c r="J184"/>
  <c r="J174"/>
  <c r="F184"/>
  <c r="F174"/>
  <c r="B211"/>
  <c r="C222"/>
  <c r="C212"/>
  <c r="I222"/>
  <c r="I212"/>
  <c r="I214" s="1"/>
  <c r="E222"/>
  <c r="E212"/>
  <c r="E214" s="1"/>
  <c r="C260"/>
  <c r="B249"/>
  <c r="C250"/>
  <c r="G260"/>
  <c r="G250"/>
  <c r="G252" s="1"/>
  <c r="K260"/>
  <c r="K250"/>
  <c r="K252" s="1"/>
  <c r="E298"/>
  <c r="E288"/>
  <c r="E290" s="1"/>
  <c r="I298"/>
  <c r="I288"/>
  <c r="I290" s="1"/>
  <c r="C336"/>
  <c r="C326"/>
  <c r="C328" s="1"/>
  <c r="B325"/>
  <c r="G336"/>
  <c r="G326"/>
  <c r="G328" s="1"/>
  <c r="K336"/>
  <c r="K326"/>
  <c r="K328" s="1"/>
  <c r="D374"/>
  <c r="D364"/>
  <c r="D366" s="1"/>
  <c r="D368" s="1"/>
  <c r="D370" s="1"/>
  <c r="D371" s="1"/>
  <c r="D373" s="1"/>
  <c r="H374"/>
  <c r="H364"/>
  <c r="H366" s="1"/>
  <c r="L374"/>
  <c r="L364"/>
  <c r="L366" s="1"/>
  <c r="D412"/>
  <c r="D402"/>
  <c r="D404" s="1"/>
  <c r="D406" s="1"/>
  <c r="D408" s="1"/>
  <c r="D409" s="1"/>
  <c r="D411" s="1"/>
  <c r="H412"/>
  <c r="H402"/>
  <c r="H404" s="1"/>
  <c r="L412"/>
  <c r="L402"/>
  <c r="L404" s="1"/>
  <c r="F450"/>
  <c r="F440"/>
  <c r="F442" s="1"/>
  <c r="J450"/>
  <c r="J440"/>
  <c r="J442" s="1"/>
  <c r="F488"/>
  <c r="F478"/>
  <c r="F480" s="1"/>
  <c r="J488"/>
  <c r="J478"/>
  <c r="J480" s="1"/>
  <c r="E526"/>
  <c r="E516"/>
  <c r="E518" s="1"/>
  <c r="I526"/>
  <c r="I516"/>
  <c r="I518" s="1"/>
  <c r="F564"/>
  <c r="F554"/>
  <c r="F556" s="1"/>
  <c r="E602"/>
  <c r="E592"/>
  <c r="E594" s="1"/>
  <c r="I602"/>
  <c r="I592"/>
  <c r="I594" s="1"/>
  <c r="C640"/>
  <c r="B629"/>
  <c r="C630"/>
  <c r="G640"/>
  <c r="G630"/>
  <c r="G632" s="1"/>
  <c r="K640"/>
  <c r="K630"/>
  <c r="K632" s="1"/>
  <c r="D678"/>
  <c r="D668"/>
  <c r="D670" s="1"/>
  <c r="H678"/>
  <c r="H668"/>
  <c r="H670" s="1"/>
  <c r="L678"/>
  <c r="L668"/>
  <c r="L670" s="1"/>
  <c r="D716"/>
  <c r="D706"/>
  <c r="D708" s="1"/>
  <c r="H716"/>
  <c r="H706"/>
  <c r="H708" s="1"/>
  <c r="L716"/>
  <c r="L706"/>
  <c r="L708" s="1"/>
  <c r="D754"/>
  <c r="D744"/>
  <c r="D746" s="1"/>
  <c r="H754"/>
  <c r="H744"/>
  <c r="H746" s="1"/>
  <c r="L754"/>
  <c r="L744"/>
  <c r="L746" s="1"/>
  <c r="D792"/>
  <c r="D782"/>
  <c r="D784" s="1"/>
  <c r="H792"/>
  <c r="H782"/>
  <c r="H784" s="1"/>
  <c r="L792"/>
  <c r="L782"/>
  <c r="L784" s="1"/>
  <c r="D564"/>
  <c r="D554"/>
  <c r="L564"/>
  <c r="L554"/>
  <c r="L556" s="1"/>
  <c r="C564"/>
  <c r="C554"/>
  <c r="C556" s="1"/>
  <c r="B553"/>
  <c r="G564"/>
  <c r="G554"/>
  <c r="G556" s="1"/>
  <c r="K564"/>
  <c r="K554"/>
  <c r="K556" s="1"/>
  <c r="F602"/>
  <c r="F592"/>
  <c r="F594" s="1"/>
  <c r="J602"/>
  <c r="J592"/>
  <c r="J594" s="1"/>
  <c r="F640"/>
  <c r="F630"/>
  <c r="F632" s="1"/>
  <c r="J640"/>
  <c r="J630"/>
  <c r="J632" s="1"/>
  <c r="C678"/>
  <c r="B667"/>
  <c r="C668"/>
  <c r="G678"/>
  <c r="G668"/>
  <c r="G670" s="1"/>
  <c r="K678"/>
  <c r="K668"/>
  <c r="K670" s="1"/>
  <c r="E716"/>
  <c r="E706"/>
  <c r="E708" s="1"/>
  <c r="I716"/>
  <c r="I706"/>
  <c r="I708" s="1"/>
  <c r="C754"/>
  <c r="C744"/>
  <c r="B743"/>
  <c r="G754"/>
  <c r="G744"/>
  <c r="G746" s="1"/>
  <c r="K754"/>
  <c r="K744"/>
  <c r="K746" s="1"/>
  <c r="E792"/>
  <c r="E782"/>
  <c r="E784" s="1"/>
  <c r="I792"/>
  <c r="I782"/>
  <c r="I784" s="1"/>
  <c r="C74" i="37"/>
  <c r="L88"/>
  <c r="L132" s="1"/>
  <c r="F71"/>
  <c r="F115" s="1"/>
  <c r="F72"/>
  <c r="F116" s="1"/>
  <c r="D73"/>
  <c r="D117" s="1"/>
  <c r="D15" i="22"/>
  <c r="D17" s="1"/>
  <c r="F24" i="37"/>
  <c r="E13" i="22"/>
  <c r="N27"/>
  <c r="L41" i="37"/>
  <c r="F12" i="22"/>
  <c r="D26" i="37"/>
  <c r="H11" i="22"/>
  <c r="F25" i="37"/>
  <c r="C27"/>
  <c r="C29" s="1"/>
  <c r="C31" s="1"/>
  <c r="E766" i="36"/>
  <c r="E767" s="1"/>
  <c r="E166"/>
  <c r="E171" s="1"/>
  <c r="I167"/>
  <c r="D22" i="23"/>
  <c r="F726" i="36"/>
  <c r="F764"/>
  <c r="F727"/>
  <c r="F765"/>
  <c r="D731"/>
  <c r="D733" s="1"/>
  <c r="D769"/>
  <c r="E690"/>
  <c r="E691" s="1"/>
  <c r="E728"/>
  <c r="E729" s="1"/>
  <c r="F650"/>
  <c r="F688"/>
  <c r="F651"/>
  <c r="F689"/>
  <c r="D693"/>
  <c r="E614"/>
  <c r="E615" s="1"/>
  <c r="E652"/>
  <c r="E653" s="1"/>
  <c r="F612"/>
  <c r="E538"/>
  <c r="E539" s="1"/>
  <c r="E576"/>
  <c r="E577" s="1"/>
  <c r="F536"/>
  <c r="F574"/>
  <c r="E462"/>
  <c r="E500"/>
  <c r="E501" s="1"/>
  <c r="D311"/>
  <c r="F461"/>
  <c r="F460"/>
  <c r="F498"/>
  <c r="E386"/>
  <c r="E387" s="1"/>
  <c r="E389" s="1"/>
  <c r="E391" s="1"/>
  <c r="E424"/>
  <c r="F384"/>
  <c r="F422"/>
  <c r="F385"/>
  <c r="F423"/>
  <c r="F309"/>
  <c r="F347"/>
  <c r="F308"/>
  <c r="F346"/>
  <c r="E310"/>
  <c r="E349"/>
  <c r="E351" s="1"/>
  <c r="E353" s="1"/>
  <c r="E368" s="1"/>
  <c r="C275"/>
  <c r="C313"/>
  <c r="F233"/>
  <c r="F271"/>
  <c r="F232"/>
  <c r="F270"/>
  <c r="E234"/>
  <c r="E272"/>
  <c r="D235"/>
  <c r="D273"/>
  <c r="C199"/>
  <c r="C237"/>
  <c r="F157"/>
  <c r="F195"/>
  <c r="D159"/>
  <c r="D197"/>
  <c r="E158"/>
  <c r="E196"/>
  <c r="F156"/>
  <c r="F194"/>
  <c r="C123"/>
  <c r="C161"/>
  <c r="E90"/>
  <c r="E95" s="1"/>
  <c r="E128"/>
  <c r="E133" s="1"/>
  <c r="I91"/>
  <c r="I129"/>
  <c r="D133"/>
  <c r="F81"/>
  <c r="F119"/>
  <c r="F80"/>
  <c r="F118"/>
  <c r="E82"/>
  <c r="E120"/>
  <c r="D83"/>
  <c r="D121"/>
  <c r="F30" i="23"/>
  <c r="C47" i="36"/>
  <c r="C85"/>
  <c r="G25" i="23"/>
  <c r="E52" i="36"/>
  <c r="E57" s="1"/>
  <c r="K26" i="23"/>
  <c r="I53" i="36"/>
  <c r="F42"/>
  <c r="E20" i="23"/>
  <c r="D45" i="36"/>
  <c r="G17" i="23"/>
  <c r="E44" i="36"/>
  <c r="H16" i="23"/>
  <c r="F43" i="36"/>
  <c r="F8" i="29"/>
  <c r="B18" i="2"/>
  <c r="B5" i="9" s="1"/>
  <c r="F26" i="22"/>
  <c r="C57" i="23"/>
  <c r="B1306" i="36" s="1"/>
  <c r="C37" i="5"/>
  <c r="C12" s="1"/>
  <c r="C14" s="1"/>
  <c r="C7" i="9" s="1"/>
  <c r="H16" s="1"/>
  <c r="M26" i="22"/>
  <c r="J26"/>
  <c r="H26"/>
  <c r="L26"/>
  <c r="E26"/>
  <c r="E32" i="5"/>
  <c r="E37" s="1"/>
  <c r="E12" s="1"/>
  <c r="E14" s="1"/>
  <c r="I26" i="22"/>
  <c r="G26"/>
  <c r="E43" i="2"/>
  <c r="D15"/>
  <c r="B7" i="9"/>
  <c r="H15" s="1"/>
  <c r="B8" i="29"/>
  <c r="F18" i="23"/>
  <c r="D7" i="9"/>
  <c r="H17" s="1"/>
  <c r="G6" i="29"/>
  <c r="H28" i="2"/>
  <c r="E30"/>
  <c r="D34"/>
  <c r="D17" s="1"/>
  <c r="H10" i="22"/>
  <c r="N26"/>
  <c r="D748" i="36" l="1"/>
  <c r="D750" s="1"/>
  <c r="D751" s="1"/>
  <c r="D753" s="1"/>
  <c r="D757" s="1"/>
  <c r="J87" i="37"/>
  <c r="J90" s="1"/>
  <c r="G1310" i="40"/>
  <c r="G1313" s="1"/>
  <c r="G1265"/>
  <c r="G1268" s="1"/>
  <c r="G1220"/>
  <c r="G1223" s="1"/>
  <c r="G905"/>
  <c r="G908" s="1"/>
  <c r="G1130"/>
  <c r="G1133" s="1"/>
  <c r="G995"/>
  <c r="G998" s="1"/>
  <c r="G950"/>
  <c r="G953" s="1"/>
  <c r="G860"/>
  <c r="G863" s="1"/>
  <c r="G815"/>
  <c r="G818" s="1"/>
  <c r="G770"/>
  <c r="G773" s="1"/>
  <c r="G1040"/>
  <c r="G1043" s="1"/>
  <c r="G725"/>
  <c r="G728" s="1"/>
  <c r="G590"/>
  <c r="G593" s="1"/>
  <c r="G1175"/>
  <c r="G1178" s="1"/>
  <c r="G365"/>
  <c r="G368" s="1"/>
  <c r="G1085"/>
  <c r="G1088" s="1"/>
  <c r="G545"/>
  <c r="G548" s="1"/>
  <c r="G500"/>
  <c r="G503" s="1"/>
  <c r="G320"/>
  <c r="G323" s="1"/>
  <c r="G410"/>
  <c r="G413" s="1"/>
  <c r="G455"/>
  <c r="G458" s="1"/>
  <c r="G275"/>
  <c r="G278" s="1"/>
  <c r="G680"/>
  <c r="G683" s="1"/>
  <c r="G50"/>
  <c r="G53" s="1"/>
  <c r="G185"/>
  <c r="G188" s="1"/>
  <c r="G635"/>
  <c r="G638" s="1"/>
  <c r="G230"/>
  <c r="G233" s="1"/>
  <c r="G140"/>
  <c r="G143" s="1"/>
  <c r="G95"/>
  <c r="G98" s="1"/>
  <c r="F69"/>
  <c r="F59"/>
  <c r="G69"/>
  <c r="G59"/>
  <c r="I654"/>
  <c r="I644"/>
  <c r="G609"/>
  <c r="G599"/>
  <c r="J149"/>
  <c r="J159"/>
  <c r="L789"/>
  <c r="L779"/>
  <c r="I294"/>
  <c r="I284"/>
  <c r="L599"/>
  <c r="L609"/>
  <c r="J329"/>
  <c r="J339"/>
  <c r="E204"/>
  <c r="E194"/>
  <c r="J1239"/>
  <c r="J1229"/>
  <c r="L104"/>
  <c r="L114"/>
  <c r="J249"/>
  <c r="J239"/>
  <c r="J464"/>
  <c r="J474"/>
  <c r="H609"/>
  <c r="H599"/>
  <c r="D1059"/>
  <c r="D1049"/>
  <c r="L204"/>
  <c r="L194"/>
  <c r="I339"/>
  <c r="I329"/>
  <c r="E564"/>
  <c r="E554"/>
  <c r="J609"/>
  <c r="J599"/>
  <c r="C924"/>
  <c r="B913"/>
  <c r="C914"/>
  <c r="L384"/>
  <c r="L374"/>
  <c r="G519"/>
  <c r="G509"/>
  <c r="H644"/>
  <c r="H654"/>
  <c r="J779"/>
  <c r="J789"/>
  <c r="F1014"/>
  <c r="F1004"/>
  <c r="D834"/>
  <c r="D824"/>
  <c r="I1104"/>
  <c r="I1094"/>
  <c r="J834"/>
  <c r="J824"/>
  <c r="I1014"/>
  <c r="I1004"/>
  <c r="F1329"/>
  <c r="F1319"/>
  <c r="C1149"/>
  <c r="B1138"/>
  <c r="C1139"/>
  <c r="I924"/>
  <c r="I914"/>
  <c r="F1059"/>
  <c r="F1049"/>
  <c r="F1239"/>
  <c r="F1229"/>
  <c r="H1194"/>
  <c r="H1184"/>
  <c r="K1329"/>
  <c r="K1319"/>
  <c r="L1149"/>
  <c r="L1139"/>
  <c r="C1239"/>
  <c r="B1228"/>
  <c r="C1229"/>
  <c r="C1329"/>
  <c r="B1318"/>
  <c r="C1319"/>
  <c r="E1194"/>
  <c r="E1184"/>
  <c r="D1284"/>
  <c r="D1274"/>
  <c r="D1329"/>
  <c r="D1319"/>
  <c r="L150" i="37"/>
  <c r="L140"/>
  <c r="I1265" i="40"/>
  <c r="I1268" s="1"/>
  <c r="I1220"/>
  <c r="I1223" s="1"/>
  <c r="I1175"/>
  <c r="I1178" s="1"/>
  <c r="I1130"/>
  <c r="I1133" s="1"/>
  <c r="I950"/>
  <c r="I953" s="1"/>
  <c r="I1085"/>
  <c r="I1088" s="1"/>
  <c r="I1040"/>
  <c r="I1043" s="1"/>
  <c r="I1310"/>
  <c r="I1313" s="1"/>
  <c r="I770"/>
  <c r="I773" s="1"/>
  <c r="I905"/>
  <c r="I908" s="1"/>
  <c r="I635"/>
  <c r="I638" s="1"/>
  <c r="I815"/>
  <c r="I818" s="1"/>
  <c r="I680"/>
  <c r="I683" s="1"/>
  <c r="I500"/>
  <c r="I503" s="1"/>
  <c r="I410"/>
  <c r="I413" s="1"/>
  <c r="I725"/>
  <c r="I728" s="1"/>
  <c r="I545"/>
  <c r="I548" s="1"/>
  <c r="I275"/>
  <c r="I278" s="1"/>
  <c r="I230"/>
  <c r="I233" s="1"/>
  <c r="I995"/>
  <c r="I998" s="1"/>
  <c r="I185"/>
  <c r="I188" s="1"/>
  <c r="I140"/>
  <c r="I143" s="1"/>
  <c r="I320"/>
  <c r="I323" s="1"/>
  <c r="I95"/>
  <c r="I98" s="1"/>
  <c r="I590"/>
  <c r="I593" s="1"/>
  <c r="I455"/>
  <c r="I458" s="1"/>
  <c r="I365"/>
  <c r="I368" s="1"/>
  <c r="I50"/>
  <c r="I53" s="1"/>
  <c r="I860"/>
  <c r="I863" s="1"/>
  <c r="I114"/>
  <c r="I104"/>
  <c r="K384"/>
  <c r="K374"/>
  <c r="J194"/>
  <c r="J204"/>
  <c r="J644"/>
  <c r="J654"/>
  <c r="E69"/>
  <c r="E59"/>
  <c r="E339"/>
  <c r="E329"/>
  <c r="L699"/>
  <c r="L689"/>
  <c r="E249"/>
  <c r="E239"/>
  <c r="L69"/>
  <c r="L59"/>
  <c r="G204"/>
  <c r="G194"/>
  <c r="F429"/>
  <c r="F419"/>
  <c r="D564"/>
  <c r="D554"/>
  <c r="G834"/>
  <c r="G824"/>
  <c r="L159"/>
  <c r="L149"/>
  <c r="G294"/>
  <c r="G284"/>
  <c r="K474"/>
  <c r="K464"/>
  <c r="F654"/>
  <c r="F644"/>
  <c r="E969"/>
  <c r="E959"/>
  <c r="L339"/>
  <c r="L329"/>
  <c r="H474"/>
  <c r="H464"/>
  <c r="I609"/>
  <c r="I599"/>
  <c r="E744"/>
  <c r="E734"/>
  <c r="J879"/>
  <c r="J869"/>
  <c r="K654"/>
  <c r="K644"/>
  <c r="D789"/>
  <c r="D779"/>
  <c r="G789"/>
  <c r="G779"/>
  <c r="M1310"/>
  <c r="M1265"/>
  <c r="M1175"/>
  <c r="M950"/>
  <c r="M1220"/>
  <c r="M1130"/>
  <c r="M905"/>
  <c r="M770"/>
  <c r="M995"/>
  <c r="M815"/>
  <c r="M635"/>
  <c r="M860"/>
  <c r="M680"/>
  <c r="M500"/>
  <c r="M410"/>
  <c r="M1085"/>
  <c r="M590"/>
  <c r="M275"/>
  <c r="M230"/>
  <c r="M1040"/>
  <c r="M545"/>
  <c r="M185"/>
  <c r="M140"/>
  <c r="M725"/>
  <c r="M455"/>
  <c r="M50"/>
  <c r="M95"/>
  <c r="M365"/>
  <c r="M320"/>
  <c r="F1220"/>
  <c r="F1223" s="1"/>
  <c r="F1175"/>
  <c r="F1178" s="1"/>
  <c r="F1130"/>
  <c r="F1133" s="1"/>
  <c r="F1310"/>
  <c r="F1313" s="1"/>
  <c r="F1265"/>
  <c r="F1268" s="1"/>
  <c r="F1085"/>
  <c r="F1088" s="1"/>
  <c r="F995"/>
  <c r="F998" s="1"/>
  <c r="F1040"/>
  <c r="F1043" s="1"/>
  <c r="F860"/>
  <c r="F863" s="1"/>
  <c r="F725"/>
  <c r="F728" s="1"/>
  <c r="F635"/>
  <c r="F638" s="1"/>
  <c r="F365"/>
  <c r="F368" s="1"/>
  <c r="F950"/>
  <c r="F953" s="1"/>
  <c r="F815"/>
  <c r="F818" s="1"/>
  <c r="F770"/>
  <c r="F773" s="1"/>
  <c r="F680"/>
  <c r="F683" s="1"/>
  <c r="F455"/>
  <c r="F458" s="1"/>
  <c r="F410"/>
  <c r="F413" s="1"/>
  <c r="F185"/>
  <c r="F188" s="1"/>
  <c r="F140"/>
  <c r="F143" s="1"/>
  <c r="F590"/>
  <c r="F593" s="1"/>
  <c r="F95"/>
  <c r="F98" s="1"/>
  <c r="F50"/>
  <c r="F53" s="1"/>
  <c r="F905"/>
  <c r="F908" s="1"/>
  <c r="F230"/>
  <c r="F233" s="1"/>
  <c r="F320"/>
  <c r="F323" s="1"/>
  <c r="F275"/>
  <c r="F278" s="1"/>
  <c r="F545"/>
  <c r="F548" s="1"/>
  <c r="F500"/>
  <c r="F503" s="1"/>
  <c r="K1310"/>
  <c r="K1313" s="1"/>
  <c r="K1265"/>
  <c r="K1268" s="1"/>
  <c r="K1220"/>
  <c r="K1223" s="1"/>
  <c r="K905"/>
  <c r="K908" s="1"/>
  <c r="K1175"/>
  <c r="K1178" s="1"/>
  <c r="K995"/>
  <c r="K998" s="1"/>
  <c r="K1085"/>
  <c r="K1088" s="1"/>
  <c r="K860"/>
  <c r="K863" s="1"/>
  <c r="K950"/>
  <c r="K953" s="1"/>
  <c r="K725"/>
  <c r="K728" s="1"/>
  <c r="K590"/>
  <c r="K593" s="1"/>
  <c r="K455"/>
  <c r="K458" s="1"/>
  <c r="K410"/>
  <c r="K413" s="1"/>
  <c r="K680"/>
  <c r="K683" s="1"/>
  <c r="K635"/>
  <c r="K638" s="1"/>
  <c r="K365"/>
  <c r="K368" s="1"/>
  <c r="K320"/>
  <c r="K323" s="1"/>
  <c r="K1040"/>
  <c r="K1043" s="1"/>
  <c r="K815"/>
  <c r="K818" s="1"/>
  <c r="K230"/>
  <c r="K233" s="1"/>
  <c r="K185"/>
  <c r="K188" s="1"/>
  <c r="K770"/>
  <c r="K773" s="1"/>
  <c r="K1130"/>
  <c r="K1133" s="1"/>
  <c r="K140"/>
  <c r="K143" s="1"/>
  <c r="K545"/>
  <c r="K548" s="1"/>
  <c r="K500"/>
  <c r="K503" s="1"/>
  <c r="K275"/>
  <c r="K278" s="1"/>
  <c r="K50"/>
  <c r="K53" s="1"/>
  <c r="K95"/>
  <c r="K98" s="1"/>
  <c r="E1237" i="36"/>
  <c r="E1239" s="1"/>
  <c r="E1240" s="1"/>
  <c r="E1242" s="1"/>
  <c r="E1246" s="1"/>
  <c r="C1310" i="40"/>
  <c r="C1313" s="1"/>
  <c r="C1265"/>
  <c r="C1268" s="1"/>
  <c r="C1220"/>
  <c r="C1223" s="1"/>
  <c r="C1175"/>
  <c r="C1178" s="1"/>
  <c r="C905"/>
  <c r="C908" s="1"/>
  <c r="C1040"/>
  <c r="C1043" s="1"/>
  <c r="C860"/>
  <c r="C863" s="1"/>
  <c r="C995"/>
  <c r="C998" s="1"/>
  <c r="C950"/>
  <c r="C953" s="1"/>
  <c r="C1130"/>
  <c r="C1133" s="1"/>
  <c r="C815"/>
  <c r="C818" s="1"/>
  <c r="C770"/>
  <c r="C773" s="1"/>
  <c r="C725"/>
  <c r="C728" s="1"/>
  <c r="C590"/>
  <c r="C593" s="1"/>
  <c r="C545"/>
  <c r="C548" s="1"/>
  <c r="C500"/>
  <c r="C503" s="1"/>
  <c r="C680"/>
  <c r="C683" s="1"/>
  <c r="C635"/>
  <c r="C638" s="1"/>
  <c r="C320"/>
  <c r="C323" s="1"/>
  <c r="C1085"/>
  <c r="C1088" s="1"/>
  <c r="C95"/>
  <c r="C98" s="1"/>
  <c r="C275"/>
  <c r="C278" s="1"/>
  <c r="C140"/>
  <c r="C143" s="1"/>
  <c r="C50"/>
  <c r="C53" s="1"/>
  <c r="C455"/>
  <c r="C458" s="1"/>
  <c r="C230"/>
  <c r="C233" s="1"/>
  <c r="C185"/>
  <c r="C188" s="1"/>
  <c r="C365"/>
  <c r="C368" s="1"/>
  <c r="C410"/>
  <c r="C413" s="1"/>
  <c r="F159"/>
  <c r="F149"/>
  <c r="E429"/>
  <c r="E419"/>
  <c r="I204"/>
  <c r="I194"/>
  <c r="G744"/>
  <c r="G734"/>
  <c r="H554"/>
  <c r="H564"/>
  <c r="F609"/>
  <c r="F599"/>
  <c r="L249"/>
  <c r="L239"/>
  <c r="I429"/>
  <c r="I419"/>
  <c r="G879"/>
  <c r="G869"/>
  <c r="E114"/>
  <c r="E104"/>
  <c r="K339"/>
  <c r="K329"/>
  <c r="I699"/>
  <c r="I689"/>
  <c r="F114"/>
  <c r="F104"/>
  <c r="H239"/>
  <c r="H249"/>
  <c r="G564"/>
  <c r="G554"/>
  <c r="L824"/>
  <c r="L834"/>
  <c r="D249"/>
  <c r="D239"/>
  <c r="L519"/>
  <c r="L509"/>
  <c r="J104"/>
  <c r="J114"/>
  <c r="C564"/>
  <c r="B553"/>
  <c r="C554"/>
  <c r="D69"/>
  <c r="D59"/>
  <c r="H114"/>
  <c r="H104"/>
  <c r="K159"/>
  <c r="K149"/>
  <c r="F239"/>
  <c r="F249"/>
  <c r="G339"/>
  <c r="G329"/>
  <c r="E474"/>
  <c r="E464"/>
  <c r="I519"/>
  <c r="I509"/>
  <c r="C609"/>
  <c r="B598"/>
  <c r="C599"/>
  <c r="J734"/>
  <c r="J744"/>
  <c r="L924"/>
  <c r="L914"/>
  <c r="D159"/>
  <c r="D149"/>
  <c r="H194"/>
  <c r="H204"/>
  <c r="K249"/>
  <c r="K239"/>
  <c r="C339"/>
  <c r="B328"/>
  <c r="C329"/>
  <c r="H419"/>
  <c r="H429"/>
  <c r="J509"/>
  <c r="J519"/>
  <c r="D599"/>
  <c r="D609"/>
  <c r="C744"/>
  <c r="B733"/>
  <c r="C734"/>
  <c r="F869"/>
  <c r="F879"/>
  <c r="D339"/>
  <c r="D329"/>
  <c r="H374"/>
  <c r="H384"/>
  <c r="K429"/>
  <c r="K419"/>
  <c r="C519"/>
  <c r="C509"/>
  <c r="B508"/>
  <c r="J564"/>
  <c r="J554"/>
  <c r="D654"/>
  <c r="D644"/>
  <c r="G699"/>
  <c r="G689"/>
  <c r="E789"/>
  <c r="E779"/>
  <c r="L969"/>
  <c r="L959"/>
  <c r="C654"/>
  <c r="C644"/>
  <c r="B643"/>
  <c r="J689"/>
  <c r="J699"/>
  <c r="L734"/>
  <c r="L744"/>
  <c r="H879"/>
  <c r="H869"/>
  <c r="H1059"/>
  <c r="H1049"/>
  <c r="G1284"/>
  <c r="G1274"/>
  <c r="F824"/>
  <c r="F834"/>
  <c r="D924"/>
  <c r="D914"/>
  <c r="C1014"/>
  <c r="C1004"/>
  <c r="F1104"/>
  <c r="F1094"/>
  <c r="D1194"/>
  <c r="D1184"/>
  <c r="J1104"/>
  <c r="J1094"/>
  <c r="K1239"/>
  <c r="K1229"/>
  <c r="E924"/>
  <c r="E914"/>
  <c r="K969"/>
  <c r="K959"/>
  <c r="L1014"/>
  <c r="L1004"/>
  <c r="G1104"/>
  <c r="G1094"/>
  <c r="G1194"/>
  <c r="G1184"/>
  <c r="C1284"/>
  <c r="B1273"/>
  <c r="C1274"/>
  <c r="G150" i="37"/>
  <c r="G140"/>
  <c r="E1329" i="40"/>
  <c r="E1319"/>
  <c r="H1149"/>
  <c r="H1139"/>
  <c r="K1194"/>
  <c r="K1184"/>
  <c r="J1284"/>
  <c r="J1274"/>
  <c r="C140" i="37"/>
  <c r="C150"/>
  <c r="B139"/>
  <c r="I1239" i="40"/>
  <c r="I1229"/>
  <c r="H150" i="37"/>
  <c r="H140"/>
  <c r="H1310" i="40"/>
  <c r="H1313" s="1"/>
  <c r="H1265"/>
  <c r="H1268" s="1"/>
  <c r="H1220"/>
  <c r="H1223" s="1"/>
  <c r="H1175"/>
  <c r="H1178" s="1"/>
  <c r="H1040"/>
  <c r="H1043" s="1"/>
  <c r="H905"/>
  <c r="H908" s="1"/>
  <c r="H815"/>
  <c r="H818" s="1"/>
  <c r="H1085"/>
  <c r="H1088" s="1"/>
  <c r="H680"/>
  <c r="H683" s="1"/>
  <c r="H860"/>
  <c r="H863" s="1"/>
  <c r="H770"/>
  <c r="H773" s="1"/>
  <c r="H545"/>
  <c r="H548" s="1"/>
  <c r="H455"/>
  <c r="H458" s="1"/>
  <c r="H1130"/>
  <c r="H1133" s="1"/>
  <c r="H590"/>
  <c r="H593" s="1"/>
  <c r="H500"/>
  <c r="H503" s="1"/>
  <c r="H320"/>
  <c r="H323" s="1"/>
  <c r="H725"/>
  <c r="H728" s="1"/>
  <c r="H275"/>
  <c r="H278" s="1"/>
  <c r="H230"/>
  <c r="H233" s="1"/>
  <c r="H995"/>
  <c r="H998" s="1"/>
  <c r="H140"/>
  <c r="H143" s="1"/>
  <c r="H635"/>
  <c r="H638" s="1"/>
  <c r="H950"/>
  <c r="H953" s="1"/>
  <c r="H365"/>
  <c r="H368" s="1"/>
  <c r="H50"/>
  <c r="H53" s="1"/>
  <c r="H410"/>
  <c r="H413" s="1"/>
  <c r="H95"/>
  <c r="H98" s="1"/>
  <c r="H185"/>
  <c r="H188" s="1"/>
  <c r="J1175"/>
  <c r="J1178" s="1"/>
  <c r="J1130"/>
  <c r="J1133" s="1"/>
  <c r="J1085"/>
  <c r="J1088" s="1"/>
  <c r="J995"/>
  <c r="J998" s="1"/>
  <c r="J1040"/>
  <c r="J1043" s="1"/>
  <c r="J1265"/>
  <c r="J1268" s="1"/>
  <c r="J950"/>
  <c r="J953" s="1"/>
  <c r="J725"/>
  <c r="J728" s="1"/>
  <c r="J905"/>
  <c r="J908" s="1"/>
  <c r="J635"/>
  <c r="J638" s="1"/>
  <c r="J365"/>
  <c r="J368" s="1"/>
  <c r="J1310"/>
  <c r="J1313" s="1"/>
  <c r="J185"/>
  <c r="J188" s="1"/>
  <c r="J140"/>
  <c r="J143" s="1"/>
  <c r="J1220"/>
  <c r="J1223" s="1"/>
  <c r="J860"/>
  <c r="J863" s="1"/>
  <c r="J455"/>
  <c r="J458" s="1"/>
  <c r="J410"/>
  <c r="J413" s="1"/>
  <c r="J95"/>
  <c r="J98" s="1"/>
  <c r="J50"/>
  <c r="J53" s="1"/>
  <c r="J680"/>
  <c r="J683" s="1"/>
  <c r="J590"/>
  <c r="J593" s="1"/>
  <c r="J815"/>
  <c r="J818" s="1"/>
  <c r="J545"/>
  <c r="J548" s="1"/>
  <c r="J500"/>
  <c r="J503" s="1"/>
  <c r="J230"/>
  <c r="J233" s="1"/>
  <c r="J770"/>
  <c r="J773" s="1"/>
  <c r="J320"/>
  <c r="J323" s="1"/>
  <c r="J275"/>
  <c r="J278" s="1"/>
  <c r="D294"/>
  <c r="D284"/>
  <c r="I249"/>
  <c r="I239"/>
  <c r="I1149"/>
  <c r="I1139"/>
  <c r="F969"/>
  <c r="F959"/>
  <c r="J429"/>
  <c r="J419"/>
  <c r="K114"/>
  <c r="K104"/>
  <c r="D429"/>
  <c r="D419"/>
  <c r="K924"/>
  <c r="K914"/>
  <c r="L554"/>
  <c r="L564"/>
  <c r="C834"/>
  <c r="B823"/>
  <c r="C824"/>
  <c r="H69"/>
  <c r="H59"/>
  <c r="C204"/>
  <c r="B193"/>
  <c r="C194"/>
  <c r="G384"/>
  <c r="G374"/>
  <c r="F789"/>
  <c r="F779"/>
  <c r="H149"/>
  <c r="H159"/>
  <c r="C294"/>
  <c r="C284"/>
  <c r="B283"/>
  <c r="F474"/>
  <c r="F464"/>
  <c r="K744"/>
  <c r="K734"/>
  <c r="D1104"/>
  <c r="D1094"/>
  <c r="H339"/>
  <c r="H329"/>
  <c r="D464"/>
  <c r="D474"/>
  <c r="E609"/>
  <c r="E599"/>
  <c r="K699"/>
  <c r="K689"/>
  <c r="D869"/>
  <c r="D879"/>
  <c r="G654"/>
  <c r="G644"/>
  <c r="G924"/>
  <c r="G914"/>
  <c r="C789"/>
  <c r="C779"/>
  <c r="B778"/>
  <c r="J924"/>
  <c r="J914"/>
  <c r="L1104"/>
  <c r="L1094"/>
  <c r="E1059"/>
  <c r="E1049"/>
  <c r="K1104"/>
  <c r="K1094"/>
  <c r="K1284"/>
  <c r="K1274"/>
  <c r="E150" i="37"/>
  <c r="E140"/>
  <c r="E1310" i="40"/>
  <c r="E1313" s="1"/>
  <c r="E950"/>
  <c r="E953" s="1"/>
  <c r="E1130"/>
  <c r="E1133" s="1"/>
  <c r="E995"/>
  <c r="E998" s="1"/>
  <c r="E1265"/>
  <c r="E1268" s="1"/>
  <c r="E1085"/>
  <c r="E1088" s="1"/>
  <c r="E1040"/>
  <c r="E1043" s="1"/>
  <c r="E770"/>
  <c r="E773" s="1"/>
  <c r="E635"/>
  <c r="E638" s="1"/>
  <c r="E1175"/>
  <c r="E1178" s="1"/>
  <c r="E680"/>
  <c r="E683" s="1"/>
  <c r="E500"/>
  <c r="E503" s="1"/>
  <c r="E410"/>
  <c r="E413" s="1"/>
  <c r="E905"/>
  <c r="E908" s="1"/>
  <c r="E275"/>
  <c r="E278" s="1"/>
  <c r="E230"/>
  <c r="E233" s="1"/>
  <c r="E815"/>
  <c r="E818" s="1"/>
  <c r="E455"/>
  <c r="E458" s="1"/>
  <c r="E365"/>
  <c r="E368" s="1"/>
  <c r="E185"/>
  <c r="E188" s="1"/>
  <c r="E140"/>
  <c r="E143" s="1"/>
  <c r="E1220"/>
  <c r="E1223" s="1"/>
  <c r="E590"/>
  <c r="E593" s="1"/>
  <c r="E320"/>
  <c r="E323" s="1"/>
  <c r="E860"/>
  <c r="E863" s="1"/>
  <c r="E545"/>
  <c r="E548" s="1"/>
  <c r="E725"/>
  <c r="E728" s="1"/>
  <c r="E95"/>
  <c r="E98" s="1"/>
  <c r="E50"/>
  <c r="E53" s="1"/>
  <c r="M1221"/>
  <c r="M1311"/>
  <c r="M1266"/>
  <c r="M1041"/>
  <c r="M1131"/>
  <c r="M996"/>
  <c r="M951"/>
  <c r="M816"/>
  <c r="M861"/>
  <c r="M771"/>
  <c r="M681"/>
  <c r="M546"/>
  <c r="M456"/>
  <c r="M636"/>
  <c r="M366"/>
  <c r="M321"/>
  <c r="M1086"/>
  <c r="M906"/>
  <c r="M591"/>
  <c r="M501"/>
  <c r="M276"/>
  <c r="M231"/>
  <c r="M1176"/>
  <c r="M51"/>
  <c r="M726"/>
  <c r="M411"/>
  <c r="M186"/>
  <c r="M141"/>
  <c r="M96"/>
  <c r="L294"/>
  <c r="L284"/>
  <c r="K69"/>
  <c r="K59"/>
  <c r="E294"/>
  <c r="E284"/>
  <c r="C69"/>
  <c r="C59"/>
  <c r="B58"/>
  <c r="C474"/>
  <c r="C464"/>
  <c r="B463"/>
  <c r="E159"/>
  <c r="E149"/>
  <c r="G464"/>
  <c r="G474"/>
  <c r="K1014"/>
  <c r="K1004"/>
  <c r="D699"/>
  <c r="D689"/>
  <c r="K879"/>
  <c r="K869"/>
  <c r="C1059"/>
  <c r="B1048"/>
  <c r="C1049"/>
  <c r="C159"/>
  <c r="B148"/>
  <c r="C149"/>
  <c r="F284"/>
  <c r="F294"/>
  <c r="E654"/>
  <c r="E644"/>
  <c r="J1194"/>
  <c r="J1184"/>
  <c r="C249"/>
  <c r="C239"/>
  <c r="B238"/>
  <c r="C384"/>
  <c r="B373"/>
  <c r="C374"/>
  <c r="K564"/>
  <c r="K554"/>
  <c r="H779"/>
  <c r="H789"/>
  <c r="G1149"/>
  <c r="G1139"/>
  <c r="C429"/>
  <c r="C419"/>
  <c r="B418"/>
  <c r="K519"/>
  <c r="K509"/>
  <c r="L654"/>
  <c r="L644"/>
  <c r="E834"/>
  <c r="E824"/>
  <c r="I1059"/>
  <c r="I1049"/>
  <c r="D734"/>
  <c r="D744"/>
  <c r="I834"/>
  <c r="I824"/>
  <c r="J969"/>
  <c r="J959"/>
  <c r="L1194"/>
  <c r="L1184"/>
  <c r="E879"/>
  <c r="E869"/>
  <c r="D969"/>
  <c r="D959"/>
  <c r="G1059"/>
  <c r="G1049"/>
  <c r="H969"/>
  <c r="H959"/>
  <c r="K1059"/>
  <c r="K1049"/>
  <c r="J1149"/>
  <c r="J1139"/>
  <c r="F150" i="37"/>
  <c r="F140"/>
  <c r="C969" i="40"/>
  <c r="C959"/>
  <c r="B958"/>
  <c r="D1014"/>
  <c r="D1004"/>
  <c r="J1059"/>
  <c r="J1049"/>
  <c r="F1149"/>
  <c r="F1139"/>
  <c r="L1239"/>
  <c r="L1229"/>
  <c r="J1329"/>
  <c r="J1319"/>
  <c r="G1239"/>
  <c r="G1229"/>
  <c r="K150" i="37"/>
  <c r="K140"/>
  <c r="H1239" i="40"/>
  <c r="H1229"/>
  <c r="I1329"/>
  <c r="I1319"/>
  <c r="I1194"/>
  <c r="I1184"/>
  <c r="H1284"/>
  <c r="H1274"/>
  <c r="H1329"/>
  <c r="H1319"/>
  <c r="I150" i="37"/>
  <c r="I140"/>
  <c r="D1265" i="40"/>
  <c r="D1268" s="1"/>
  <c r="D1271" s="1"/>
  <c r="D1175"/>
  <c r="D1178" s="1"/>
  <c r="D1181" s="1"/>
  <c r="D1130"/>
  <c r="D1133" s="1"/>
  <c r="D1136" s="1"/>
  <c r="D1040"/>
  <c r="D1043" s="1"/>
  <c r="D1046" s="1"/>
  <c r="D1310"/>
  <c r="D1313" s="1"/>
  <c r="D1316" s="1"/>
  <c r="D1085"/>
  <c r="D1088" s="1"/>
  <c r="D1091" s="1"/>
  <c r="D1220"/>
  <c r="D1223" s="1"/>
  <c r="D1226" s="1"/>
  <c r="D815"/>
  <c r="D818" s="1"/>
  <c r="D821" s="1"/>
  <c r="D680"/>
  <c r="D683" s="1"/>
  <c r="D686" s="1"/>
  <c r="D995"/>
  <c r="D998" s="1"/>
  <c r="D1001" s="1"/>
  <c r="D950"/>
  <c r="D953" s="1"/>
  <c r="D956" s="1"/>
  <c r="D905"/>
  <c r="D908" s="1"/>
  <c r="D911" s="1"/>
  <c r="D545"/>
  <c r="D548" s="1"/>
  <c r="D551" s="1"/>
  <c r="D455"/>
  <c r="D458" s="1"/>
  <c r="D461" s="1"/>
  <c r="D860"/>
  <c r="D863" s="1"/>
  <c r="D866" s="1"/>
  <c r="D635"/>
  <c r="D638" s="1"/>
  <c r="D641" s="1"/>
  <c r="D320"/>
  <c r="D323" s="1"/>
  <c r="D326" s="1"/>
  <c r="D770"/>
  <c r="D773" s="1"/>
  <c r="D776" s="1"/>
  <c r="D410"/>
  <c r="D413" s="1"/>
  <c r="D416" s="1"/>
  <c r="D275"/>
  <c r="D278" s="1"/>
  <c r="D281" s="1"/>
  <c r="D230"/>
  <c r="D233" s="1"/>
  <c r="D236" s="1"/>
  <c r="D725"/>
  <c r="D728" s="1"/>
  <c r="D731" s="1"/>
  <c r="D736" s="1"/>
  <c r="D738" s="1"/>
  <c r="D740" s="1"/>
  <c r="D741" s="1"/>
  <c r="D743" s="1"/>
  <c r="D500"/>
  <c r="D503" s="1"/>
  <c r="D506" s="1"/>
  <c r="D185"/>
  <c r="D188" s="1"/>
  <c r="D191" s="1"/>
  <c r="D95"/>
  <c r="D98" s="1"/>
  <c r="D101" s="1"/>
  <c r="D365"/>
  <c r="D368" s="1"/>
  <c r="D371" s="1"/>
  <c r="D590"/>
  <c r="D593" s="1"/>
  <c r="D596" s="1"/>
  <c r="D50"/>
  <c r="D53" s="1"/>
  <c r="D56" s="1"/>
  <c r="D140"/>
  <c r="D143" s="1"/>
  <c r="D146" s="1"/>
  <c r="L1220"/>
  <c r="L1223" s="1"/>
  <c r="L1310"/>
  <c r="L1313" s="1"/>
  <c r="L1040"/>
  <c r="L1043" s="1"/>
  <c r="L1130"/>
  <c r="L1133" s="1"/>
  <c r="L1175"/>
  <c r="L1178" s="1"/>
  <c r="L995"/>
  <c r="L998" s="1"/>
  <c r="L950"/>
  <c r="L953" s="1"/>
  <c r="L815"/>
  <c r="L818" s="1"/>
  <c r="L860"/>
  <c r="L863" s="1"/>
  <c r="L770"/>
  <c r="L773" s="1"/>
  <c r="L680"/>
  <c r="L683" s="1"/>
  <c r="L1265"/>
  <c r="L1268" s="1"/>
  <c r="L1085"/>
  <c r="L1088" s="1"/>
  <c r="L545"/>
  <c r="L548" s="1"/>
  <c r="L455"/>
  <c r="L458" s="1"/>
  <c r="L635"/>
  <c r="L638" s="1"/>
  <c r="L365"/>
  <c r="L368" s="1"/>
  <c r="L320"/>
  <c r="L323" s="1"/>
  <c r="L590"/>
  <c r="L593" s="1"/>
  <c r="L500"/>
  <c r="L503" s="1"/>
  <c r="L275"/>
  <c r="L278" s="1"/>
  <c r="L230"/>
  <c r="L233" s="1"/>
  <c r="L50"/>
  <c r="L53" s="1"/>
  <c r="L905"/>
  <c r="L908" s="1"/>
  <c r="L410"/>
  <c r="L185"/>
  <c r="L188" s="1"/>
  <c r="L725"/>
  <c r="L728" s="1"/>
  <c r="L95"/>
  <c r="L98" s="1"/>
  <c r="L140"/>
  <c r="L143" s="1"/>
  <c r="E1214"/>
  <c r="E1169"/>
  <c r="E81" i="37"/>
  <c r="E1079" i="40"/>
  <c r="E989"/>
  <c r="E1259"/>
  <c r="E1034"/>
  <c r="E944"/>
  <c r="E854"/>
  <c r="E719"/>
  <c r="E1304"/>
  <c r="E899"/>
  <c r="E629"/>
  <c r="E359"/>
  <c r="E809"/>
  <c r="E764"/>
  <c r="E674"/>
  <c r="E449"/>
  <c r="E404"/>
  <c r="E179"/>
  <c r="E134"/>
  <c r="E1124"/>
  <c r="E584"/>
  <c r="E89"/>
  <c r="E44"/>
  <c r="E269"/>
  <c r="E224"/>
  <c r="E314"/>
  <c r="E494"/>
  <c r="E539"/>
  <c r="N1263"/>
  <c r="N1173"/>
  <c r="N1128"/>
  <c r="N1083"/>
  <c r="N993"/>
  <c r="N1038"/>
  <c r="N1308"/>
  <c r="N1218"/>
  <c r="N723"/>
  <c r="N948"/>
  <c r="N813"/>
  <c r="N768"/>
  <c r="N633"/>
  <c r="N363"/>
  <c r="N678"/>
  <c r="N543"/>
  <c r="N183"/>
  <c r="N138"/>
  <c r="N93"/>
  <c r="N48"/>
  <c r="N858"/>
  <c r="N273"/>
  <c r="N228"/>
  <c r="N588"/>
  <c r="N408"/>
  <c r="N318"/>
  <c r="N903"/>
  <c r="N453"/>
  <c r="E1188" i="36"/>
  <c r="E1190" s="1"/>
  <c r="E1191" s="1"/>
  <c r="E1193" s="1"/>
  <c r="E1197" s="1"/>
  <c r="L413" i="40"/>
  <c r="G114"/>
  <c r="G104"/>
  <c r="F339"/>
  <c r="F329"/>
  <c r="I159"/>
  <c r="I149"/>
  <c r="H509"/>
  <c r="H519"/>
  <c r="I474"/>
  <c r="I464"/>
  <c r="C114"/>
  <c r="C104"/>
  <c r="B103"/>
  <c r="E384"/>
  <c r="E374"/>
  <c r="I69"/>
  <c r="I59"/>
  <c r="H284"/>
  <c r="H294"/>
  <c r="K609"/>
  <c r="K599"/>
  <c r="J59"/>
  <c r="J69"/>
  <c r="F204"/>
  <c r="F194"/>
  <c r="J374"/>
  <c r="J384"/>
  <c r="F519"/>
  <c r="F509"/>
  <c r="F744"/>
  <c r="F734"/>
  <c r="H1104"/>
  <c r="H1094"/>
  <c r="F384"/>
  <c r="F374"/>
  <c r="F924"/>
  <c r="F914"/>
  <c r="G1329"/>
  <c r="G1319"/>
  <c r="D104"/>
  <c r="D114"/>
  <c r="G159"/>
  <c r="G149"/>
  <c r="K204"/>
  <c r="K194"/>
  <c r="J294"/>
  <c r="J284"/>
  <c r="L429"/>
  <c r="L419"/>
  <c r="D519"/>
  <c r="D509"/>
  <c r="I564"/>
  <c r="I554"/>
  <c r="E699"/>
  <c r="E689"/>
  <c r="L869"/>
  <c r="L879"/>
  <c r="D204"/>
  <c r="D194"/>
  <c r="G249"/>
  <c r="G239"/>
  <c r="K294"/>
  <c r="K284"/>
  <c r="I384"/>
  <c r="I374"/>
  <c r="E519"/>
  <c r="E509"/>
  <c r="H699"/>
  <c r="H689"/>
  <c r="H824"/>
  <c r="H834"/>
  <c r="J1014"/>
  <c r="J1004"/>
  <c r="D1239"/>
  <c r="D1229"/>
  <c r="D384"/>
  <c r="D374"/>
  <c r="G429"/>
  <c r="G419"/>
  <c r="L464"/>
  <c r="L474"/>
  <c r="F554"/>
  <c r="F564"/>
  <c r="C699"/>
  <c r="C689"/>
  <c r="B688"/>
  <c r="I744"/>
  <c r="I734"/>
  <c r="K834"/>
  <c r="K824"/>
  <c r="H924"/>
  <c r="H914"/>
  <c r="I1284"/>
  <c r="I1274"/>
  <c r="F689"/>
  <c r="F699"/>
  <c r="H744"/>
  <c r="H734"/>
  <c r="I789"/>
  <c r="I779"/>
  <c r="C879"/>
  <c r="B868"/>
  <c r="C869"/>
  <c r="B1003"/>
  <c r="E1004"/>
  <c r="E1014"/>
  <c r="K789"/>
  <c r="K779"/>
  <c r="I879"/>
  <c r="I869"/>
  <c r="I969"/>
  <c r="I959"/>
  <c r="L1059"/>
  <c r="L1049"/>
  <c r="E1149"/>
  <c r="E1139"/>
  <c r="G1014"/>
  <c r="G1004"/>
  <c r="E1104"/>
  <c r="E1094"/>
  <c r="C1194"/>
  <c r="B1183"/>
  <c r="C1184"/>
  <c r="G969"/>
  <c r="G959"/>
  <c r="H1014"/>
  <c r="H1004"/>
  <c r="C1104"/>
  <c r="C1094"/>
  <c r="B1093"/>
  <c r="K1149"/>
  <c r="K1139"/>
  <c r="F1284"/>
  <c r="F1274"/>
  <c r="D1149"/>
  <c r="D1139"/>
  <c r="F1194"/>
  <c r="F1184"/>
  <c r="E1284"/>
  <c r="E1274"/>
  <c r="J150" i="37"/>
  <c r="J140"/>
  <c r="E1239" i="40"/>
  <c r="E1229"/>
  <c r="L1284"/>
  <c r="L1274"/>
  <c r="L1329"/>
  <c r="L1319"/>
  <c r="D150" i="37"/>
  <c r="D140"/>
  <c r="G1069" i="40"/>
  <c r="G304"/>
  <c r="G169"/>
  <c r="G1249"/>
  <c r="G1204"/>
  <c r="G1159"/>
  <c r="G1024"/>
  <c r="G979"/>
  <c r="G664"/>
  <c r="G619"/>
  <c r="G574"/>
  <c r="G484"/>
  <c r="G439"/>
  <c r="G214"/>
  <c r="G79"/>
  <c r="G1294"/>
  <c r="G1114"/>
  <c r="G889"/>
  <c r="G844"/>
  <c r="G799"/>
  <c r="G754"/>
  <c r="G709"/>
  <c r="G349"/>
  <c r="G124"/>
  <c r="G934"/>
  <c r="G529"/>
  <c r="G394"/>
  <c r="G259"/>
  <c r="G34"/>
  <c r="G1295"/>
  <c r="G1115"/>
  <c r="G1070"/>
  <c r="G350"/>
  <c r="G305"/>
  <c r="G1250"/>
  <c r="G1160"/>
  <c r="G980"/>
  <c r="G530"/>
  <c r="G485"/>
  <c r="G260"/>
  <c r="G215"/>
  <c r="G170"/>
  <c r="G125"/>
  <c r="G1205"/>
  <c r="G1025"/>
  <c r="G440"/>
  <c r="G395"/>
  <c r="G80"/>
  <c r="G35"/>
  <c r="C176"/>
  <c r="C221"/>
  <c r="E756"/>
  <c r="E757" s="1"/>
  <c r="E759" s="1"/>
  <c r="E531"/>
  <c r="E532" s="1"/>
  <c r="E534" s="1"/>
  <c r="E441"/>
  <c r="E442" s="1"/>
  <c r="E444" s="1"/>
  <c r="E1296"/>
  <c r="E1297" s="1"/>
  <c r="E1299" s="1"/>
  <c r="E1161"/>
  <c r="E1162" s="1"/>
  <c r="E1164" s="1"/>
  <c r="E1116"/>
  <c r="E1117" s="1"/>
  <c r="E1119" s="1"/>
  <c r="E936"/>
  <c r="E937" s="1"/>
  <c r="E939" s="1"/>
  <c r="E891"/>
  <c r="E892" s="1"/>
  <c r="E894" s="1"/>
  <c r="E711"/>
  <c r="E712" s="1"/>
  <c r="E714" s="1"/>
  <c r="E666"/>
  <c r="E667" s="1"/>
  <c r="E669" s="1"/>
  <c r="E486"/>
  <c r="E487" s="1"/>
  <c r="E489" s="1"/>
  <c r="E351"/>
  <c r="E1206"/>
  <c r="E1207" s="1"/>
  <c r="E1209" s="1"/>
  <c r="E1071"/>
  <c r="E1072" s="1"/>
  <c r="E1074" s="1"/>
  <c r="E1026"/>
  <c r="E1027" s="1"/>
  <c r="E1029" s="1"/>
  <c r="E981"/>
  <c r="E982" s="1"/>
  <c r="E984" s="1"/>
  <c r="E846"/>
  <c r="E847" s="1"/>
  <c r="E849" s="1"/>
  <c r="E621"/>
  <c r="E622" s="1"/>
  <c r="E624" s="1"/>
  <c r="E396"/>
  <c r="E397" s="1"/>
  <c r="E399" s="1"/>
  <c r="E261"/>
  <c r="E1251"/>
  <c r="E1252" s="1"/>
  <c r="E1254" s="1"/>
  <c r="E801"/>
  <c r="E802" s="1"/>
  <c r="E804" s="1"/>
  <c r="E576"/>
  <c r="E577" s="1"/>
  <c r="E579" s="1"/>
  <c r="E306"/>
  <c r="E126"/>
  <c r="E36"/>
  <c r="E171"/>
  <c r="E216"/>
  <c r="E81"/>
  <c r="C86"/>
  <c r="C311"/>
  <c r="D262"/>
  <c r="D264" s="1"/>
  <c r="D266" s="1"/>
  <c r="D307"/>
  <c r="D309" s="1"/>
  <c r="D311" s="1"/>
  <c r="D352"/>
  <c r="D354" s="1"/>
  <c r="D356" s="1"/>
  <c r="D172"/>
  <c r="D174" s="1"/>
  <c r="D176" s="1"/>
  <c r="D217"/>
  <c r="D219" s="1"/>
  <c r="D221" s="1"/>
  <c r="D82"/>
  <c r="D84" s="1"/>
  <c r="D86" s="1"/>
  <c r="D127"/>
  <c r="D129" s="1"/>
  <c r="D131" s="1"/>
  <c r="D37"/>
  <c r="D39" s="1"/>
  <c r="D41" s="1"/>
  <c r="C131"/>
  <c r="C356"/>
  <c r="C76" i="37"/>
  <c r="C78" s="1"/>
  <c r="C118"/>
  <c r="C120" s="1"/>
  <c r="C41" i="40"/>
  <c r="C266"/>
  <c r="D377" i="36"/>
  <c r="D1148"/>
  <c r="D1197"/>
  <c r="E1139"/>
  <c r="E1141" s="1"/>
  <c r="E1142" s="1"/>
  <c r="E1144" s="1"/>
  <c r="E1148" s="1"/>
  <c r="E1286"/>
  <c r="E1288" s="1"/>
  <c r="E1289" s="1"/>
  <c r="E1291" s="1"/>
  <c r="E1295" s="1"/>
  <c r="D909"/>
  <c r="E62"/>
  <c r="E138"/>
  <c r="E406"/>
  <c r="E408" s="1"/>
  <c r="E409" s="1"/>
  <c r="E411" s="1"/>
  <c r="E415" s="1"/>
  <c r="D1295"/>
  <c r="B982"/>
  <c r="B830"/>
  <c r="C1137"/>
  <c r="B1135"/>
  <c r="B1184"/>
  <c r="C1186"/>
  <c r="B820"/>
  <c r="C822"/>
  <c r="N1083"/>
  <c r="N1088" s="1"/>
  <c r="O1078"/>
  <c r="O280"/>
  <c r="N285"/>
  <c r="N290" s="1"/>
  <c r="N855"/>
  <c r="N860" s="1"/>
  <c r="O850"/>
  <c r="N1045"/>
  <c r="N1050" s="1"/>
  <c r="O1040"/>
  <c r="N475"/>
  <c r="N480" s="1"/>
  <c r="O470"/>
  <c r="N817"/>
  <c r="N822" s="1"/>
  <c r="O812"/>
  <c r="N209"/>
  <c r="N214" s="1"/>
  <c r="O204"/>
  <c r="B1282"/>
  <c r="C1284"/>
  <c r="C1012"/>
  <c r="B1010"/>
  <c r="C860"/>
  <c r="B858"/>
  <c r="O1225"/>
  <c r="N1230"/>
  <c r="N1235" s="1"/>
  <c r="N627"/>
  <c r="N632" s="1"/>
  <c r="O622"/>
  <c r="N1007"/>
  <c r="N1012" s="1"/>
  <c r="O1002"/>
  <c r="O1274"/>
  <c r="N1279"/>
  <c r="N1284" s="1"/>
  <c r="O660"/>
  <c r="N665"/>
  <c r="N670" s="1"/>
  <c r="C1088"/>
  <c r="B1086"/>
  <c r="B972"/>
  <c r="C974"/>
  <c r="C898"/>
  <c r="B896"/>
  <c r="O1176"/>
  <c r="N1181"/>
  <c r="N1186" s="1"/>
  <c r="N247"/>
  <c r="N252" s="1"/>
  <c r="O242"/>
  <c r="N703"/>
  <c r="N708" s="1"/>
  <c r="O698"/>
  <c r="O1127"/>
  <c r="N1132"/>
  <c r="N1137" s="1"/>
  <c r="O546"/>
  <c r="N551"/>
  <c r="N556" s="1"/>
  <c r="O964"/>
  <c r="N969"/>
  <c r="N974" s="1"/>
  <c r="O318"/>
  <c r="N323"/>
  <c r="N328" s="1"/>
  <c r="C1235"/>
  <c r="B1233"/>
  <c r="B1048"/>
  <c r="C1050"/>
  <c r="B934"/>
  <c r="C936"/>
  <c r="O736"/>
  <c r="N741"/>
  <c r="N746" s="1"/>
  <c r="N513"/>
  <c r="N518" s="1"/>
  <c r="O508"/>
  <c r="N437"/>
  <c r="N442" s="1"/>
  <c r="O432"/>
  <c r="N931"/>
  <c r="N936" s="1"/>
  <c r="O926"/>
  <c r="N779"/>
  <c r="N784" s="1"/>
  <c r="O774"/>
  <c r="N893"/>
  <c r="N898" s="1"/>
  <c r="O888"/>
  <c r="O584"/>
  <c r="N589"/>
  <c r="N594" s="1"/>
  <c r="N399"/>
  <c r="N404" s="1"/>
  <c r="O394"/>
  <c r="O356"/>
  <c r="N361"/>
  <c r="N366" s="1"/>
  <c r="B1194"/>
  <c r="B1292"/>
  <c r="B1020"/>
  <c r="B868"/>
  <c r="K29" i="22"/>
  <c r="K32" s="1"/>
  <c r="E900" i="36"/>
  <c r="E902" s="1"/>
  <c r="E903" s="1"/>
  <c r="E905" s="1"/>
  <c r="E909" s="1"/>
  <c r="D1246"/>
  <c r="B1145"/>
  <c r="B1096"/>
  <c r="B906"/>
  <c r="B1243"/>
  <c r="B1058"/>
  <c r="B944"/>
  <c r="G1216"/>
  <c r="G1265"/>
  <c r="G1215"/>
  <c r="G1264"/>
  <c r="F1217"/>
  <c r="F1218" s="1"/>
  <c r="F1220" s="1"/>
  <c r="F1222" s="1"/>
  <c r="F1237" s="1"/>
  <c r="F1239" s="1"/>
  <c r="F1240" s="1"/>
  <c r="F1242" s="1"/>
  <c r="F1246" s="1"/>
  <c r="F1266"/>
  <c r="F1267" s="1"/>
  <c r="F1269" s="1"/>
  <c r="B1208"/>
  <c r="G1118"/>
  <c r="G1167"/>
  <c r="F1119"/>
  <c r="F1120" s="1"/>
  <c r="F1122" s="1"/>
  <c r="F1124" s="1"/>
  <c r="F1139" s="1"/>
  <c r="F1141" s="1"/>
  <c r="F1142" s="1"/>
  <c r="F1144" s="1"/>
  <c r="F1148" s="1"/>
  <c r="F1168"/>
  <c r="F1169" s="1"/>
  <c r="F1171" s="1"/>
  <c r="F1173" s="1"/>
  <c r="F1188" s="1"/>
  <c r="G1117"/>
  <c r="G1166"/>
  <c r="B1159"/>
  <c r="G1031"/>
  <c r="G1069"/>
  <c r="F1032"/>
  <c r="F1070"/>
  <c r="G1030"/>
  <c r="G1068"/>
  <c r="E100"/>
  <c r="E176"/>
  <c r="G498"/>
  <c r="G992"/>
  <c r="G955"/>
  <c r="G993"/>
  <c r="F956"/>
  <c r="F994"/>
  <c r="G194"/>
  <c r="G916"/>
  <c r="G954"/>
  <c r="G346"/>
  <c r="G650"/>
  <c r="G879"/>
  <c r="G917"/>
  <c r="F880"/>
  <c r="F881" s="1"/>
  <c r="F883" s="1"/>
  <c r="F885" s="1"/>
  <c r="F900" s="1"/>
  <c r="F902" s="1"/>
  <c r="F903" s="1"/>
  <c r="F905" s="1"/>
  <c r="F909" s="1"/>
  <c r="F918"/>
  <c r="G726"/>
  <c r="G878"/>
  <c r="F804"/>
  <c r="F842"/>
  <c r="G803"/>
  <c r="G841"/>
  <c r="I15" i="23"/>
  <c r="H612" i="36" s="1"/>
  <c r="G42"/>
  <c r="G118"/>
  <c r="G270"/>
  <c r="G422"/>
  <c r="G574"/>
  <c r="G80"/>
  <c r="G156"/>
  <c r="G232"/>
  <c r="G308"/>
  <c r="G384"/>
  <c r="G460"/>
  <c r="G536"/>
  <c r="G612"/>
  <c r="G688"/>
  <c r="G764"/>
  <c r="B678"/>
  <c r="B260"/>
  <c r="B108"/>
  <c r="G29" i="22"/>
  <c r="G32" s="1"/>
  <c r="F87" i="37"/>
  <c r="F40"/>
  <c r="F43" s="1"/>
  <c r="L29" i="22"/>
  <c r="L32" s="1"/>
  <c r="K87" i="37"/>
  <c r="K40"/>
  <c r="K43" s="1"/>
  <c r="J29" i="22"/>
  <c r="J32" s="1"/>
  <c r="I87" i="37"/>
  <c r="I40"/>
  <c r="I43" s="1"/>
  <c r="F29" i="22"/>
  <c r="F32" s="1"/>
  <c r="F34" s="1"/>
  <c r="E87" i="37"/>
  <c r="E40"/>
  <c r="E43" s="1"/>
  <c r="C214" i="36"/>
  <c r="B212"/>
  <c r="B478"/>
  <c r="C480"/>
  <c r="B136"/>
  <c r="C138"/>
  <c r="B98"/>
  <c r="C100"/>
  <c r="B60"/>
  <c r="C62"/>
  <c r="J49" i="37"/>
  <c r="J59"/>
  <c r="F49"/>
  <c r="F59"/>
  <c r="C59"/>
  <c r="C49"/>
  <c r="I49"/>
  <c r="I59"/>
  <c r="E49"/>
  <c r="E59"/>
  <c r="L106"/>
  <c r="L96"/>
  <c r="H106"/>
  <c r="H96"/>
  <c r="D106"/>
  <c r="D96"/>
  <c r="K106"/>
  <c r="K96"/>
  <c r="G106"/>
  <c r="G96"/>
  <c r="G20" i="22"/>
  <c r="E34" i="37"/>
  <c r="E125" s="1"/>
  <c r="B706" i="36"/>
  <c r="C708"/>
  <c r="B288"/>
  <c r="C290"/>
  <c r="B516"/>
  <c r="D518"/>
  <c r="B440"/>
  <c r="C442"/>
  <c r="P24" i="22"/>
  <c r="N85" i="37"/>
  <c r="N129" s="1"/>
  <c r="N38"/>
  <c r="D415" i="36"/>
  <c r="B754"/>
  <c r="B564"/>
  <c r="B336"/>
  <c r="B374"/>
  <c r="B184"/>
  <c r="B146"/>
  <c r="B716"/>
  <c r="B526"/>
  <c r="B450"/>
  <c r="M87" i="37"/>
  <c r="M131" s="1"/>
  <c r="M40"/>
  <c r="I29" i="22"/>
  <c r="I32" s="1"/>
  <c r="H87" i="37"/>
  <c r="H40"/>
  <c r="H43" s="1"/>
  <c r="E29" i="22"/>
  <c r="E32" s="1"/>
  <c r="E34" s="1"/>
  <c r="D87" i="37"/>
  <c r="D40"/>
  <c r="D43" s="1"/>
  <c r="D46" s="1"/>
  <c r="H29" i="22"/>
  <c r="H32" s="1"/>
  <c r="G87" i="37"/>
  <c r="G40"/>
  <c r="G43" s="1"/>
  <c r="M29" i="22"/>
  <c r="M32" s="1"/>
  <c r="L87" i="37"/>
  <c r="L40"/>
  <c r="L43" s="1"/>
  <c r="B744" i="36"/>
  <c r="C746"/>
  <c r="B668"/>
  <c r="C670"/>
  <c r="B554"/>
  <c r="D556"/>
  <c r="B630"/>
  <c r="C632"/>
  <c r="C252"/>
  <c r="B250"/>
  <c r="C366"/>
  <c r="B364"/>
  <c r="B326"/>
  <c r="F328"/>
  <c r="L59" i="37"/>
  <c r="L49"/>
  <c r="H49"/>
  <c r="H59"/>
  <c r="D59"/>
  <c r="D49"/>
  <c r="K49"/>
  <c r="K59"/>
  <c r="G49"/>
  <c r="G59"/>
  <c r="J106"/>
  <c r="J96"/>
  <c r="F106"/>
  <c r="F96"/>
  <c r="B95"/>
  <c r="C106"/>
  <c r="C96"/>
  <c r="I106"/>
  <c r="I96"/>
  <c r="E106"/>
  <c r="E96"/>
  <c r="C87"/>
  <c r="C40"/>
  <c r="C43" s="1"/>
  <c r="C46" s="1"/>
  <c r="D32" i="22"/>
  <c r="B782" i="36"/>
  <c r="C784"/>
  <c r="C594"/>
  <c r="B592"/>
  <c r="C404"/>
  <c r="B402"/>
  <c r="B640"/>
  <c r="B222"/>
  <c r="B488"/>
  <c r="B174"/>
  <c r="B792"/>
  <c r="B602"/>
  <c r="B298"/>
  <c r="B412"/>
  <c r="D74" i="37"/>
  <c r="M88"/>
  <c r="M132" s="1"/>
  <c r="G71"/>
  <c r="G115" s="1"/>
  <c r="G72"/>
  <c r="G116" s="1"/>
  <c r="E73"/>
  <c r="E117" s="1"/>
  <c r="E15" i="22"/>
  <c r="E17" s="1"/>
  <c r="G24" i="37"/>
  <c r="F13" i="22"/>
  <c r="D27" i="37"/>
  <c r="D29" s="1"/>
  <c r="D31" s="1"/>
  <c r="N29" i="22"/>
  <c r="N32" s="1"/>
  <c r="O27"/>
  <c r="M41" i="37"/>
  <c r="M43" s="1"/>
  <c r="G12" i="22"/>
  <c r="E26" i="37"/>
  <c r="I11" i="22"/>
  <c r="G25" i="37"/>
  <c r="F766" i="36"/>
  <c r="F767" s="1"/>
  <c r="J167"/>
  <c r="F166"/>
  <c r="F171" s="1"/>
  <c r="F176" s="1"/>
  <c r="D313"/>
  <c r="G727"/>
  <c r="G765"/>
  <c r="E731"/>
  <c r="E733" s="1"/>
  <c r="E748" s="1"/>
  <c r="E750" s="1"/>
  <c r="E751" s="1"/>
  <c r="E753" s="1"/>
  <c r="E757" s="1"/>
  <c r="E769"/>
  <c r="E771" s="1"/>
  <c r="E786" s="1"/>
  <c r="D771"/>
  <c r="F690"/>
  <c r="F691" s="1"/>
  <c r="F728"/>
  <c r="F729" s="1"/>
  <c r="G651"/>
  <c r="G689"/>
  <c r="E693"/>
  <c r="E695" s="1"/>
  <c r="E710" s="1"/>
  <c r="E712" s="1"/>
  <c r="E713" s="1"/>
  <c r="E715" s="1"/>
  <c r="E719" s="1"/>
  <c r="D695"/>
  <c r="F614"/>
  <c r="F615" s="1"/>
  <c r="F652"/>
  <c r="F653" s="1"/>
  <c r="F538"/>
  <c r="F539" s="1"/>
  <c r="F576"/>
  <c r="F577" s="1"/>
  <c r="F462"/>
  <c r="F500"/>
  <c r="F501" s="1"/>
  <c r="E311"/>
  <c r="G461"/>
  <c r="F386"/>
  <c r="F387" s="1"/>
  <c r="F389" s="1"/>
  <c r="F391" s="1"/>
  <c r="F406" s="1"/>
  <c r="F408" s="1"/>
  <c r="F409" s="1"/>
  <c r="F411" s="1"/>
  <c r="F415" s="1"/>
  <c r="F424"/>
  <c r="G385"/>
  <c r="G423"/>
  <c r="E370"/>
  <c r="E371" s="1"/>
  <c r="E373" s="1"/>
  <c r="E377" s="1"/>
  <c r="G30" i="23"/>
  <c r="C315" i="36"/>
  <c r="C330" s="1"/>
  <c r="C332" s="1"/>
  <c r="G309"/>
  <c r="G347"/>
  <c r="F310"/>
  <c r="F349"/>
  <c r="F351" s="1"/>
  <c r="F353" s="1"/>
  <c r="F368" s="1"/>
  <c r="D237"/>
  <c r="D275"/>
  <c r="C239"/>
  <c r="C254" s="1"/>
  <c r="C256" s="1"/>
  <c r="C277"/>
  <c r="G233"/>
  <c r="G271"/>
  <c r="E235"/>
  <c r="E273"/>
  <c r="F234"/>
  <c r="F272"/>
  <c r="D161"/>
  <c r="D199"/>
  <c r="C163"/>
  <c r="C178" s="1"/>
  <c r="C201"/>
  <c r="G157"/>
  <c r="G195"/>
  <c r="E159"/>
  <c r="E197"/>
  <c r="F158"/>
  <c r="F196"/>
  <c r="J91"/>
  <c r="J129"/>
  <c r="F90"/>
  <c r="F95" s="1"/>
  <c r="F100" s="1"/>
  <c r="F128"/>
  <c r="D138"/>
  <c r="C87"/>
  <c r="C125"/>
  <c r="D85"/>
  <c r="D123"/>
  <c r="G81"/>
  <c r="G119"/>
  <c r="F82"/>
  <c r="F120"/>
  <c r="E83"/>
  <c r="E121"/>
  <c r="L26" i="23"/>
  <c r="J53" i="36"/>
  <c r="H25" i="23"/>
  <c r="F52" i="36"/>
  <c r="F57" s="1"/>
  <c r="C49"/>
  <c r="E22" i="23"/>
  <c r="D47" i="36"/>
  <c r="F20" i="23"/>
  <c r="E45" i="36"/>
  <c r="H17" i="23"/>
  <c r="F44" i="36"/>
  <c r="G43"/>
  <c r="I16" i="23"/>
  <c r="F9" i="29"/>
  <c r="G5"/>
  <c r="F32" i="5"/>
  <c r="G32" s="1"/>
  <c r="R48" i="22"/>
  <c r="C4" i="29"/>
  <c r="E15" i="2"/>
  <c r="F43"/>
  <c r="C62"/>
  <c r="C66" s="1"/>
  <c r="C14" s="1"/>
  <c r="C18" s="1"/>
  <c r="B9" i="29"/>
  <c r="G18" i="23"/>
  <c r="O26" i="22"/>
  <c r="I10"/>
  <c r="E7" i="9"/>
  <c r="H18" s="1"/>
  <c r="G7" i="29"/>
  <c r="F30" i="2"/>
  <c r="E34"/>
  <c r="E17" s="1"/>
  <c r="I28"/>
  <c r="B9" i="9"/>
  <c r="G15"/>
  <c r="D286" i="40" l="1"/>
  <c r="D288" s="1"/>
  <c r="D290" s="1"/>
  <c r="D291" s="1"/>
  <c r="D293" s="1"/>
  <c r="D297" s="1"/>
  <c r="D61"/>
  <c r="D63" s="1"/>
  <c r="D65" s="1"/>
  <c r="D66" s="1"/>
  <c r="D68" s="1"/>
  <c r="D72" s="1"/>
  <c r="D646"/>
  <c r="D648" s="1"/>
  <c r="D650" s="1"/>
  <c r="D651" s="1"/>
  <c r="D653" s="1"/>
  <c r="D657" s="1"/>
  <c r="D556"/>
  <c r="D558" s="1"/>
  <c r="D560" s="1"/>
  <c r="D561" s="1"/>
  <c r="D563" s="1"/>
  <c r="D567" s="1"/>
  <c r="D1096"/>
  <c r="D1098" s="1"/>
  <c r="D1100" s="1"/>
  <c r="D1101" s="1"/>
  <c r="D1103" s="1"/>
  <c r="D1107" s="1"/>
  <c r="D1321"/>
  <c r="D1323" s="1"/>
  <c r="D1325" s="1"/>
  <c r="D1326" s="1"/>
  <c r="D1328" s="1"/>
  <c r="D1332" s="1"/>
  <c r="D151"/>
  <c r="D153" s="1"/>
  <c r="D155" s="1"/>
  <c r="D156" s="1"/>
  <c r="D158" s="1"/>
  <c r="D162" s="1"/>
  <c r="D331"/>
  <c r="D333" s="1"/>
  <c r="D335" s="1"/>
  <c r="D336" s="1"/>
  <c r="D338" s="1"/>
  <c r="D342" s="1"/>
  <c r="D601"/>
  <c r="D603" s="1"/>
  <c r="D605" s="1"/>
  <c r="D606" s="1"/>
  <c r="D608" s="1"/>
  <c r="D612" s="1"/>
  <c r="D466"/>
  <c r="D468" s="1"/>
  <c r="D470" s="1"/>
  <c r="D471" s="1"/>
  <c r="D473" s="1"/>
  <c r="D477" s="1"/>
  <c r="J131" i="37"/>
  <c r="J134" s="1"/>
  <c r="D826" i="40"/>
  <c r="D828" s="1"/>
  <c r="D830" s="1"/>
  <c r="D831" s="1"/>
  <c r="D833" s="1"/>
  <c r="D837" s="1"/>
  <c r="D1141"/>
  <c r="D1143" s="1"/>
  <c r="D1145" s="1"/>
  <c r="D1146" s="1"/>
  <c r="D1148" s="1"/>
  <c r="D1152" s="1"/>
  <c r="D747"/>
  <c r="E56"/>
  <c r="E61" s="1"/>
  <c r="E866"/>
  <c r="E871" s="1"/>
  <c r="E146"/>
  <c r="E151" s="1"/>
  <c r="E641"/>
  <c r="E646" s="1"/>
  <c r="E101"/>
  <c r="E106" s="1"/>
  <c r="E326"/>
  <c r="E331" s="1"/>
  <c r="E191"/>
  <c r="E196" s="1"/>
  <c r="E776"/>
  <c r="E781" s="1"/>
  <c r="M1088"/>
  <c r="M458"/>
  <c r="M998"/>
  <c r="M1223"/>
  <c r="D421"/>
  <c r="D423" s="1"/>
  <c r="D425" s="1"/>
  <c r="D426" s="1"/>
  <c r="D428" s="1"/>
  <c r="D432" s="1"/>
  <c r="D871"/>
  <c r="D873" s="1"/>
  <c r="D875" s="1"/>
  <c r="D876" s="1"/>
  <c r="D878" s="1"/>
  <c r="D882" s="1"/>
  <c r="M188"/>
  <c r="M278"/>
  <c r="M1133"/>
  <c r="M1268"/>
  <c r="D1276"/>
  <c r="D1278" s="1"/>
  <c r="D1280" s="1"/>
  <c r="D1281" s="1"/>
  <c r="D1283" s="1"/>
  <c r="D1287" s="1"/>
  <c r="E236"/>
  <c r="E241" s="1"/>
  <c r="E821"/>
  <c r="E826" s="1"/>
  <c r="E416"/>
  <c r="E421" s="1"/>
  <c r="E1316"/>
  <c r="E1321" s="1"/>
  <c r="B689"/>
  <c r="B1104"/>
  <c r="D511"/>
  <c r="D513" s="1"/>
  <c r="D515" s="1"/>
  <c r="D516" s="1"/>
  <c r="D518" s="1"/>
  <c r="D522" s="1"/>
  <c r="D196"/>
  <c r="D198" s="1"/>
  <c r="D200" s="1"/>
  <c r="D201" s="1"/>
  <c r="D203" s="1"/>
  <c r="D207" s="1"/>
  <c r="B969"/>
  <c r="B149"/>
  <c r="B1229"/>
  <c r="B879"/>
  <c r="B419"/>
  <c r="B374"/>
  <c r="B59"/>
  <c r="B834"/>
  <c r="B654"/>
  <c r="B744"/>
  <c r="C281"/>
  <c r="C286" s="1"/>
  <c r="C288" s="1"/>
  <c r="C596"/>
  <c r="C601" s="1"/>
  <c r="C1046"/>
  <c r="C1051" s="1"/>
  <c r="M53"/>
  <c r="M818"/>
  <c r="H90" i="37"/>
  <c r="H131"/>
  <c r="H134" s="1"/>
  <c r="O1308" i="40"/>
  <c r="O1263"/>
  <c r="O1218"/>
  <c r="O1173"/>
  <c r="O1128"/>
  <c r="O903"/>
  <c r="O1083"/>
  <c r="O1038"/>
  <c r="O858"/>
  <c r="O723"/>
  <c r="O588"/>
  <c r="O453"/>
  <c r="O408"/>
  <c r="O318"/>
  <c r="O948"/>
  <c r="O543"/>
  <c r="O813"/>
  <c r="O273"/>
  <c r="O93"/>
  <c r="O768"/>
  <c r="O633"/>
  <c r="O993"/>
  <c r="O678"/>
  <c r="O138"/>
  <c r="O48"/>
  <c r="O363"/>
  <c r="O183"/>
  <c r="O228"/>
  <c r="K90" i="37"/>
  <c r="K131"/>
  <c r="K134" s="1"/>
  <c r="B699" i="40"/>
  <c r="B104"/>
  <c r="B249"/>
  <c r="E506"/>
  <c r="E511" s="1"/>
  <c r="E1001"/>
  <c r="E1006" s="1"/>
  <c r="B194"/>
  <c r="B150" i="37"/>
  <c r="B519" i="40"/>
  <c r="B339"/>
  <c r="C461"/>
  <c r="C466" s="1"/>
  <c r="C731"/>
  <c r="C736" s="1"/>
  <c r="C911"/>
  <c r="C916" s="1"/>
  <c r="M323"/>
  <c r="M548"/>
  <c r="M683"/>
  <c r="N1265"/>
  <c r="N1175"/>
  <c r="N1130"/>
  <c r="N1310"/>
  <c r="N1220"/>
  <c r="N1085"/>
  <c r="N995"/>
  <c r="N1040"/>
  <c r="N725"/>
  <c r="N815"/>
  <c r="N770"/>
  <c r="N635"/>
  <c r="N365"/>
  <c r="N860"/>
  <c r="N680"/>
  <c r="N545"/>
  <c r="N500"/>
  <c r="N185"/>
  <c r="N140"/>
  <c r="N905"/>
  <c r="N95"/>
  <c r="N50"/>
  <c r="N950"/>
  <c r="N230"/>
  <c r="N455"/>
  <c r="N320"/>
  <c r="N275"/>
  <c r="N410"/>
  <c r="N590"/>
  <c r="C216" i="36"/>
  <c r="C218" s="1"/>
  <c r="C219" s="1"/>
  <c r="C221" s="1"/>
  <c r="C225" s="1"/>
  <c r="C90" i="37"/>
  <c r="C93" s="1"/>
  <c r="C98" s="1"/>
  <c r="C100" s="1"/>
  <c r="C102" s="1"/>
  <c r="C103" s="1"/>
  <c r="C131"/>
  <c r="C134" s="1"/>
  <c r="G90"/>
  <c r="G131"/>
  <c r="G134" s="1"/>
  <c r="F1304" i="40"/>
  <c r="F1316" s="1"/>
  <c r="F1321" s="1"/>
  <c r="F1259"/>
  <c r="F1271" s="1"/>
  <c r="F1276" s="1"/>
  <c r="F1214"/>
  <c r="F1226" s="1"/>
  <c r="F1231" s="1"/>
  <c r="F81" i="37"/>
  <c r="F899" i="40"/>
  <c r="F1124"/>
  <c r="F1136" s="1"/>
  <c r="F1141" s="1"/>
  <c r="F989"/>
  <c r="F1001" s="1"/>
  <c r="F1006" s="1"/>
  <c r="F944"/>
  <c r="F854"/>
  <c r="F866" s="1"/>
  <c r="F871" s="1"/>
  <c r="F809"/>
  <c r="F821" s="1"/>
  <c r="F826" s="1"/>
  <c r="F764"/>
  <c r="F776" s="1"/>
  <c r="F781" s="1"/>
  <c r="F1034"/>
  <c r="F719"/>
  <c r="F731" s="1"/>
  <c r="F736" s="1"/>
  <c r="F584"/>
  <c r="F596" s="1"/>
  <c r="F601" s="1"/>
  <c r="F359"/>
  <c r="F371" s="1"/>
  <c r="F376" s="1"/>
  <c r="F539"/>
  <c r="F551" s="1"/>
  <c r="F556" s="1"/>
  <c r="F494"/>
  <c r="F506" s="1"/>
  <c r="F511" s="1"/>
  <c r="F314"/>
  <c r="F326" s="1"/>
  <c r="F331" s="1"/>
  <c r="F449"/>
  <c r="F461" s="1"/>
  <c r="F466" s="1"/>
  <c r="F269"/>
  <c r="F281" s="1"/>
  <c r="F286" s="1"/>
  <c r="F674"/>
  <c r="F686" s="1"/>
  <c r="F691" s="1"/>
  <c r="F44"/>
  <c r="F56" s="1"/>
  <c r="F61" s="1"/>
  <c r="F404"/>
  <c r="F416" s="1"/>
  <c r="F421" s="1"/>
  <c r="F1079"/>
  <c r="F1091" s="1"/>
  <c r="F1096" s="1"/>
  <c r="F629"/>
  <c r="F641" s="1"/>
  <c r="F646" s="1"/>
  <c r="F179"/>
  <c r="F191" s="1"/>
  <c r="F196" s="1"/>
  <c r="F1169"/>
  <c r="F1181" s="1"/>
  <c r="F1186" s="1"/>
  <c r="F224"/>
  <c r="F236" s="1"/>
  <c r="F241" s="1"/>
  <c r="F134"/>
  <c r="F146" s="1"/>
  <c r="F151" s="1"/>
  <c r="F89"/>
  <c r="F101" s="1"/>
  <c r="F106" s="1"/>
  <c r="E90" i="37"/>
  <c r="E93" s="1"/>
  <c r="E98" s="1"/>
  <c r="E131"/>
  <c r="E134" s="1"/>
  <c r="E137" s="1"/>
  <c r="E142" s="1"/>
  <c r="B1014" i="40"/>
  <c r="D106"/>
  <c r="D108" s="1"/>
  <c r="D110" s="1"/>
  <c r="D111" s="1"/>
  <c r="D113" s="1"/>
  <c r="D117" s="1"/>
  <c r="D241"/>
  <c r="D243" s="1"/>
  <c r="D245" s="1"/>
  <c r="D246" s="1"/>
  <c r="D248" s="1"/>
  <c r="D252" s="1"/>
  <c r="D691"/>
  <c r="D693" s="1"/>
  <c r="D695" s="1"/>
  <c r="D696" s="1"/>
  <c r="D698" s="1"/>
  <c r="D702" s="1"/>
  <c r="B959"/>
  <c r="D961"/>
  <c r="D963" s="1"/>
  <c r="D965" s="1"/>
  <c r="D966" s="1"/>
  <c r="D968" s="1"/>
  <c r="D972" s="1"/>
  <c r="B1049"/>
  <c r="E551"/>
  <c r="E556" s="1"/>
  <c r="E1226"/>
  <c r="E1231" s="1"/>
  <c r="E461"/>
  <c r="E466" s="1"/>
  <c r="E911"/>
  <c r="E916" s="1"/>
  <c r="E1181"/>
  <c r="E1186" s="1"/>
  <c r="E1091"/>
  <c r="E1096" s="1"/>
  <c r="E956"/>
  <c r="E961" s="1"/>
  <c r="B789"/>
  <c r="B204"/>
  <c r="B1284"/>
  <c r="B644"/>
  <c r="B329"/>
  <c r="B564"/>
  <c r="C191"/>
  <c r="C196" s="1"/>
  <c r="C198" s="1"/>
  <c r="C146"/>
  <c r="C151" s="1"/>
  <c r="C326"/>
  <c r="C331" s="1"/>
  <c r="C333" s="1"/>
  <c r="C551"/>
  <c r="C556" s="1"/>
  <c r="C821"/>
  <c r="C826" s="1"/>
  <c r="C866"/>
  <c r="C871" s="1"/>
  <c r="C1226"/>
  <c r="C1231" s="1"/>
  <c r="M98"/>
  <c r="M143"/>
  <c r="M233"/>
  <c r="M413"/>
  <c r="M638"/>
  <c r="M908"/>
  <c r="M1178"/>
  <c r="B1319"/>
  <c r="B1329"/>
  <c r="B1139"/>
  <c r="N1311"/>
  <c r="N1266"/>
  <c r="N1221"/>
  <c r="N1176"/>
  <c r="N951"/>
  <c r="N906"/>
  <c r="N771"/>
  <c r="N1131"/>
  <c r="N1086"/>
  <c r="N816"/>
  <c r="N636"/>
  <c r="N1041"/>
  <c r="N861"/>
  <c r="N681"/>
  <c r="N501"/>
  <c r="N411"/>
  <c r="N591"/>
  <c r="N276"/>
  <c r="N231"/>
  <c r="N546"/>
  <c r="N186"/>
  <c r="N141"/>
  <c r="N996"/>
  <c r="N456"/>
  <c r="N366"/>
  <c r="N51"/>
  <c r="N726"/>
  <c r="N96"/>
  <c r="N321"/>
  <c r="L90" i="37"/>
  <c r="L131"/>
  <c r="L134" s="1"/>
  <c r="F90"/>
  <c r="F131"/>
  <c r="F134" s="1"/>
  <c r="B1194" i="40"/>
  <c r="B239"/>
  <c r="E1271"/>
  <c r="E1276" s="1"/>
  <c r="D916"/>
  <c r="D918" s="1"/>
  <c r="D920" s="1"/>
  <c r="D921" s="1"/>
  <c r="D923" s="1"/>
  <c r="D927" s="1"/>
  <c r="B509"/>
  <c r="B599"/>
  <c r="C236"/>
  <c r="C241" s="1"/>
  <c r="C641"/>
  <c r="C646" s="1"/>
  <c r="C1136"/>
  <c r="C1141" s="1"/>
  <c r="C1271"/>
  <c r="C1276" s="1"/>
  <c r="M503"/>
  <c r="B924"/>
  <c r="Q60" i="37"/>
  <c r="Q70" i="40"/>
  <c r="M134" i="37"/>
  <c r="B1094" i="40"/>
  <c r="B429"/>
  <c r="B1059"/>
  <c r="B464"/>
  <c r="B69"/>
  <c r="B284"/>
  <c r="B1274"/>
  <c r="B554"/>
  <c r="C416"/>
  <c r="C421" s="1"/>
  <c r="C101"/>
  <c r="C106" s="1"/>
  <c r="C686"/>
  <c r="C691" s="1"/>
  <c r="C956"/>
  <c r="C961" s="1"/>
  <c r="C1316"/>
  <c r="C1321" s="1"/>
  <c r="M593"/>
  <c r="B1149"/>
  <c r="D1051"/>
  <c r="D1053" s="1"/>
  <c r="D1055" s="1"/>
  <c r="D1056" s="1"/>
  <c r="D1058" s="1"/>
  <c r="D1062" s="1"/>
  <c r="D90" i="37"/>
  <c r="D93" s="1"/>
  <c r="D98" s="1"/>
  <c r="D131"/>
  <c r="D134" s="1"/>
  <c r="D137" s="1"/>
  <c r="D142" s="1"/>
  <c r="I90"/>
  <c r="I131"/>
  <c r="I134" s="1"/>
  <c r="B1184" i="40"/>
  <c r="B869"/>
  <c r="D1231"/>
  <c r="D1233" s="1"/>
  <c r="D1235" s="1"/>
  <c r="D1236" s="1"/>
  <c r="D1238" s="1"/>
  <c r="D1242" s="1"/>
  <c r="B114"/>
  <c r="D376"/>
  <c r="D378" s="1"/>
  <c r="D380" s="1"/>
  <c r="D381" s="1"/>
  <c r="D383" s="1"/>
  <c r="D387" s="1"/>
  <c r="D781"/>
  <c r="D783" s="1"/>
  <c r="D785" s="1"/>
  <c r="D786" s="1"/>
  <c r="D788" s="1"/>
  <c r="D792" s="1"/>
  <c r="D1006"/>
  <c r="D1008" s="1"/>
  <c r="D1010" s="1"/>
  <c r="D1011" s="1"/>
  <c r="D1013" s="1"/>
  <c r="D1017" s="1"/>
  <c r="B384"/>
  <c r="B159"/>
  <c r="B474"/>
  <c r="M1313"/>
  <c r="E731"/>
  <c r="E736" s="1"/>
  <c r="E596"/>
  <c r="E601" s="1"/>
  <c r="E371"/>
  <c r="E376" s="1"/>
  <c r="E281"/>
  <c r="E286" s="1"/>
  <c r="E686"/>
  <c r="E691" s="1"/>
  <c r="E1046"/>
  <c r="E1051" s="1"/>
  <c r="E1136"/>
  <c r="E1141" s="1"/>
  <c r="B779"/>
  <c r="B294"/>
  <c r="B824"/>
  <c r="B140" i="37"/>
  <c r="D1186" i="40"/>
  <c r="D1188" s="1"/>
  <c r="D1190" s="1"/>
  <c r="D1191" s="1"/>
  <c r="D1193" s="1"/>
  <c r="D1197" s="1"/>
  <c r="B1004"/>
  <c r="B734"/>
  <c r="B609"/>
  <c r="C371"/>
  <c r="C376" s="1"/>
  <c r="C378" s="1"/>
  <c r="C56"/>
  <c r="C61" s="1"/>
  <c r="C63" s="1"/>
  <c r="C1091"/>
  <c r="C1096" s="1"/>
  <c r="C506"/>
  <c r="C511" s="1"/>
  <c r="C776"/>
  <c r="C781" s="1"/>
  <c r="C1001"/>
  <c r="C1006" s="1"/>
  <c r="C1181"/>
  <c r="C1186" s="1"/>
  <c r="M368"/>
  <c r="M728"/>
  <c r="M1043"/>
  <c r="M863"/>
  <c r="M773"/>
  <c r="M953"/>
  <c r="B1239"/>
  <c r="B914"/>
  <c r="H934"/>
  <c r="H529"/>
  <c r="H394"/>
  <c r="H259"/>
  <c r="H34"/>
  <c r="H1069"/>
  <c r="H304"/>
  <c r="H169"/>
  <c r="H1249"/>
  <c r="H1204"/>
  <c r="H1159"/>
  <c r="H1024"/>
  <c r="H979"/>
  <c r="H664"/>
  <c r="H619"/>
  <c r="H574"/>
  <c r="H484"/>
  <c r="H439"/>
  <c r="H214"/>
  <c r="H79"/>
  <c r="H1294"/>
  <c r="H1114"/>
  <c r="H889"/>
  <c r="H844"/>
  <c r="H799"/>
  <c r="H754"/>
  <c r="H709"/>
  <c r="H349"/>
  <c r="H124"/>
  <c r="H1205"/>
  <c r="H1025"/>
  <c r="H440"/>
  <c r="H395"/>
  <c r="H80"/>
  <c r="H35"/>
  <c r="H1295"/>
  <c r="H1115"/>
  <c r="H1070"/>
  <c r="H350"/>
  <c r="H305"/>
  <c r="H1250"/>
  <c r="H1160"/>
  <c r="H980"/>
  <c r="H530"/>
  <c r="H485"/>
  <c r="H260"/>
  <c r="H215"/>
  <c r="H170"/>
  <c r="H125"/>
  <c r="F1251"/>
  <c r="F1252" s="1"/>
  <c r="F1254" s="1"/>
  <c r="F1256" s="1"/>
  <c r="F801"/>
  <c r="F802" s="1"/>
  <c r="F804" s="1"/>
  <c r="F806" s="1"/>
  <c r="F576"/>
  <c r="F577" s="1"/>
  <c r="F579" s="1"/>
  <c r="F581" s="1"/>
  <c r="F306"/>
  <c r="F756"/>
  <c r="F757" s="1"/>
  <c r="F759" s="1"/>
  <c r="F761" s="1"/>
  <c r="F531"/>
  <c r="F532" s="1"/>
  <c r="F534" s="1"/>
  <c r="F536" s="1"/>
  <c r="F441"/>
  <c r="F442" s="1"/>
  <c r="F444" s="1"/>
  <c r="F446" s="1"/>
  <c r="F1296"/>
  <c r="F1297" s="1"/>
  <c r="F1299" s="1"/>
  <c r="F1301" s="1"/>
  <c r="F1161"/>
  <c r="F1162" s="1"/>
  <c r="F1164" s="1"/>
  <c r="F1166" s="1"/>
  <c r="F1116"/>
  <c r="F1117" s="1"/>
  <c r="F1119" s="1"/>
  <c r="F1121" s="1"/>
  <c r="F936"/>
  <c r="F937" s="1"/>
  <c r="F939" s="1"/>
  <c r="F941" s="1"/>
  <c r="F891"/>
  <c r="F892" s="1"/>
  <c r="F894" s="1"/>
  <c r="F896" s="1"/>
  <c r="F711"/>
  <c r="F712" s="1"/>
  <c r="F714" s="1"/>
  <c r="F716" s="1"/>
  <c r="F666"/>
  <c r="F667" s="1"/>
  <c r="F669" s="1"/>
  <c r="F671" s="1"/>
  <c r="F486"/>
  <c r="F487" s="1"/>
  <c r="F489" s="1"/>
  <c r="F491" s="1"/>
  <c r="F351"/>
  <c r="F1206"/>
  <c r="F1207" s="1"/>
  <c r="F1209" s="1"/>
  <c r="F1211" s="1"/>
  <c r="F1071"/>
  <c r="F1072" s="1"/>
  <c r="F1074" s="1"/>
  <c r="F1076" s="1"/>
  <c r="F1026"/>
  <c r="F1027" s="1"/>
  <c r="F1029" s="1"/>
  <c r="F1031" s="1"/>
  <c r="F981"/>
  <c r="F982" s="1"/>
  <c r="F984" s="1"/>
  <c r="F986" s="1"/>
  <c r="F846"/>
  <c r="F847" s="1"/>
  <c r="F849" s="1"/>
  <c r="F851" s="1"/>
  <c r="F621"/>
  <c r="F622" s="1"/>
  <c r="F624" s="1"/>
  <c r="F626" s="1"/>
  <c r="F396"/>
  <c r="F397" s="1"/>
  <c r="F399" s="1"/>
  <c r="F401" s="1"/>
  <c r="F261"/>
  <c r="F216"/>
  <c r="F81"/>
  <c r="F126"/>
  <c r="F36"/>
  <c r="F171"/>
  <c r="D76" i="37"/>
  <c r="D78" s="1"/>
  <c r="D118"/>
  <c r="D120" s="1"/>
  <c r="D122" s="1"/>
  <c r="C122"/>
  <c r="E1256" i="40"/>
  <c r="E851"/>
  <c r="E1211"/>
  <c r="E716"/>
  <c r="E1166"/>
  <c r="E761"/>
  <c r="E806"/>
  <c r="E626"/>
  <c r="E1076"/>
  <c r="E671"/>
  <c r="E1121"/>
  <c r="E536"/>
  <c r="E581"/>
  <c r="E401"/>
  <c r="E1031"/>
  <c r="E491"/>
  <c r="E941"/>
  <c r="E446"/>
  <c r="E352"/>
  <c r="E354" s="1"/>
  <c r="E356" s="1"/>
  <c r="E262"/>
  <c r="E264" s="1"/>
  <c r="E307"/>
  <c r="E309" s="1"/>
  <c r="E311" s="1"/>
  <c r="E37"/>
  <c r="E39" s="1"/>
  <c r="E172"/>
  <c r="E174" s="1"/>
  <c r="E176" s="1"/>
  <c r="E217"/>
  <c r="E219" s="1"/>
  <c r="E221" s="1"/>
  <c r="E82"/>
  <c r="E84" s="1"/>
  <c r="E86" s="1"/>
  <c r="E127"/>
  <c r="E129" s="1"/>
  <c r="E986"/>
  <c r="E896"/>
  <c r="E1301"/>
  <c r="D34" i="22"/>
  <c r="D39" s="1"/>
  <c r="D41" s="1"/>
  <c r="D43" s="1"/>
  <c r="F37" i="5"/>
  <c r="F12" s="1"/>
  <c r="F14" s="1"/>
  <c r="F7" i="9" s="1"/>
  <c r="H19" s="1"/>
  <c r="P356" i="36"/>
  <c r="O361"/>
  <c r="O366" s="1"/>
  <c r="P584"/>
  <c r="O589"/>
  <c r="O594" s="1"/>
  <c r="P736"/>
  <c r="O741"/>
  <c r="O746" s="1"/>
  <c r="C1237"/>
  <c r="O323"/>
  <c r="O328" s="1"/>
  <c r="P318"/>
  <c r="O969"/>
  <c r="O974" s="1"/>
  <c r="P964"/>
  <c r="O551"/>
  <c r="O556" s="1"/>
  <c r="P546"/>
  <c r="O1132"/>
  <c r="O1137" s="1"/>
  <c r="P1127"/>
  <c r="O1181"/>
  <c r="O1186" s="1"/>
  <c r="P1176"/>
  <c r="C900"/>
  <c r="P660"/>
  <c r="O665"/>
  <c r="O670" s="1"/>
  <c r="O1279"/>
  <c r="O1284" s="1"/>
  <c r="P1274"/>
  <c r="O1230"/>
  <c r="O1235" s="1"/>
  <c r="P1225"/>
  <c r="P204"/>
  <c r="O209"/>
  <c r="O214" s="1"/>
  <c r="P812"/>
  <c r="O817"/>
  <c r="O822" s="1"/>
  <c r="O475"/>
  <c r="O480" s="1"/>
  <c r="P470"/>
  <c r="P1040"/>
  <c r="O1045"/>
  <c r="O1050" s="1"/>
  <c r="P850"/>
  <c r="O855"/>
  <c r="O860" s="1"/>
  <c r="P1078"/>
  <c r="O1083"/>
  <c r="O1088" s="1"/>
  <c r="C824"/>
  <c r="C1188"/>
  <c r="C1190" s="1"/>
  <c r="C1191" s="1"/>
  <c r="O399"/>
  <c r="O404" s="1"/>
  <c r="P394"/>
  <c r="P888"/>
  <c r="O893"/>
  <c r="O898" s="1"/>
  <c r="P774"/>
  <c r="O779"/>
  <c r="O784" s="1"/>
  <c r="P926"/>
  <c r="O931"/>
  <c r="O936" s="1"/>
  <c r="O437"/>
  <c r="O442" s="1"/>
  <c r="P432"/>
  <c r="O513"/>
  <c r="O518" s="1"/>
  <c r="P508"/>
  <c r="P698"/>
  <c r="O703"/>
  <c r="O708" s="1"/>
  <c r="O247"/>
  <c r="O252" s="1"/>
  <c r="P242"/>
  <c r="P1002"/>
  <c r="O1007"/>
  <c r="O1012" s="1"/>
  <c r="P622"/>
  <c r="O627"/>
  <c r="O632" s="1"/>
  <c r="C1286"/>
  <c r="C1288" s="1"/>
  <c r="C1289" s="1"/>
  <c r="P280"/>
  <c r="O285"/>
  <c r="O290" s="1"/>
  <c r="C1139"/>
  <c r="G34" i="22"/>
  <c r="M90" i="37"/>
  <c r="C51"/>
  <c r="C53" s="1"/>
  <c r="H1216" i="36"/>
  <c r="H1265"/>
  <c r="H1215"/>
  <c r="H1264"/>
  <c r="G1217"/>
  <c r="G1218" s="1"/>
  <c r="G1220" s="1"/>
  <c r="G1222" s="1"/>
  <c r="G1237" s="1"/>
  <c r="G1239" s="1"/>
  <c r="G1240" s="1"/>
  <c r="G1242" s="1"/>
  <c r="G1246" s="1"/>
  <c r="G1266"/>
  <c r="G1267" s="1"/>
  <c r="G1269" s="1"/>
  <c r="G1271" s="1"/>
  <c r="G1286" s="1"/>
  <c r="F1271"/>
  <c r="B1257"/>
  <c r="F1190"/>
  <c r="F1191" s="1"/>
  <c r="F1193" s="1"/>
  <c r="F1197" s="1"/>
  <c r="H1118"/>
  <c r="H1167"/>
  <c r="G1119"/>
  <c r="G1120" s="1"/>
  <c r="G1122" s="1"/>
  <c r="G1124" s="1"/>
  <c r="G1139" s="1"/>
  <c r="G1141" s="1"/>
  <c r="G1142" s="1"/>
  <c r="G1144" s="1"/>
  <c r="G1148" s="1"/>
  <c r="G1168"/>
  <c r="G1169" s="1"/>
  <c r="G1171" s="1"/>
  <c r="G1173" s="1"/>
  <c r="H1117"/>
  <c r="H1166"/>
  <c r="H1031"/>
  <c r="H1069"/>
  <c r="G1032"/>
  <c r="G1070"/>
  <c r="H1030"/>
  <c r="H1068"/>
  <c r="F62"/>
  <c r="H954"/>
  <c r="H992"/>
  <c r="H955"/>
  <c r="H993"/>
  <c r="G956"/>
  <c r="G994"/>
  <c r="H878"/>
  <c r="H916"/>
  <c r="H879"/>
  <c r="H917"/>
  <c r="G880"/>
  <c r="G881" s="1"/>
  <c r="G883" s="1"/>
  <c r="G885" s="1"/>
  <c r="G900" s="1"/>
  <c r="G902" s="1"/>
  <c r="G903" s="1"/>
  <c r="G905" s="1"/>
  <c r="G909" s="1"/>
  <c r="G918"/>
  <c r="H232"/>
  <c r="H498"/>
  <c r="H118"/>
  <c r="H156"/>
  <c r="H308"/>
  <c r="H422"/>
  <c r="H574"/>
  <c r="H650"/>
  <c r="H764"/>
  <c r="J15" i="23"/>
  <c r="I422" i="36" s="1"/>
  <c r="H42"/>
  <c r="H80"/>
  <c r="H194"/>
  <c r="H270"/>
  <c r="H346"/>
  <c r="H384"/>
  <c r="H460"/>
  <c r="H536"/>
  <c r="H688"/>
  <c r="H726"/>
  <c r="G804"/>
  <c r="G842"/>
  <c r="H803"/>
  <c r="H841"/>
  <c r="C102"/>
  <c r="C104" s="1"/>
  <c r="C105" s="1"/>
  <c r="C107" s="1"/>
  <c r="N87" i="37"/>
  <c r="N131" s="1"/>
  <c r="N40"/>
  <c r="C786" i="36"/>
  <c r="C788" s="1"/>
  <c r="C789" s="1"/>
  <c r="C791" s="1"/>
  <c r="C795" s="1"/>
  <c r="C368"/>
  <c r="C370" s="1"/>
  <c r="C710"/>
  <c r="B96" i="37"/>
  <c r="B59"/>
  <c r="C406" i="36"/>
  <c r="C748"/>
  <c r="C750" s="1"/>
  <c r="C751" s="1"/>
  <c r="Q24" i="22"/>
  <c r="O85" i="37"/>
  <c r="O129" s="1"/>
  <c r="O38"/>
  <c r="H20" i="22"/>
  <c r="F34" i="37"/>
  <c r="B106"/>
  <c r="D51"/>
  <c r="D53" s="1"/>
  <c r="D55" s="1"/>
  <c r="D56" s="1"/>
  <c r="D58" s="1"/>
  <c r="B49"/>
  <c r="E46"/>
  <c r="E51" s="1"/>
  <c r="N88"/>
  <c r="N132" s="1"/>
  <c r="H71"/>
  <c r="H115" s="1"/>
  <c r="H72"/>
  <c r="H116" s="1"/>
  <c r="F73"/>
  <c r="F117" s="1"/>
  <c r="E74"/>
  <c r="F15" i="22"/>
  <c r="F17" s="1"/>
  <c r="E27" i="37"/>
  <c r="E29" s="1"/>
  <c r="E31" s="1"/>
  <c r="H24"/>
  <c r="G13" i="22"/>
  <c r="O29"/>
  <c r="O32" s="1"/>
  <c r="P27"/>
  <c r="N41" i="37"/>
  <c r="H12" i="22"/>
  <c r="F26" i="37"/>
  <c r="H25"/>
  <c r="J11" i="22"/>
  <c r="G766" i="36"/>
  <c r="G767" s="1"/>
  <c r="K167"/>
  <c r="E313"/>
  <c r="E788"/>
  <c r="E789" s="1"/>
  <c r="E791" s="1"/>
  <c r="E795" s="1"/>
  <c r="H727"/>
  <c r="H765"/>
  <c r="D786"/>
  <c r="D788" s="1"/>
  <c r="F731"/>
  <c r="F733" s="1"/>
  <c r="F748" s="1"/>
  <c r="F750" s="1"/>
  <c r="F751" s="1"/>
  <c r="F753" s="1"/>
  <c r="F757" s="1"/>
  <c r="F769"/>
  <c r="G690"/>
  <c r="G691" s="1"/>
  <c r="G728"/>
  <c r="G729" s="1"/>
  <c r="H651"/>
  <c r="H689"/>
  <c r="F693"/>
  <c r="D710"/>
  <c r="G614"/>
  <c r="G615" s="1"/>
  <c r="G652"/>
  <c r="G653" s="1"/>
  <c r="G538"/>
  <c r="G539" s="1"/>
  <c r="G576"/>
  <c r="G577" s="1"/>
  <c r="G462"/>
  <c r="G500"/>
  <c r="G501" s="1"/>
  <c r="F311"/>
  <c r="H461"/>
  <c r="G386"/>
  <c r="G387" s="1"/>
  <c r="G389" s="1"/>
  <c r="G391" s="1"/>
  <c r="G406" s="1"/>
  <c r="G408" s="1"/>
  <c r="G409" s="1"/>
  <c r="G411" s="1"/>
  <c r="G415" s="1"/>
  <c r="G424"/>
  <c r="H385"/>
  <c r="H423"/>
  <c r="F370"/>
  <c r="F371" s="1"/>
  <c r="F373" s="1"/>
  <c r="F377" s="1"/>
  <c r="H309"/>
  <c r="H347"/>
  <c r="G310"/>
  <c r="G349"/>
  <c r="G351" s="1"/>
  <c r="G353" s="1"/>
  <c r="G368" s="1"/>
  <c r="D277"/>
  <c r="D292" s="1"/>
  <c r="D315"/>
  <c r="C333"/>
  <c r="E237"/>
  <c r="E275"/>
  <c r="C292"/>
  <c r="C294" s="1"/>
  <c r="H233"/>
  <c r="H271"/>
  <c r="F235"/>
  <c r="F273"/>
  <c r="G234"/>
  <c r="G272"/>
  <c r="D201"/>
  <c r="D216" s="1"/>
  <c r="D218" s="1"/>
  <c r="D219" s="1"/>
  <c r="D221" s="1"/>
  <c r="D225" s="1"/>
  <c r="D239"/>
  <c r="C257"/>
  <c r="C180"/>
  <c r="C181" s="1"/>
  <c r="E161"/>
  <c r="E199"/>
  <c r="H157"/>
  <c r="H195"/>
  <c r="F159"/>
  <c r="F197"/>
  <c r="G158"/>
  <c r="G196"/>
  <c r="G128"/>
  <c r="G133" s="1"/>
  <c r="G138" s="1"/>
  <c r="G166"/>
  <c r="D125"/>
  <c r="D140" s="1"/>
  <c r="D142" s="1"/>
  <c r="D143" s="1"/>
  <c r="D145" s="1"/>
  <c r="D149" s="1"/>
  <c r="D163"/>
  <c r="K91"/>
  <c r="K129"/>
  <c r="F133"/>
  <c r="C140"/>
  <c r="C142" s="1"/>
  <c r="E85"/>
  <c r="E123"/>
  <c r="H81"/>
  <c r="H119"/>
  <c r="F83"/>
  <c r="F121"/>
  <c r="G82"/>
  <c r="G120"/>
  <c r="H30" i="23"/>
  <c r="G90" i="36"/>
  <c r="G95" s="1"/>
  <c r="G100" s="1"/>
  <c r="D49"/>
  <c r="D87"/>
  <c r="I25" i="23"/>
  <c r="G52" i="36"/>
  <c r="G57" s="1"/>
  <c r="G62" s="1"/>
  <c r="M26" i="23"/>
  <c r="K53" i="36"/>
  <c r="F22" i="23"/>
  <c r="E47" i="36"/>
  <c r="G20" i="23"/>
  <c r="F45" i="36"/>
  <c r="I17" i="23"/>
  <c r="G44" i="36"/>
  <c r="J16" i="23"/>
  <c r="H43" i="36"/>
  <c r="F10" i="29"/>
  <c r="F15" i="2"/>
  <c r="G43"/>
  <c r="D62"/>
  <c r="D66" s="1"/>
  <c r="D14" s="1"/>
  <c r="D18" s="1"/>
  <c r="D5" i="9" s="1"/>
  <c r="C5" i="29"/>
  <c r="C5" i="9"/>
  <c r="B10" i="29"/>
  <c r="H18" i="23"/>
  <c r="D52"/>
  <c r="I15" i="9"/>
  <c r="K4" i="29"/>
  <c r="J28" i="2"/>
  <c r="G30"/>
  <c r="F34"/>
  <c r="F17" s="1"/>
  <c r="P26" i="22"/>
  <c r="J10"/>
  <c r="H32" i="5"/>
  <c r="G37"/>
  <c r="G12" s="1"/>
  <c r="G14" s="1"/>
  <c r="N368" i="40" l="1"/>
  <c r="N593"/>
  <c r="N728"/>
  <c r="N503"/>
  <c r="F93" i="37"/>
  <c r="F98" s="1"/>
  <c r="N98" i="40"/>
  <c r="N548"/>
  <c r="N413"/>
  <c r="N908"/>
  <c r="E333"/>
  <c r="E335" s="1"/>
  <c r="E336" s="1"/>
  <c r="E338" s="1"/>
  <c r="E342" s="1"/>
  <c r="F558"/>
  <c r="F560" s="1"/>
  <c r="F561" s="1"/>
  <c r="F563" s="1"/>
  <c r="F567" s="1"/>
  <c r="F828"/>
  <c r="F830" s="1"/>
  <c r="F831" s="1"/>
  <c r="F833" s="1"/>
  <c r="F837" s="1"/>
  <c r="N233"/>
  <c r="N638"/>
  <c r="D144" i="37"/>
  <c r="D146" s="1"/>
  <c r="D147" s="1"/>
  <c r="D149" s="1"/>
  <c r="D153" s="1"/>
  <c r="F468" i="40"/>
  <c r="F470" s="1"/>
  <c r="F471" s="1"/>
  <c r="F473" s="1"/>
  <c r="F477" s="1"/>
  <c r="F603"/>
  <c r="F605" s="1"/>
  <c r="F606" s="1"/>
  <c r="F608" s="1"/>
  <c r="F612" s="1"/>
  <c r="N953"/>
  <c r="N998"/>
  <c r="O1266"/>
  <c r="O1176"/>
  <c r="O1131"/>
  <c r="O1221"/>
  <c r="O1086"/>
  <c r="O996"/>
  <c r="O1041"/>
  <c r="O906"/>
  <c r="O726"/>
  <c r="O1311"/>
  <c r="O816"/>
  <c r="O771"/>
  <c r="O636"/>
  <c r="O366"/>
  <c r="O321"/>
  <c r="O681"/>
  <c r="O546"/>
  <c r="O501"/>
  <c r="O186"/>
  <c r="O141"/>
  <c r="O951"/>
  <c r="O96"/>
  <c r="O51"/>
  <c r="O591"/>
  <c r="O231"/>
  <c r="O411"/>
  <c r="O276"/>
  <c r="O861"/>
  <c r="O456"/>
  <c r="P1308"/>
  <c r="P1263"/>
  <c r="P1218"/>
  <c r="P1038"/>
  <c r="P1173"/>
  <c r="P993"/>
  <c r="P1128"/>
  <c r="P1083"/>
  <c r="P813"/>
  <c r="P678"/>
  <c r="P543"/>
  <c r="P453"/>
  <c r="P408"/>
  <c r="P318"/>
  <c r="P948"/>
  <c r="P903"/>
  <c r="P858"/>
  <c r="P723"/>
  <c r="P363"/>
  <c r="P273"/>
  <c r="P228"/>
  <c r="P768"/>
  <c r="P633"/>
  <c r="P588"/>
  <c r="P138"/>
  <c r="P183"/>
  <c r="P93"/>
  <c r="P48"/>
  <c r="F423"/>
  <c r="F425" s="1"/>
  <c r="F426" s="1"/>
  <c r="F428" s="1"/>
  <c r="F432" s="1"/>
  <c r="F513"/>
  <c r="F515" s="1"/>
  <c r="F516" s="1"/>
  <c r="F518" s="1"/>
  <c r="F522" s="1"/>
  <c r="C1188"/>
  <c r="C1190" s="1"/>
  <c r="C1191" s="1"/>
  <c r="C1098"/>
  <c r="C1100" s="1"/>
  <c r="C1101" s="1"/>
  <c r="C1103" s="1"/>
  <c r="C1107" s="1"/>
  <c r="C963"/>
  <c r="C965" s="1"/>
  <c r="C966" s="1"/>
  <c r="C468"/>
  <c r="C470" s="1"/>
  <c r="C471" s="1"/>
  <c r="C873"/>
  <c r="C875" s="1"/>
  <c r="C876" s="1"/>
  <c r="C878" s="1"/>
  <c r="C882" s="1"/>
  <c r="N1133"/>
  <c r="F911"/>
  <c r="F916" s="1"/>
  <c r="F918" s="1"/>
  <c r="F920" s="1"/>
  <c r="F921" s="1"/>
  <c r="F923" s="1"/>
  <c r="F927" s="1"/>
  <c r="C738"/>
  <c r="C740" s="1"/>
  <c r="C741" s="1"/>
  <c r="G1304"/>
  <c r="G1316" s="1"/>
  <c r="G1321" s="1"/>
  <c r="G1169"/>
  <c r="G1181" s="1"/>
  <c r="G1186" s="1"/>
  <c r="G1034"/>
  <c r="G1046" s="1"/>
  <c r="G1051" s="1"/>
  <c r="G81" i="37"/>
  <c r="G1214" i="40"/>
  <c r="G1226" s="1"/>
  <c r="G1231" s="1"/>
  <c r="G1259"/>
  <c r="G1271" s="1"/>
  <c r="G1276" s="1"/>
  <c r="G1124"/>
  <c r="G1136" s="1"/>
  <c r="G1141" s="1"/>
  <c r="G899"/>
  <c r="G911" s="1"/>
  <c r="G916" s="1"/>
  <c r="G809"/>
  <c r="G821" s="1"/>
  <c r="G826" s="1"/>
  <c r="G1079"/>
  <c r="G1091" s="1"/>
  <c r="G1096" s="1"/>
  <c r="G674"/>
  <c r="G686" s="1"/>
  <c r="G691" s="1"/>
  <c r="G944"/>
  <c r="G956" s="1"/>
  <c r="G961" s="1"/>
  <c r="G854"/>
  <c r="G866" s="1"/>
  <c r="G871" s="1"/>
  <c r="G764"/>
  <c r="G776" s="1"/>
  <c r="G781" s="1"/>
  <c r="G539"/>
  <c r="G551" s="1"/>
  <c r="G556" s="1"/>
  <c r="G449"/>
  <c r="G461" s="1"/>
  <c r="G466" s="1"/>
  <c r="G989"/>
  <c r="G1001" s="1"/>
  <c r="G1006" s="1"/>
  <c r="G584"/>
  <c r="G596" s="1"/>
  <c r="G601" s="1"/>
  <c r="G494"/>
  <c r="G506" s="1"/>
  <c r="G511" s="1"/>
  <c r="G314"/>
  <c r="G326" s="1"/>
  <c r="G331" s="1"/>
  <c r="G719"/>
  <c r="G731" s="1"/>
  <c r="G736" s="1"/>
  <c r="G269"/>
  <c r="G281" s="1"/>
  <c r="G286" s="1"/>
  <c r="G224"/>
  <c r="G236" s="1"/>
  <c r="G241" s="1"/>
  <c r="G404"/>
  <c r="G416" s="1"/>
  <c r="G421" s="1"/>
  <c r="G359"/>
  <c r="G371" s="1"/>
  <c r="G376" s="1"/>
  <c r="G44"/>
  <c r="G56" s="1"/>
  <c r="G61" s="1"/>
  <c r="G134"/>
  <c r="G146" s="1"/>
  <c r="G151" s="1"/>
  <c r="G89"/>
  <c r="G101" s="1"/>
  <c r="G106" s="1"/>
  <c r="G629"/>
  <c r="G641" s="1"/>
  <c r="G646" s="1"/>
  <c r="G179"/>
  <c r="G191" s="1"/>
  <c r="G196" s="1"/>
  <c r="E108"/>
  <c r="E110" s="1"/>
  <c r="E111" s="1"/>
  <c r="E113" s="1"/>
  <c r="E117" s="1"/>
  <c r="C243"/>
  <c r="C245" s="1"/>
  <c r="C246" s="1"/>
  <c r="C108"/>
  <c r="C110" s="1"/>
  <c r="C111" s="1"/>
  <c r="F1098"/>
  <c r="F1100" s="1"/>
  <c r="F1101" s="1"/>
  <c r="F1103" s="1"/>
  <c r="F1107" s="1"/>
  <c r="F1143"/>
  <c r="F1145" s="1"/>
  <c r="F1146" s="1"/>
  <c r="F1148" s="1"/>
  <c r="F1152" s="1"/>
  <c r="C513"/>
  <c r="C515" s="1"/>
  <c r="C516" s="1"/>
  <c r="C518" s="1"/>
  <c r="C522" s="1"/>
  <c r="N773"/>
  <c r="N1178"/>
  <c r="G8" i="29"/>
  <c r="F46" i="37"/>
  <c r="F51" s="1"/>
  <c r="F125"/>
  <c r="F137" s="1"/>
  <c r="F142" s="1"/>
  <c r="E198" i="40"/>
  <c r="E200" s="1"/>
  <c r="E201" s="1"/>
  <c r="E203" s="1"/>
  <c r="E207" s="1"/>
  <c r="E378"/>
  <c r="E380" s="1"/>
  <c r="E381" s="1"/>
  <c r="E383" s="1"/>
  <c r="E387" s="1"/>
  <c r="C153"/>
  <c r="C155" s="1"/>
  <c r="C156" s="1"/>
  <c r="C158" s="1"/>
  <c r="F1008"/>
  <c r="F1010" s="1"/>
  <c r="F1011" s="1"/>
  <c r="F1013" s="1"/>
  <c r="F1017" s="1"/>
  <c r="F1323"/>
  <c r="F1325" s="1"/>
  <c r="F1326" s="1"/>
  <c r="F1328" s="1"/>
  <c r="F1332" s="1"/>
  <c r="C783"/>
  <c r="C785" s="1"/>
  <c r="C786" s="1"/>
  <c r="C788" s="1"/>
  <c r="C792" s="1"/>
  <c r="C1143"/>
  <c r="C1145" s="1"/>
  <c r="C1146" s="1"/>
  <c r="C1148" s="1"/>
  <c r="C1152" s="1"/>
  <c r="N323"/>
  <c r="N188"/>
  <c r="N863"/>
  <c r="N1088"/>
  <c r="C1233"/>
  <c r="C1235" s="1"/>
  <c r="C1236" s="1"/>
  <c r="C1238" s="1"/>
  <c r="C1242" s="1"/>
  <c r="C828"/>
  <c r="C830" s="1"/>
  <c r="C831" s="1"/>
  <c r="C833" s="1"/>
  <c r="C837" s="1"/>
  <c r="C137" i="37"/>
  <c r="C142" s="1"/>
  <c r="C144" s="1"/>
  <c r="N1043" i="40"/>
  <c r="N1313"/>
  <c r="F956"/>
  <c r="F961" s="1"/>
  <c r="F963" s="1"/>
  <c r="F965" s="1"/>
  <c r="F966" s="1"/>
  <c r="F968" s="1"/>
  <c r="F972" s="1"/>
  <c r="C603"/>
  <c r="C605" s="1"/>
  <c r="C606" s="1"/>
  <c r="C608" s="1"/>
  <c r="C612" s="1"/>
  <c r="F648"/>
  <c r="F650" s="1"/>
  <c r="F651" s="1"/>
  <c r="F653" s="1"/>
  <c r="F657" s="1"/>
  <c r="F693"/>
  <c r="F695" s="1"/>
  <c r="F696" s="1"/>
  <c r="F698" s="1"/>
  <c r="F702" s="1"/>
  <c r="C648"/>
  <c r="C650" s="1"/>
  <c r="C651" s="1"/>
  <c r="C653" s="1"/>
  <c r="C657" s="1"/>
  <c r="C558"/>
  <c r="C560" s="1"/>
  <c r="C561" s="1"/>
  <c r="C563" s="1"/>
  <c r="C567" s="1"/>
  <c r="O1310"/>
  <c r="O1265"/>
  <c r="O1220"/>
  <c r="O1175"/>
  <c r="O1130"/>
  <c r="O905"/>
  <c r="O1085"/>
  <c r="O1040"/>
  <c r="O860"/>
  <c r="O995"/>
  <c r="O725"/>
  <c r="O590"/>
  <c r="O950"/>
  <c r="O815"/>
  <c r="O770"/>
  <c r="O455"/>
  <c r="O410"/>
  <c r="O320"/>
  <c r="O545"/>
  <c r="O500"/>
  <c r="O275"/>
  <c r="O95"/>
  <c r="O635"/>
  <c r="O365"/>
  <c r="O140"/>
  <c r="O230"/>
  <c r="O185"/>
  <c r="O50"/>
  <c r="O680"/>
  <c r="N134" i="37"/>
  <c r="D100"/>
  <c r="D102" s="1"/>
  <c r="D103" s="1"/>
  <c r="D105" s="1"/>
  <c r="D109" s="1"/>
  <c r="E243" i="40"/>
  <c r="E245" s="1"/>
  <c r="E246" s="1"/>
  <c r="E248" s="1"/>
  <c r="E252" s="1"/>
  <c r="F873"/>
  <c r="F875" s="1"/>
  <c r="F876" s="1"/>
  <c r="F878" s="1"/>
  <c r="F882" s="1"/>
  <c r="F1233"/>
  <c r="F1235" s="1"/>
  <c r="F1236" s="1"/>
  <c r="F1238" s="1"/>
  <c r="F1242" s="1"/>
  <c r="F738"/>
  <c r="F740" s="1"/>
  <c r="F741" s="1"/>
  <c r="F743" s="1"/>
  <c r="F747" s="1"/>
  <c r="F1188"/>
  <c r="F1190" s="1"/>
  <c r="F1191" s="1"/>
  <c r="F1193" s="1"/>
  <c r="F1197" s="1"/>
  <c r="F783"/>
  <c r="F785" s="1"/>
  <c r="F786" s="1"/>
  <c r="F788" s="1"/>
  <c r="F792" s="1"/>
  <c r="F1278"/>
  <c r="F1280" s="1"/>
  <c r="F1281" s="1"/>
  <c r="F1283" s="1"/>
  <c r="F1287" s="1"/>
  <c r="C1008"/>
  <c r="C1010" s="1"/>
  <c r="C1011" s="1"/>
  <c r="C1013" s="1"/>
  <c r="C1017" s="1"/>
  <c r="C1323"/>
  <c r="C1325" s="1"/>
  <c r="C1326" s="1"/>
  <c r="C693"/>
  <c r="C695" s="1"/>
  <c r="C696" s="1"/>
  <c r="C698" s="1"/>
  <c r="C702" s="1"/>
  <c r="C423"/>
  <c r="C425" s="1"/>
  <c r="C426" s="1"/>
  <c r="C428" s="1"/>
  <c r="C432" s="1"/>
  <c r="C1278"/>
  <c r="C1280" s="1"/>
  <c r="C1281" s="1"/>
  <c r="C1283" s="1"/>
  <c r="C1287" s="1"/>
  <c r="N53"/>
  <c r="N143"/>
  <c r="N278"/>
  <c r="N683"/>
  <c r="N818"/>
  <c r="N458"/>
  <c r="N1223"/>
  <c r="N1268"/>
  <c r="F1046"/>
  <c r="F1051" s="1"/>
  <c r="F1053" s="1"/>
  <c r="F1055" s="1"/>
  <c r="F1056" s="1"/>
  <c r="F1058" s="1"/>
  <c r="F1062" s="1"/>
  <c r="C918"/>
  <c r="C920" s="1"/>
  <c r="C921" s="1"/>
  <c r="C1053"/>
  <c r="C1055" s="1"/>
  <c r="C1056" s="1"/>
  <c r="C1058" s="1"/>
  <c r="C1062" s="1"/>
  <c r="I1294"/>
  <c r="I1114"/>
  <c r="I889"/>
  <c r="I844"/>
  <c r="I799"/>
  <c r="I754"/>
  <c r="I709"/>
  <c r="I349"/>
  <c r="I124"/>
  <c r="I934"/>
  <c r="I529"/>
  <c r="I394"/>
  <c r="I259"/>
  <c r="I34"/>
  <c r="I1069"/>
  <c r="I304"/>
  <c r="I169"/>
  <c r="I1249"/>
  <c r="I1204"/>
  <c r="I1159"/>
  <c r="I1024"/>
  <c r="I979"/>
  <c r="I664"/>
  <c r="I619"/>
  <c r="I574"/>
  <c r="I484"/>
  <c r="I439"/>
  <c r="I214"/>
  <c r="I79"/>
  <c r="I170"/>
  <c r="I125"/>
  <c r="I1205"/>
  <c r="I1025"/>
  <c r="I440"/>
  <c r="I395"/>
  <c r="I80"/>
  <c r="I35"/>
  <c r="I1295"/>
  <c r="I1115"/>
  <c r="I1070"/>
  <c r="I350"/>
  <c r="I305"/>
  <c r="I1250"/>
  <c r="I1160"/>
  <c r="I980"/>
  <c r="I530"/>
  <c r="I485"/>
  <c r="I260"/>
  <c r="I215"/>
  <c r="C380"/>
  <c r="C381" s="1"/>
  <c r="C290"/>
  <c r="C291" s="1"/>
  <c r="C293" s="1"/>
  <c r="E266"/>
  <c r="E558"/>
  <c r="E693"/>
  <c r="E648"/>
  <c r="E1188"/>
  <c r="E1233"/>
  <c r="E1278"/>
  <c r="E918"/>
  <c r="E963"/>
  <c r="E1053"/>
  <c r="E603"/>
  <c r="C200"/>
  <c r="C201" s="1"/>
  <c r="C203" s="1"/>
  <c r="G1206"/>
  <c r="G1207" s="1"/>
  <c r="G1209" s="1"/>
  <c r="G1071"/>
  <c r="G1072" s="1"/>
  <c r="G1074" s="1"/>
  <c r="G1026"/>
  <c r="G1027" s="1"/>
  <c r="G1029" s="1"/>
  <c r="G981"/>
  <c r="G982" s="1"/>
  <c r="G984" s="1"/>
  <c r="G846"/>
  <c r="G847" s="1"/>
  <c r="G849" s="1"/>
  <c r="G621"/>
  <c r="G622" s="1"/>
  <c r="G624" s="1"/>
  <c r="G396"/>
  <c r="G397" s="1"/>
  <c r="G399" s="1"/>
  <c r="G261"/>
  <c r="G1251"/>
  <c r="G1252" s="1"/>
  <c r="G1254" s="1"/>
  <c r="G801"/>
  <c r="G802" s="1"/>
  <c r="G804" s="1"/>
  <c r="G576"/>
  <c r="G577" s="1"/>
  <c r="G579" s="1"/>
  <c r="G306"/>
  <c r="G756"/>
  <c r="G757" s="1"/>
  <c r="G759" s="1"/>
  <c r="G531"/>
  <c r="G532" s="1"/>
  <c r="G534" s="1"/>
  <c r="G441"/>
  <c r="G442" s="1"/>
  <c r="G444" s="1"/>
  <c r="G1296"/>
  <c r="G1297" s="1"/>
  <c r="G1299" s="1"/>
  <c r="G1161"/>
  <c r="G1162" s="1"/>
  <c r="G1164" s="1"/>
  <c r="G1116"/>
  <c r="G1117" s="1"/>
  <c r="G1119" s="1"/>
  <c r="G936"/>
  <c r="G937" s="1"/>
  <c r="G939" s="1"/>
  <c r="G891"/>
  <c r="G892" s="1"/>
  <c r="G894" s="1"/>
  <c r="G711"/>
  <c r="G712" s="1"/>
  <c r="G714" s="1"/>
  <c r="G666"/>
  <c r="G667" s="1"/>
  <c r="G669" s="1"/>
  <c r="G486"/>
  <c r="G487" s="1"/>
  <c r="G489" s="1"/>
  <c r="G351"/>
  <c r="G171"/>
  <c r="G216"/>
  <c r="G81"/>
  <c r="G126"/>
  <c r="G36"/>
  <c r="F352"/>
  <c r="F354" s="1"/>
  <c r="F356" s="1"/>
  <c r="F262"/>
  <c r="F264" s="1"/>
  <c r="F266" s="1"/>
  <c r="F288" s="1"/>
  <c r="F307"/>
  <c r="F309" s="1"/>
  <c r="F311" s="1"/>
  <c r="F333" s="1"/>
  <c r="F335" s="1"/>
  <c r="F336" s="1"/>
  <c r="F338" s="1"/>
  <c r="F342" s="1"/>
  <c r="F127"/>
  <c r="F129" s="1"/>
  <c r="F131" s="1"/>
  <c r="F153" s="1"/>
  <c r="F155" s="1"/>
  <c r="F156" s="1"/>
  <c r="F158" s="1"/>
  <c r="F162" s="1"/>
  <c r="F37"/>
  <c r="F39" s="1"/>
  <c r="F41" s="1"/>
  <c r="F63" s="1"/>
  <c r="F65" s="1"/>
  <c r="F66" s="1"/>
  <c r="F68" s="1"/>
  <c r="F72" s="1"/>
  <c r="F172"/>
  <c r="F174" s="1"/>
  <c r="F176" s="1"/>
  <c r="F198" s="1"/>
  <c r="F200" s="1"/>
  <c r="F201" s="1"/>
  <c r="F203" s="1"/>
  <c r="F207" s="1"/>
  <c r="F217"/>
  <c r="F219" s="1"/>
  <c r="F82"/>
  <c r="F84" s="1"/>
  <c r="F86" s="1"/>
  <c r="F108" s="1"/>
  <c r="E76" i="37"/>
  <c r="E78" s="1"/>
  <c r="E118"/>
  <c r="E120" s="1"/>
  <c r="E131" i="40"/>
  <c r="E41"/>
  <c r="E1143"/>
  <c r="E1098"/>
  <c r="E828"/>
  <c r="C335"/>
  <c r="C336" s="1"/>
  <c r="C338" s="1"/>
  <c r="E783"/>
  <c r="E738"/>
  <c r="E873"/>
  <c r="E1323"/>
  <c r="E1008"/>
  <c r="E468"/>
  <c r="E513"/>
  <c r="E423"/>
  <c r="C65"/>
  <c r="C66" s="1"/>
  <c r="C1291" i="36"/>
  <c r="C1295" s="1"/>
  <c r="C1193"/>
  <c r="C1197" s="1"/>
  <c r="P285"/>
  <c r="P290" s="1"/>
  <c r="Q280"/>
  <c r="P627"/>
  <c r="P632" s="1"/>
  <c r="Q622"/>
  <c r="P1007"/>
  <c r="P1012" s="1"/>
  <c r="Q1002"/>
  <c r="P703"/>
  <c r="P708" s="1"/>
  <c r="Q698"/>
  <c r="P931"/>
  <c r="P936" s="1"/>
  <c r="Q926"/>
  <c r="P779"/>
  <c r="P784" s="1"/>
  <c r="Q774"/>
  <c r="P893"/>
  <c r="P898" s="1"/>
  <c r="Q888"/>
  <c r="C826"/>
  <c r="C827" s="1"/>
  <c r="C829" s="1"/>
  <c r="C833" s="1"/>
  <c r="P475"/>
  <c r="P480" s="1"/>
  <c r="Q470"/>
  <c r="Q1225"/>
  <c r="P1230"/>
  <c r="P1235" s="1"/>
  <c r="Q1274"/>
  <c r="P1279"/>
  <c r="P1284" s="1"/>
  <c r="C902"/>
  <c r="C903" s="1"/>
  <c r="C905" s="1"/>
  <c r="C909" s="1"/>
  <c r="Q1176"/>
  <c r="P1181"/>
  <c r="P1186" s="1"/>
  <c r="Q1127"/>
  <c r="P1132"/>
  <c r="P1137" s="1"/>
  <c r="Q546"/>
  <c r="P551"/>
  <c r="P556" s="1"/>
  <c r="Q964"/>
  <c r="P969"/>
  <c r="P974" s="1"/>
  <c r="Q318"/>
  <c r="P323"/>
  <c r="P328" s="1"/>
  <c r="C1239"/>
  <c r="C1240" s="1"/>
  <c r="C1242" s="1"/>
  <c r="C1246" s="1"/>
  <c r="C1141"/>
  <c r="C1142" s="1"/>
  <c r="C1144" s="1"/>
  <c r="C1148" s="1"/>
  <c r="Q242"/>
  <c r="P247"/>
  <c r="P252" s="1"/>
  <c r="P513"/>
  <c r="P518" s="1"/>
  <c r="Q508"/>
  <c r="P437"/>
  <c r="P442" s="1"/>
  <c r="Q432"/>
  <c r="P399"/>
  <c r="P404" s="1"/>
  <c r="Q394"/>
  <c r="P1083"/>
  <c r="P1088" s="1"/>
  <c r="Q1078"/>
  <c r="P855"/>
  <c r="P860" s="1"/>
  <c r="Q850"/>
  <c r="P1045"/>
  <c r="P1050" s="1"/>
  <c r="Q1040"/>
  <c r="P817"/>
  <c r="P822" s="1"/>
  <c r="Q812"/>
  <c r="P209"/>
  <c r="P214" s="1"/>
  <c r="Q204"/>
  <c r="Q660"/>
  <c r="P665"/>
  <c r="P670" s="1"/>
  <c r="P741"/>
  <c r="P746" s="1"/>
  <c r="Q736"/>
  <c r="Q584"/>
  <c r="P589"/>
  <c r="P594" s="1"/>
  <c r="Q356"/>
  <c r="P361"/>
  <c r="P366" s="1"/>
  <c r="I118"/>
  <c r="I308"/>
  <c r="N90" i="37"/>
  <c r="C1252" i="36"/>
  <c r="C1255" s="1"/>
  <c r="C1301"/>
  <c r="C1304" s="1"/>
  <c r="G1288"/>
  <c r="G1289" s="1"/>
  <c r="G1291" s="1"/>
  <c r="G1295" s="1"/>
  <c r="I1216"/>
  <c r="I1265"/>
  <c r="I1215"/>
  <c r="I1264"/>
  <c r="H1217"/>
  <c r="H1218" s="1"/>
  <c r="H1220" s="1"/>
  <c r="H1222" s="1"/>
  <c r="H1237" s="1"/>
  <c r="H1239" s="1"/>
  <c r="H1240" s="1"/>
  <c r="H1242" s="1"/>
  <c r="H1246" s="1"/>
  <c r="H1266"/>
  <c r="H1267" s="1"/>
  <c r="H1269" s="1"/>
  <c r="F1286"/>
  <c r="F1288" s="1"/>
  <c r="C1154"/>
  <c r="C1157" s="1"/>
  <c r="C1203"/>
  <c r="C1206" s="1"/>
  <c r="I1118"/>
  <c r="I1167"/>
  <c r="H1119"/>
  <c r="H1120" s="1"/>
  <c r="H1122" s="1"/>
  <c r="H1124" s="1"/>
  <c r="H1139" s="1"/>
  <c r="H1141" s="1"/>
  <c r="H1168"/>
  <c r="H1169" s="1"/>
  <c r="H1171" s="1"/>
  <c r="H1173" s="1"/>
  <c r="H1188" s="1"/>
  <c r="G1188"/>
  <c r="G1190" s="1"/>
  <c r="I1117"/>
  <c r="I1166"/>
  <c r="D55" i="23"/>
  <c r="C1105" i="36"/>
  <c r="C1108" s="1"/>
  <c r="I1031"/>
  <c r="I1069"/>
  <c r="H1032"/>
  <c r="H1070"/>
  <c r="I1030"/>
  <c r="I1068"/>
  <c r="C1033"/>
  <c r="C1035" s="1"/>
  <c r="C1037" s="1"/>
  <c r="C1071"/>
  <c r="C1073" s="1"/>
  <c r="D62" i="37"/>
  <c r="I650" i="36"/>
  <c r="I764"/>
  <c r="N43" i="37"/>
  <c r="I954" i="36"/>
  <c r="I992"/>
  <c r="I955"/>
  <c r="I993"/>
  <c r="H956"/>
  <c r="H994"/>
  <c r="C957"/>
  <c r="C959" s="1"/>
  <c r="C961" s="1"/>
  <c r="C995"/>
  <c r="C997" s="1"/>
  <c r="I574"/>
  <c r="I878"/>
  <c r="I916"/>
  <c r="I879"/>
  <c r="I917"/>
  <c r="H880"/>
  <c r="H881" s="1"/>
  <c r="H883" s="1"/>
  <c r="H885" s="1"/>
  <c r="H900" s="1"/>
  <c r="H902" s="1"/>
  <c r="H903" s="1"/>
  <c r="H905" s="1"/>
  <c r="H909" s="1"/>
  <c r="H918"/>
  <c r="I194"/>
  <c r="I232"/>
  <c r="I498"/>
  <c r="I612"/>
  <c r="C843"/>
  <c r="C845" s="1"/>
  <c r="C847" s="1"/>
  <c r="C919"/>
  <c r="C921" s="1"/>
  <c r="K15" i="23"/>
  <c r="I42" i="36"/>
  <c r="I80"/>
  <c r="I156"/>
  <c r="I270"/>
  <c r="I346"/>
  <c r="I384"/>
  <c r="I460"/>
  <c r="I536"/>
  <c r="I688"/>
  <c r="I726"/>
  <c r="H804"/>
  <c r="H842"/>
  <c r="I803"/>
  <c r="I841"/>
  <c r="C753"/>
  <c r="C757" s="1"/>
  <c r="R24" i="22"/>
  <c r="P85" i="37"/>
  <c r="P129" s="1"/>
  <c r="P38"/>
  <c r="C712" i="36"/>
  <c r="C713" s="1"/>
  <c r="C715" s="1"/>
  <c r="C719" s="1"/>
  <c r="O87" i="37"/>
  <c r="O131" s="1"/>
  <c r="O40"/>
  <c r="I20" i="22"/>
  <c r="G34" i="37"/>
  <c r="C408" i="36"/>
  <c r="C409" s="1"/>
  <c r="C411" s="1"/>
  <c r="C415" s="1"/>
  <c r="H34" i="22"/>
  <c r="O88" i="37"/>
  <c r="O132" s="1"/>
  <c r="I71"/>
  <c r="I115" s="1"/>
  <c r="I72"/>
  <c r="I116" s="1"/>
  <c r="G73"/>
  <c r="G117" s="1"/>
  <c r="F74"/>
  <c r="C105"/>
  <c r="C109" s="1"/>
  <c r="E53"/>
  <c r="E55" s="1"/>
  <c r="E56" s="1"/>
  <c r="E58" s="1"/>
  <c r="G15" i="22"/>
  <c r="G17" s="1"/>
  <c r="F27" i="37"/>
  <c r="F29" s="1"/>
  <c r="F31" s="1"/>
  <c r="I24"/>
  <c r="H13" i="22"/>
  <c r="C55" i="37"/>
  <c r="C56" s="1"/>
  <c r="P29" i="22"/>
  <c r="P32" s="1"/>
  <c r="Q27"/>
  <c r="O41" i="37"/>
  <c r="I12" i="22"/>
  <c r="G26" i="37"/>
  <c r="I25"/>
  <c r="K11" i="22"/>
  <c r="H766" i="36"/>
  <c r="H767" s="1"/>
  <c r="L167"/>
  <c r="F313"/>
  <c r="I727"/>
  <c r="I765"/>
  <c r="G731"/>
  <c r="G733" s="1"/>
  <c r="G748" s="1"/>
  <c r="G750" s="1"/>
  <c r="G751" s="1"/>
  <c r="G753" s="1"/>
  <c r="G757" s="1"/>
  <c r="G769"/>
  <c r="G771" s="1"/>
  <c r="G786" s="1"/>
  <c r="D789"/>
  <c r="F771"/>
  <c r="H690"/>
  <c r="H691" s="1"/>
  <c r="H728"/>
  <c r="H729" s="1"/>
  <c r="I651"/>
  <c r="I689"/>
  <c r="G693"/>
  <c r="G695" s="1"/>
  <c r="G710" s="1"/>
  <c r="G712" s="1"/>
  <c r="G713" s="1"/>
  <c r="G715" s="1"/>
  <c r="G719" s="1"/>
  <c r="D712"/>
  <c r="D713" s="1"/>
  <c r="F695"/>
  <c r="H614"/>
  <c r="H615" s="1"/>
  <c r="H652"/>
  <c r="H653" s="1"/>
  <c r="C615"/>
  <c r="C617" s="1"/>
  <c r="C619" s="1"/>
  <c r="H538"/>
  <c r="H539" s="1"/>
  <c r="H576"/>
  <c r="H577" s="1"/>
  <c r="C539"/>
  <c r="C541" s="1"/>
  <c r="C543" s="1"/>
  <c r="C577"/>
  <c r="C579" s="1"/>
  <c r="H462"/>
  <c r="H500"/>
  <c r="H501" s="1"/>
  <c r="G311"/>
  <c r="I461"/>
  <c r="C505"/>
  <c r="C425"/>
  <c r="C427" s="1"/>
  <c r="C429" s="1"/>
  <c r="C463"/>
  <c r="C465" s="1"/>
  <c r="H386"/>
  <c r="H387" s="1"/>
  <c r="H389" s="1"/>
  <c r="H391" s="1"/>
  <c r="H406" s="1"/>
  <c r="H424"/>
  <c r="I385"/>
  <c r="I423"/>
  <c r="G370"/>
  <c r="G371" s="1"/>
  <c r="G373" s="1"/>
  <c r="G377" s="1"/>
  <c r="D294"/>
  <c r="D295" s="1"/>
  <c r="D297" s="1"/>
  <c r="D301" s="1"/>
  <c r="C371"/>
  <c r="C373" s="1"/>
  <c r="I309"/>
  <c r="I347"/>
  <c r="H310"/>
  <c r="H349"/>
  <c r="H351" s="1"/>
  <c r="H353" s="1"/>
  <c r="D330"/>
  <c r="D332" s="1"/>
  <c r="E277"/>
  <c r="E292" s="1"/>
  <c r="E315"/>
  <c r="E330" s="1"/>
  <c r="C335"/>
  <c r="F237"/>
  <c r="F275"/>
  <c r="C295"/>
  <c r="I233"/>
  <c r="I271"/>
  <c r="H234"/>
  <c r="H272"/>
  <c r="G235"/>
  <c r="G273"/>
  <c r="E201"/>
  <c r="E216" s="1"/>
  <c r="E218" s="1"/>
  <c r="E219" s="1"/>
  <c r="E221" s="1"/>
  <c r="E225" s="1"/>
  <c r="E239"/>
  <c r="E254" s="1"/>
  <c r="D254"/>
  <c r="D256" s="1"/>
  <c r="C259"/>
  <c r="F161"/>
  <c r="F199"/>
  <c r="I157"/>
  <c r="I195"/>
  <c r="H158"/>
  <c r="H196"/>
  <c r="G159"/>
  <c r="G197"/>
  <c r="G171"/>
  <c r="H128"/>
  <c r="H133" s="1"/>
  <c r="H138" s="1"/>
  <c r="H166"/>
  <c r="H171" s="1"/>
  <c r="H176" s="1"/>
  <c r="E125"/>
  <c r="E140" s="1"/>
  <c r="E142" s="1"/>
  <c r="E143" s="1"/>
  <c r="E145" s="1"/>
  <c r="E149" s="1"/>
  <c r="E163"/>
  <c r="E178" s="1"/>
  <c r="E180" s="1"/>
  <c r="E181" s="1"/>
  <c r="E183" s="1"/>
  <c r="E187" s="1"/>
  <c r="D178"/>
  <c r="C183"/>
  <c r="L91"/>
  <c r="L129"/>
  <c r="F138"/>
  <c r="C143"/>
  <c r="F85"/>
  <c r="F123"/>
  <c r="I81"/>
  <c r="I119"/>
  <c r="H82"/>
  <c r="H120"/>
  <c r="G83"/>
  <c r="G121"/>
  <c r="I30" i="23"/>
  <c r="H90" i="36"/>
  <c r="H95" s="1"/>
  <c r="H100" s="1"/>
  <c r="E49"/>
  <c r="E87"/>
  <c r="E102" s="1"/>
  <c r="D102"/>
  <c r="D104" s="1"/>
  <c r="C111"/>
  <c r="N26" i="23"/>
  <c r="L53" i="36"/>
  <c r="J25" i="23"/>
  <c r="H52" i="36"/>
  <c r="H57" s="1"/>
  <c r="H62" s="1"/>
  <c r="G22" i="23"/>
  <c r="F47" i="36"/>
  <c r="H20" i="23"/>
  <c r="G45" i="36"/>
  <c r="J17" i="23"/>
  <c r="H44" i="36"/>
  <c r="K16" i="23"/>
  <c r="I43" i="36"/>
  <c r="F11" i="29"/>
  <c r="C6"/>
  <c r="G15" i="2"/>
  <c r="H43"/>
  <c r="G16" i="9"/>
  <c r="C9"/>
  <c r="E62" i="2"/>
  <c r="E66" s="1"/>
  <c r="E14" s="1"/>
  <c r="E18" s="1"/>
  <c r="B11" i="29"/>
  <c r="L37" i="22"/>
  <c r="L47"/>
  <c r="I18" i="23"/>
  <c r="H37" i="5"/>
  <c r="H12" s="1"/>
  <c r="H14" s="1"/>
  <c r="I32"/>
  <c r="K10" i="22"/>
  <c r="G7" i="9"/>
  <c r="G9" i="29"/>
  <c r="Q26" i="22"/>
  <c r="G17" i="9"/>
  <c r="D9"/>
  <c r="H30" i="2"/>
  <c r="G34"/>
  <c r="G17" s="1"/>
  <c r="K28"/>
  <c r="O53" i="40" l="1"/>
  <c r="O458"/>
  <c r="O683"/>
  <c r="O143"/>
  <c r="O863"/>
  <c r="C923"/>
  <c r="C927" s="1"/>
  <c r="O593"/>
  <c r="C473"/>
  <c r="C477" s="1"/>
  <c r="O323"/>
  <c r="O818"/>
  <c r="C743"/>
  <c r="O773"/>
  <c r="O1223"/>
  <c r="O188"/>
  <c r="O953"/>
  <c r="O278"/>
  <c r="O1133"/>
  <c r="O134" i="37"/>
  <c r="C968" i="40"/>
  <c r="C972" s="1"/>
  <c r="O413"/>
  <c r="O1313"/>
  <c r="P1265"/>
  <c r="P1220"/>
  <c r="P1040"/>
  <c r="P995"/>
  <c r="P1085"/>
  <c r="P815"/>
  <c r="P1130"/>
  <c r="P950"/>
  <c r="P905"/>
  <c r="P680"/>
  <c r="P545"/>
  <c r="P455"/>
  <c r="P770"/>
  <c r="P410"/>
  <c r="P320"/>
  <c r="P725"/>
  <c r="P365"/>
  <c r="P275"/>
  <c r="P230"/>
  <c r="P1310"/>
  <c r="P635"/>
  <c r="P140"/>
  <c r="P1175"/>
  <c r="P860"/>
  <c r="P590"/>
  <c r="P500"/>
  <c r="P185"/>
  <c r="P50"/>
  <c r="P95"/>
  <c r="R26" i="22"/>
  <c r="Q87" i="37" s="1"/>
  <c r="Q131" s="1"/>
  <c r="Q1218" i="40"/>
  <c r="Q1308"/>
  <c r="Q1263"/>
  <c r="Q948"/>
  <c r="Q1173"/>
  <c r="Q993"/>
  <c r="Q768"/>
  <c r="Q1128"/>
  <c r="Q903"/>
  <c r="Q858"/>
  <c r="Q633"/>
  <c r="Q1083"/>
  <c r="Q678"/>
  <c r="Q408"/>
  <c r="Q1038"/>
  <c r="Q723"/>
  <c r="Q453"/>
  <c r="Q363"/>
  <c r="Q273"/>
  <c r="Q228"/>
  <c r="Q588"/>
  <c r="Q183"/>
  <c r="Q138"/>
  <c r="Q543"/>
  <c r="Q318"/>
  <c r="Q48"/>
  <c r="Q813"/>
  <c r="Q93"/>
  <c r="P1311"/>
  <c r="P1266"/>
  <c r="P1221"/>
  <c r="P1176"/>
  <c r="P1131"/>
  <c r="P906"/>
  <c r="P1086"/>
  <c r="P1041"/>
  <c r="P861"/>
  <c r="P951"/>
  <c r="P726"/>
  <c r="P591"/>
  <c r="P996"/>
  <c r="P456"/>
  <c r="P411"/>
  <c r="P276"/>
  <c r="P96"/>
  <c r="P636"/>
  <c r="P321"/>
  <c r="P816"/>
  <c r="P546"/>
  <c r="P501"/>
  <c r="P771"/>
  <c r="P773" s="1"/>
  <c r="P141"/>
  <c r="P51"/>
  <c r="P231"/>
  <c r="P186"/>
  <c r="P681"/>
  <c r="P366"/>
  <c r="G46" i="37"/>
  <c r="G51" s="1"/>
  <c r="G125"/>
  <c r="G137" s="1"/>
  <c r="G142" s="1"/>
  <c r="C1328" i="40"/>
  <c r="O368"/>
  <c r="O503"/>
  <c r="O1178"/>
  <c r="H81" i="37"/>
  <c r="H93" s="1"/>
  <c r="H98" s="1"/>
  <c r="H1259" i="40"/>
  <c r="H1271" s="1"/>
  <c r="H1276" s="1"/>
  <c r="H1124"/>
  <c r="H1136" s="1"/>
  <c r="H1141" s="1"/>
  <c r="H944"/>
  <c r="H956" s="1"/>
  <c r="H961" s="1"/>
  <c r="H1304"/>
  <c r="H1316" s="1"/>
  <c r="H1321" s="1"/>
  <c r="H1079"/>
  <c r="H1091" s="1"/>
  <c r="H1096" s="1"/>
  <c r="H1034"/>
  <c r="H1214"/>
  <c r="H1226" s="1"/>
  <c r="H1231" s="1"/>
  <c r="H764"/>
  <c r="H776" s="1"/>
  <c r="H781" s="1"/>
  <c r="H1169"/>
  <c r="H1181" s="1"/>
  <c r="H1186" s="1"/>
  <c r="H629"/>
  <c r="H641" s="1"/>
  <c r="H646" s="1"/>
  <c r="H809"/>
  <c r="H821" s="1"/>
  <c r="H826" s="1"/>
  <c r="H674"/>
  <c r="H686" s="1"/>
  <c r="H691" s="1"/>
  <c r="H494"/>
  <c r="H506" s="1"/>
  <c r="H511" s="1"/>
  <c r="H404"/>
  <c r="H416" s="1"/>
  <c r="H421" s="1"/>
  <c r="H899"/>
  <c r="H911" s="1"/>
  <c r="H916" s="1"/>
  <c r="H719"/>
  <c r="H731" s="1"/>
  <c r="H736" s="1"/>
  <c r="H539"/>
  <c r="H551" s="1"/>
  <c r="H556" s="1"/>
  <c r="H269"/>
  <c r="H224"/>
  <c r="H236" s="1"/>
  <c r="H241" s="1"/>
  <c r="H179"/>
  <c r="H134"/>
  <c r="H146" s="1"/>
  <c r="H151" s="1"/>
  <c r="H854"/>
  <c r="H866" s="1"/>
  <c r="H871" s="1"/>
  <c r="H314"/>
  <c r="H326" s="1"/>
  <c r="H331" s="1"/>
  <c r="H89"/>
  <c r="H101" s="1"/>
  <c r="H106" s="1"/>
  <c r="H584"/>
  <c r="H596" s="1"/>
  <c r="H601" s="1"/>
  <c r="H44"/>
  <c r="H56" s="1"/>
  <c r="H61" s="1"/>
  <c r="H449"/>
  <c r="H461" s="1"/>
  <c r="H466" s="1"/>
  <c r="H359"/>
  <c r="H371" s="1"/>
  <c r="H376" s="1"/>
  <c r="H989"/>
  <c r="H1001" s="1"/>
  <c r="H1006" s="1"/>
  <c r="O638"/>
  <c r="O548"/>
  <c r="O728"/>
  <c r="O1088"/>
  <c r="C1193"/>
  <c r="C1197" s="1"/>
  <c r="O233"/>
  <c r="O98"/>
  <c r="O998"/>
  <c r="O908"/>
  <c r="O1268"/>
  <c r="O1043"/>
  <c r="J1249"/>
  <c r="J1204"/>
  <c r="J1159"/>
  <c r="J1024"/>
  <c r="J979"/>
  <c r="J664"/>
  <c r="J619"/>
  <c r="J574"/>
  <c r="J484"/>
  <c r="J439"/>
  <c r="J214"/>
  <c r="J79"/>
  <c r="J1294"/>
  <c r="J1114"/>
  <c r="J889"/>
  <c r="J844"/>
  <c r="J799"/>
  <c r="J754"/>
  <c r="J709"/>
  <c r="J349"/>
  <c r="J124"/>
  <c r="J934"/>
  <c r="J529"/>
  <c r="J394"/>
  <c r="J259"/>
  <c r="J34"/>
  <c r="J1069"/>
  <c r="J304"/>
  <c r="J169"/>
  <c r="J1250"/>
  <c r="J1160"/>
  <c r="J980"/>
  <c r="J530"/>
  <c r="J485"/>
  <c r="J260"/>
  <c r="J215"/>
  <c r="J170"/>
  <c r="J125"/>
  <c r="J1205"/>
  <c r="J1025"/>
  <c r="J440"/>
  <c r="J395"/>
  <c r="J80"/>
  <c r="J35"/>
  <c r="J1295"/>
  <c r="J1115"/>
  <c r="J1070"/>
  <c r="J350"/>
  <c r="J305"/>
  <c r="E515"/>
  <c r="E516" s="1"/>
  <c r="E518" s="1"/>
  <c r="E1010"/>
  <c r="E1011" s="1"/>
  <c r="C1332"/>
  <c r="E875"/>
  <c r="E876" s="1"/>
  <c r="E878" s="1"/>
  <c r="E785"/>
  <c r="E786" s="1"/>
  <c r="E153"/>
  <c r="F378"/>
  <c r="G671"/>
  <c r="G1121"/>
  <c r="G536"/>
  <c r="G806"/>
  <c r="G626"/>
  <c r="G1076"/>
  <c r="C162"/>
  <c r="E288"/>
  <c r="E1100"/>
  <c r="E1101" s="1"/>
  <c r="E122" i="37"/>
  <c r="F290" i="40"/>
  <c r="F291" s="1"/>
  <c r="F293" s="1"/>
  <c r="F297" s="1"/>
  <c r="G491"/>
  <c r="G941"/>
  <c r="G446"/>
  <c r="G581"/>
  <c r="G401"/>
  <c r="G1031"/>
  <c r="C146" i="37"/>
  <c r="C147" s="1"/>
  <c r="C149" s="1"/>
  <c r="E1055" i="40"/>
  <c r="E1056" s="1"/>
  <c r="E1235"/>
  <c r="E1236" s="1"/>
  <c r="E650"/>
  <c r="E651" s="1"/>
  <c r="E560"/>
  <c r="E561" s="1"/>
  <c r="C113"/>
  <c r="C68"/>
  <c r="G307"/>
  <c r="G309" s="1"/>
  <c r="G352"/>
  <c r="G354" s="1"/>
  <c r="G356" s="1"/>
  <c r="G378" s="1"/>
  <c r="G380" s="1"/>
  <c r="G381" s="1"/>
  <c r="G383" s="1"/>
  <c r="G387" s="1"/>
  <c r="G262"/>
  <c r="G264" s="1"/>
  <c r="G266" s="1"/>
  <c r="G288" s="1"/>
  <c r="G290" s="1"/>
  <c r="G291" s="1"/>
  <c r="G293" s="1"/>
  <c r="G297" s="1"/>
  <c r="G217"/>
  <c r="G219" s="1"/>
  <c r="G221" s="1"/>
  <c r="G243" s="1"/>
  <c r="G245" s="1"/>
  <c r="G246" s="1"/>
  <c r="G248" s="1"/>
  <c r="G252" s="1"/>
  <c r="G82"/>
  <c r="G84" s="1"/>
  <c r="G86" s="1"/>
  <c r="G127"/>
  <c r="G129" s="1"/>
  <c r="G37"/>
  <c r="G39" s="1"/>
  <c r="G41" s="1"/>
  <c r="G63" s="1"/>
  <c r="G65" s="1"/>
  <c r="G66" s="1"/>
  <c r="G68" s="1"/>
  <c r="G72" s="1"/>
  <c r="G172"/>
  <c r="G174" s="1"/>
  <c r="E425"/>
  <c r="E426" s="1"/>
  <c r="E470"/>
  <c r="E471" s="1"/>
  <c r="E473" s="1"/>
  <c r="E477" s="1"/>
  <c r="E1325"/>
  <c r="E1326" s="1"/>
  <c r="E740"/>
  <c r="E741" s="1"/>
  <c r="E63"/>
  <c r="F221"/>
  <c r="G896"/>
  <c r="G1301"/>
  <c r="G986"/>
  <c r="C248"/>
  <c r="C383"/>
  <c r="H1296"/>
  <c r="H1297" s="1"/>
  <c r="H1299" s="1"/>
  <c r="H1301" s="1"/>
  <c r="H1161"/>
  <c r="H1162" s="1"/>
  <c r="H1164" s="1"/>
  <c r="H1166" s="1"/>
  <c r="H1116"/>
  <c r="H1117" s="1"/>
  <c r="H1119" s="1"/>
  <c r="H1121" s="1"/>
  <c r="H936"/>
  <c r="H937" s="1"/>
  <c r="H939" s="1"/>
  <c r="H941" s="1"/>
  <c r="H891"/>
  <c r="H892" s="1"/>
  <c r="H894" s="1"/>
  <c r="H896" s="1"/>
  <c r="H711"/>
  <c r="H712" s="1"/>
  <c r="H714" s="1"/>
  <c r="H716" s="1"/>
  <c r="H666"/>
  <c r="H667" s="1"/>
  <c r="H669" s="1"/>
  <c r="H671" s="1"/>
  <c r="H486"/>
  <c r="H487" s="1"/>
  <c r="H489" s="1"/>
  <c r="H491" s="1"/>
  <c r="H351"/>
  <c r="H1206"/>
  <c r="H1207" s="1"/>
  <c r="H1209" s="1"/>
  <c r="H1211" s="1"/>
  <c r="H1071"/>
  <c r="H1072" s="1"/>
  <c r="H1074" s="1"/>
  <c r="H1076" s="1"/>
  <c r="H1026"/>
  <c r="H1027" s="1"/>
  <c r="H1029" s="1"/>
  <c r="H1031" s="1"/>
  <c r="H981"/>
  <c r="H982" s="1"/>
  <c r="H984" s="1"/>
  <c r="H986" s="1"/>
  <c r="H846"/>
  <c r="H847" s="1"/>
  <c r="H849" s="1"/>
  <c r="H851" s="1"/>
  <c r="H621"/>
  <c r="H622" s="1"/>
  <c r="H624" s="1"/>
  <c r="H626" s="1"/>
  <c r="H396"/>
  <c r="H397" s="1"/>
  <c r="H399" s="1"/>
  <c r="H401" s="1"/>
  <c r="H1251"/>
  <c r="H1252" s="1"/>
  <c r="H1254" s="1"/>
  <c r="H1256" s="1"/>
  <c r="H801"/>
  <c r="H802" s="1"/>
  <c r="H804" s="1"/>
  <c r="H806" s="1"/>
  <c r="H576"/>
  <c r="H577" s="1"/>
  <c r="H579" s="1"/>
  <c r="H581" s="1"/>
  <c r="H306"/>
  <c r="H756"/>
  <c r="H757" s="1"/>
  <c r="H759" s="1"/>
  <c r="H761" s="1"/>
  <c r="H531"/>
  <c r="H532" s="1"/>
  <c r="H534" s="1"/>
  <c r="H536" s="1"/>
  <c r="H441"/>
  <c r="H442" s="1"/>
  <c r="H444" s="1"/>
  <c r="H446" s="1"/>
  <c r="H36"/>
  <c r="H261"/>
  <c r="H171"/>
  <c r="H216"/>
  <c r="H81"/>
  <c r="H126"/>
  <c r="F76" i="37"/>
  <c r="F78" s="1"/>
  <c r="F100" s="1"/>
  <c r="F102" s="1"/>
  <c r="F103" s="1"/>
  <c r="F105" s="1"/>
  <c r="F109" s="1"/>
  <c r="F118"/>
  <c r="F120" s="1"/>
  <c r="F122" s="1"/>
  <c r="F144" s="1"/>
  <c r="F146" s="1"/>
  <c r="F147" s="1"/>
  <c r="F149" s="1"/>
  <c r="F153" s="1"/>
  <c r="C747" i="40"/>
  <c r="C342"/>
  <c r="E830"/>
  <c r="E831" s="1"/>
  <c r="E1145"/>
  <c r="E1146" s="1"/>
  <c r="F110"/>
  <c r="F111" s="1"/>
  <c r="F113" s="1"/>
  <c r="F117" s="1"/>
  <c r="G716"/>
  <c r="G1166"/>
  <c r="G761"/>
  <c r="G1256"/>
  <c r="G851"/>
  <c r="G1211"/>
  <c r="C207"/>
  <c r="E605"/>
  <c r="E606" s="1"/>
  <c r="E608" s="1"/>
  <c r="E965"/>
  <c r="E966" s="1"/>
  <c r="E920"/>
  <c r="E921" s="1"/>
  <c r="E1280"/>
  <c r="E1281" s="1"/>
  <c r="E1190"/>
  <c r="E1191" s="1"/>
  <c r="E1193" s="1"/>
  <c r="E1197" s="1"/>
  <c r="E695"/>
  <c r="E696" s="1"/>
  <c r="C297"/>
  <c r="O90" i="37"/>
  <c r="O43"/>
  <c r="C1257" i="36"/>
  <c r="C1159"/>
  <c r="Q361"/>
  <c r="B356"/>
  <c r="Q589"/>
  <c r="B584"/>
  <c r="Q665"/>
  <c r="B660"/>
  <c r="Q247"/>
  <c r="B242"/>
  <c r="Q475"/>
  <c r="B470"/>
  <c r="Q893"/>
  <c r="B888"/>
  <c r="Q779"/>
  <c r="B774"/>
  <c r="Q931"/>
  <c r="B926"/>
  <c r="Q703"/>
  <c r="B698"/>
  <c r="Q1007"/>
  <c r="B1002"/>
  <c r="Q627"/>
  <c r="B622"/>
  <c r="Q285"/>
  <c r="B280"/>
  <c r="Q741"/>
  <c r="B736"/>
  <c r="Q209"/>
  <c r="B204"/>
  <c r="Q817"/>
  <c r="B812"/>
  <c r="Q1045"/>
  <c r="B1040"/>
  <c r="Q855"/>
  <c r="B850"/>
  <c r="Q1083"/>
  <c r="B1078"/>
  <c r="Q399"/>
  <c r="B394"/>
  <c r="Q437"/>
  <c r="B432"/>
  <c r="Q513"/>
  <c r="B508"/>
  <c r="Q323"/>
  <c r="B318"/>
  <c r="Q969"/>
  <c r="B964"/>
  <c r="Q551"/>
  <c r="B546"/>
  <c r="Q1132"/>
  <c r="B1127"/>
  <c r="Q1181"/>
  <c r="B1176"/>
  <c r="Q1279"/>
  <c r="B1274"/>
  <c r="Q1230"/>
  <c r="B1225"/>
  <c r="J1216"/>
  <c r="J1265"/>
  <c r="J1215"/>
  <c r="J1264"/>
  <c r="I1217"/>
  <c r="I1218" s="1"/>
  <c r="I1220" s="1"/>
  <c r="I1222" s="1"/>
  <c r="I1237" s="1"/>
  <c r="I1239" s="1"/>
  <c r="I1240" s="1"/>
  <c r="I1242" s="1"/>
  <c r="I1246" s="1"/>
  <c r="I1266"/>
  <c r="I1267" s="1"/>
  <c r="I1269" s="1"/>
  <c r="I1271" s="1"/>
  <c r="I1286" s="1"/>
  <c r="F1289"/>
  <c r="H1271"/>
  <c r="C1306"/>
  <c r="H1190"/>
  <c r="H1191" s="1"/>
  <c r="H1193" s="1"/>
  <c r="H1197" s="1"/>
  <c r="J1118"/>
  <c r="J1167"/>
  <c r="I1119"/>
  <c r="I1120" s="1"/>
  <c r="I1122" s="1"/>
  <c r="I1124" s="1"/>
  <c r="I1139" s="1"/>
  <c r="I1141" s="1"/>
  <c r="I1142" s="1"/>
  <c r="I1144" s="1"/>
  <c r="I1148" s="1"/>
  <c r="I1168"/>
  <c r="I1169" s="1"/>
  <c r="I1171" s="1"/>
  <c r="I1173" s="1"/>
  <c r="J1117"/>
  <c r="J1166"/>
  <c r="G1191"/>
  <c r="C1208"/>
  <c r="H1142"/>
  <c r="J1031"/>
  <c r="J1069"/>
  <c r="I1032"/>
  <c r="I1070"/>
  <c r="J1030"/>
  <c r="J1068"/>
  <c r="C1075"/>
  <c r="E62" i="37"/>
  <c r="C1052" i="36"/>
  <c r="C1054" s="1"/>
  <c r="J954"/>
  <c r="J992"/>
  <c r="J955"/>
  <c r="J993"/>
  <c r="I956"/>
  <c r="I994"/>
  <c r="C999"/>
  <c r="C976"/>
  <c r="C978" s="1"/>
  <c r="J878"/>
  <c r="J916"/>
  <c r="J879"/>
  <c r="J917"/>
  <c r="I880"/>
  <c r="I881" s="1"/>
  <c r="I883" s="1"/>
  <c r="I885" s="1"/>
  <c r="I900" s="1"/>
  <c r="I918"/>
  <c r="J80"/>
  <c r="J194"/>
  <c r="J536"/>
  <c r="J612"/>
  <c r="J688"/>
  <c r="J42"/>
  <c r="J270"/>
  <c r="J308"/>
  <c r="J422"/>
  <c r="J460"/>
  <c r="J764"/>
  <c r="L15" i="23"/>
  <c r="J118" i="36"/>
  <c r="J156"/>
  <c r="J232"/>
  <c r="J346"/>
  <c r="J384"/>
  <c r="J498"/>
  <c r="J574"/>
  <c r="J650"/>
  <c r="J726"/>
  <c r="C923"/>
  <c r="I902"/>
  <c r="I903" s="1"/>
  <c r="I905" s="1"/>
  <c r="I909" s="1"/>
  <c r="I804"/>
  <c r="I842"/>
  <c r="J803"/>
  <c r="J841"/>
  <c r="C862"/>
  <c r="C864" s="1"/>
  <c r="P87" i="37"/>
  <c r="P131" s="1"/>
  <c r="P40"/>
  <c r="G93"/>
  <c r="G98" s="1"/>
  <c r="Q85"/>
  <c r="Q129" s="1"/>
  <c r="Q38"/>
  <c r="J20" i="22"/>
  <c r="H34" i="37"/>
  <c r="I34" i="22"/>
  <c r="P88" i="37"/>
  <c r="P132" s="1"/>
  <c r="J71"/>
  <c r="J115" s="1"/>
  <c r="J72"/>
  <c r="J116" s="1"/>
  <c r="H73"/>
  <c r="H117" s="1"/>
  <c r="G74"/>
  <c r="E100"/>
  <c r="E102" s="1"/>
  <c r="F53"/>
  <c r="F55" s="1"/>
  <c r="F56" s="1"/>
  <c r="F58" s="1"/>
  <c r="F62" s="1"/>
  <c r="H15" i="22"/>
  <c r="H17" s="1"/>
  <c r="G27" i="37"/>
  <c r="G29" s="1"/>
  <c r="G31" s="1"/>
  <c r="J24"/>
  <c r="I13" i="22"/>
  <c r="C58" i="37"/>
  <c r="Q29" i="22"/>
  <c r="Q32" s="1"/>
  <c r="R27"/>
  <c r="P41" i="37"/>
  <c r="J12" i="22"/>
  <c r="H26" i="37"/>
  <c r="J25"/>
  <c r="L11" i="22"/>
  <c r="I766" i="36"/>
  <c r="I767" s="1"/>
  <c r="I166"/>
  <c r="I171" s="1"/>
  <c r="I176" s="1"/>
  <c r="M167"/>
  <c r="G313"/>
  <c r="G788"/>
  <c r="G789" s="1"/>
  <c r="G791" s="1"/>
  <c r="G795" s="1"/>
  <c r="J727"/>
  <c r="J765"/>
  <c r="H731"/>
  <c r="H733" s="1"/>
  <c r="H748" s="1"/>
  <c r="H750" s="1"/>
  <c r="H751" s="1"/>
  <c r="H753" s="1"/>
  <c r="H757" s="1"/>
  <c r="H769"/>
  <c r="F786"/>
  <c r="F788" s="1"/>
  <c r="D791"/>
  <c r="I690"/>
  <c r="I691" s="1"/>
  <c r="I728"/>
  <c r="I729" s="1"/>
  <c r="J651"/>
  <c r="J689"/>
  <c r="H693"/>
  <c r="F710"/>
  <c r="D715"/>
  <c r="I614"/>
  <c r="I615" s="1"/>
  <c r="I652"/>
  <c r="I653" s="1"/>
  <c r="C657"/>
  <c r="C634"/>
  <c r="C636" s="1"/>
  <c r="I538"/>
  <c r="I539" s="1"/>
  <c r="I576"/>
  <c r="I577" s="1"/>
  <c r="C581"/>
  <c r="C558"/>
  <c r="C560" s="1"/>
  <c r="I462"/>
  <c r="I500"/>
  <c r="I501" s="1"/>
  <c r="H311"/>
  <c r="J461"/>
  <c r="C520"/>
  <c r="C522" s="1"/>
  <c r="C467"/>
  <c r="I386"/>
  <c r="I387" s="1"/>
  <c r="I389" s="1"/>
  <c r="I391" s="1"/>
  <c r="I406" s="1"/>
  <c r="I408" s="1"/>
  <c r="I409" s="1"/>
  <c r="I411" s="1"/>
  <c r="I415" s="1"/>
  <c r="I424"/>
  <c r="J385"/>
  <c r="J423"/>
  <c r="C444"/>
  <c r="C446" s="1"/>
  <c r="H408"/>
  <c r="H409" s="1"/>
  <c r="E332"/>
  <c r="E333" s="1"/>
  <c r="E335" s="1"/>
  <c r="E339" s="1"/>
  <c r="E294"/>
  <c r="E295" s="1"/>
  <c r="E297" s="1"/>
  <c r="E301" s="1"/>
  <c r="E256"/>
  <c r="E257" s="1"/>
  <c r="E259" s="1"/>
  <c r="E263" s="1"/>
  <c r="H368"/>
  <c r="H370" s="1"/>
  <c r="J309"/>
  <c r="J347"/>
  <c r="I310"/>
  <c r="I349"/>
  <c r="I351" s="1"/>
  <c r="I353" s="1"/>
  <c r="I368" s="1"/>
  <c r="F277"/>
  <c r="F292" s="1"/>
  <c r="F315"/>
  <c r="F330" s="1"/>
  <c r="D333"/>
  <c r="C339"/>
  <c r="G237"/>
  <c r="G275"/>
  <c r="C297"/>
  <c r="J233"/>
  <c r="J271"/>
  <c r="H235"/>
  <c r="H273"/>
  <c r="I234"/>
  <c r="I272"/>
  <c r="F201"/>
  <c r="F216" s="1"/>
  <c r="F218" s="1"/>
  <c r="F239"/>
  <c r="D257"/>
  <c r="C263"/>
  <c r="J30" i="23"/>
  <c r="G161" i="36"/>
  <c r="G199"/>
  <c r="J157"/>
  <c r="J195"/>
  <c r="H159"/>
  <c r="H197"/>
  <c r="I158"/>
  <c r="I196"/>
  <c r="G176"/>
  <c r="F125"/>
  <c r="F140" s="1"/>
  <c r="F142" s="1"/>
  <c r="F143" s="1"/>
  <c r="F145" s="1"/>
  <c r="F149" s="1"/>
  <c r="F163"/>
  <c r="D180"/>
  <c r="D181" s="1"/>
  <c r="C187"/>
  <c r="I90"/>
  <c r="I95" s="1"/>
  <c r="I100" s="1"/>
  <c r="I128"/>
  <c r="M91"/>
  <c r="M129"/>
  <c r="C145"/>
  <c r="G85"/>
  <c r="G123"/>
  <c r="J81"/>
  <c r="J119"/>
  <c r="H83"/>
  <c r="H121"/>
  <c r="I82"/>
  <c r="I120"/>
  <c r="E104"/>
  <c r="E105" s="1"/>
  <c r="E107" s="1"/>
  <c r="E111" s="1"/>
  <c r="D105"/>
  <c r="F49"/>
  <c r="F87"/>
  <c r="K25" i="23"/>
  <c r="I52" i="36"/>
  <c r="I57" s="1"/>
  <c r="I62" s="1"/>
  <c r="O26" i="23"/>
  <c r="M53" i="36"/>
  <c r="H22" i="23"/>
  <c r="G47" i="36"/>
  <c r="I20" i="23"/>
  <c r="H45" i="36"/>
  <c r="K17" i="23"/>
  <c r="I44" i="36"/>
  <c r="L16" i="23"/>
  <c r="J43" i="36"/>
  <c r="F13" i="29"/>
  <c r="F12"/>
  <c r="H15" i="2"/>
  <c r="I43"/>
  <c r="C7" i="29"/>
  <c r="E5" i="9"/>
  <c r="F62" i="2"/>
  <c r="F66" s="1"/>
  <c r="F14" s="1"/>
  <c r="F18" s="1"/>
  <c r="F5" i="9" s="1"/>
  <c r="I16"/>
  <c r="K5" i="29"/>
  <c r="E52" i="23"/>
  <c r="B13" i="29"/>
  <c r="B12"/>
  <c r="J37" i="22"/>
  <c r="J47"/>
  <c r="E47"/>
  <c r="E37"/>
  <c r="E39" s="1"/>
  <c r="E41" s="1"/>
  <c r="E43" s="1"/>
  <c r="E44" s="1"/>
  <c r="E46" s="1"/>
  <c r="H37"/>
  <c r="H39" s="1"/>
  <c r="H47"/>
  <c r="M47"/>
  <c r="M37"/>
  <c r="K37"/>
  <c r="K47"/>
  <c r="I47"/>
  <c r="I37"/>
  <c r="G37"/>
  <c r="G39" s="1"/>
  <c r="G41" s="1"/>
  <c r="G43" s="1"/>
  <c r="G44" s="1"/>
  <c r="G46" s="1"/>
  <c r="G47"/>
  <c r="F47"/>
  <c r="F37"/>
  <c r="F39" s="1"/>
  <c r="F41" s="1"/>
  <c r="F43" s="1"/>
  <c r="F44" s="1"/>
  <c r="F46" s="1"/>
  <c r="D47"/>
  <c r="J18" i="23"/>
  <c r="I30" i="2"/>
  <c r="H34"/>
  <c r="H17" s="1"/>
  <c r="L10" i="22"/>
  <c r="H7" i="9"/>
  <c r="H21" s="1"/>
  <c r="G10" i="29"/>
  <c r="F52" i="23"/>
  <c r="I17" i="9"/>
  <c r="K6" i="29"/>
  <c r="H20" i="9"/>
  <c r="I37" i="5"/>
  <c r="I12" s="1"/>
  <c r="I14" s="1"/>
  <c r="J32"/>
  <c r="H828" i="40" l="1"/>
  <c r="H830" s="1"/>
  <c r="H831" s="1"/>
  <c r="H833" s="1"/>
  <c r="H837" s="1"/>
  <c r="H1233"/>
  <c r="H1235" s="1"/>
  <c r="H1236" s="1"/>
  <c r="H1238" s="1"/>
  <c r="H1242" s="1"/>
  <c r="H783"/>
  <c r="H785" s="1"/>
  <c r="H786" s="1"/>
  <c r="H788" s="1"/>
  <c r="H792" s="1"/>
  <c r="H1323"/>
  <c r="H1325" s="1"/>
  <c r="H1326" s="1"/>
  <c r="H1328" s="1"/>
  <c r="H1332" s="1"/>
  <c r="H738"/>
  <c r="H740" s="1"/>
  <c r="H741" s="1"/>
  <c r="H743" s="1"/>
  <c r="H747" s="1"/>
  <c r="H693"/>
  <c r="H695" s="1"/>
  <c r="H696" s="1"/>
  <c r="H698" s="1"/>
  <c r="H702" s="1"/>
  <c r="H1278"/>
  <c r="P503"/>
  <c r="P593"/>
  <c r="P233"/>
  <c r="H1188"/>
  <c r="H1190" s="1"/>
  <c r="H1191" s="1"/>
  <c r="H1193" s="1"/>
  <c r="H1197" s="1"/>
  <c r="H1008"/>
  <c r="H1010" s="1"/>
  <c r="H1011" s="1"/>
  <c r="H1013" s="1"/>
  <c r="H1017" s="1"/>
  <c r="P638"/>
  <c r="H558"/>
  <c r="H560" s="1"/>
  <c r="H561" s="1"/>
  <c r="H563" s="1"/>
  <c r="H567" s="1"/>
  <c r="H873"/>
  <c r="H875" s="1"/>
  <c r="H876" s="1"/>
  <c r="H878" s="1"/>
  <c r="H882" s="1"/>
  <c r="P368"/>
  <c r="P98"/>
  <c r="H513"/>
  <c r="H515" s="1"/>
  <c r="H516" s="1"/>
  <c r="H518" s="1"/>
  <c r="H522" s="1"/>
  <c r="P413"/>
  <c r="P1178"/>
  <c r="P188"/>
  <c r="P323"/>
  <c r="P728"/>
  <c r="P134" i="37"/>
  <c r="P1133" i="40"/>
  <c r="P1313"/>
  <c r="P953"/>
  <c r="P998"/>
  <c r="Q1176"/>
  <c r="Q1041"/>
  <c r="Q1311"/>
  <c r="Q1266"/>
  <c r="Q996"/>
  <c r="Q1221"/>
  <c r="Q1086"/>
  <c r="Q816"/>
  <c r="Q681"/>
  <c r="Q1131"/>
  <c r="Q951"/>
  <c r="Q906"/>
  <c r="Q546"/>
  <c r="Q456"/>
  <c r="Q411"/>
  <c r="Q861"/>
  <c r="Q726"/>
  <c r="Q366"/>
  <c r="Q321"/>
  <c r="Q276"/>
  <c r="Q231"/>
  <c r="Q501"/>
  <c r="Q141"/>
  <c r="Q636"/>
  <c r="Q591"/>
  <c r="Q771"/>
  <c r="Q186"/>
  <c r="Q51"/>
  <c r="Q96"/>
  <c r="I1169"/>
  <c r="I1181" s="1"/>
  <c r="I1186" s="1"/>
  <c r="I1304"/>
  <c r="I1316" s="1"/>
  <c r="I1321" s="1"/>
  <c r="I1259"/>
  <c r="I1271" s="1"/>
  <c r="I1276" s="1"/>
  <c r="I1214"/>
  <c r="I1226" s="1"/>
  <c r="I1231" s="1"/>
  <c r="I1079"/>
  <c r="I1091" s="1"/>
  <c r="I1096" s="1"/>
  <c r="I989"/>
  <c r="I1001" s="1"/>
  <c r="I1006" s="1"/>
  <c r="I1034"/>
  <c r="I1046" s="1"/>
  <c r="I1051" s="1"/>
  <c r="I81" i="37"/>
  <c r="I93" s="1"/>
  <c r="I98" s="1"/>
  <c r="I1124" i="40"/>
  <c r="I1136" s="1"/>
  <c r="I1141" s="1"/>
  <c r="I719"/>
  <c r="I731" s="1"/>
  <c r="I736" s="1"/>
  <c r="I629"/>
  <c r="I641" s="1"/>
  <c r="I646" s="1"/>
  <c r="I359"/>
  <c r="I371" s="1"/>
  <c r="I376" s="1"/>
  <c r="I944"/>
  <c r="I956" s="1"/>
  <c r="I961" s="1"/>
  <c r="I179"/>
  <c r="I191" s="1"/>
  <c r="I196" s="1"/>
  <c r="I134"/>
  <c r="I146" s="1"/>
  <c r="I151" s="1"/>
  <c r="I854"/>
  <c r="I866" s="1"/>
  <c r="I871" s="1"/>
  <c r="I449"/>
  <c r="I461" s="1"/>
  <c r="I466" s="1"/>
  <c r="I404"/>
  <c r="I416" s="1"/>
  <c r="I421" s="1"/>
  <c r="I89"/>
  <c r="I101" s="1"/>
  <c r="I106" s="1"/>
  <c r="I44"/>
  <c r="I56" s="1"/>
  <c r="I61" s="1"/>
  <c r="I899"/>
  <c r="I911" s="1"/>
  <c r="I916" s="1"/>
  <c r="I764"/>
  <c r="I776" s="1"/>
  <c r="I781" s="1"/>
  <c r="I539"/>
  <c r="I551" s="1"/>
  <c r="I556" s="1"/>
  <c r="I224"/>
  <c r="I236" s="1"/>
  <c r="I241" s="1"/>
  <c r="I809"/>
  <c r="I821" s="1"/>
  <c r="I826" s="1"/>
  <c r="I674"/>
  <c r="I686" s="1"/>
  <c r="I691" s="1"/>
  <c r="I584"/>
  <c r="I596" s="1"/>
  <c r="I601" s="1"/>
  <c r="I494"/>
  <c r="I506" s="1"/>
  <c r="I511" s="1"/>
  <c r="I314"/>
  <c r="I326" s="1"/>
  <c r="I331" s="1"/>
  <c r="I269"/>
  <c r="I281" s="1"/>
  <c r="I286" s="1"/>
  <c r="H46" i="37"/>
  <c r="H51" s="1"/>
  <c r="H125"/>
  <c r="H137" s="1"/>
  <c r="H142" s="1"/>
  <c r="H918" i="40"/>
  <c r="H920" s="1"/>
  <c r="H921" s="1"/>
  <c r="H923" s="1"/>
  <c r="H927" s="1"/>
  <c r="H281"/>
  <c r="H286" s="1"/>
  <c r="H1046"/>
  <c r="H1051" s="1"/>
  <c r="H1053" s="1"/>
  <c r="H1055" s="1"/>
  <c r="H1056" s="1"/>
  <c r="H1058" s="1"/>
  <c r="H1062" s="1"/>
  <c r="P458"/>
  <c r="Q1220"/>
  <c r="Q1223" s="1"/>
  <c r="Q950"/>
  <c r="Q953" s="1"/>
  <c r="B953" s="1"/>
  <c r="Q1310"/>
  <c r="Q1265"/>
  <c r="Q995"/>
  <c r="Q770"/>
  <c r="Q1175"/>
  <c r="Q1040"/>
  <c r="Q860"/>
  <c r="Q635"/>
  <c r="Q1130"/>
  <c r="Q905"/>
  <c r="Q680"/>
  <c r="Q500"/>
  <c r="Q410"/>
  <c r="Q815"/>
  <c r="Q725"/>
  <c r="Q455"/>
  <c r="Q365"/>
  <c r="Q275"/>
  <c r="Q230"/>
  <c r="Q590"/>
  <c r="Q185"/>
  <c r="Q140"/>
  <c r="Q1085"/>
  <c r="Q320"/>
  <c r="Q323" s="1"/>
  <c r="Q50"/>
  <c r="Q545"/>
  <c r="Q95"/>
  <c r="H423"/>
  <c r="H425" s="1"/>
  <c r="H426" s="1"/>
  <c r="H428" s="1"/>
  <c r="H432" s="1"/>
  <c r="H963"/>
  <c r="H965" s="1"/>
  <c r="H966" s="1"/>
  <c r="H968" s="1"/>
  <c r="H972" s="1"/>
  <c r="P53"/>
  <c r="P548"/>
  <c r="P863"/>
  <c r="P1223"/>
  <c r="Q40" i="37"/>
  <c r="H468" i="40"/>
  <c r="H470" s="1"/>
  <c r="H471" s="1"/>
  <c r="H473" s="1"/>
  <c r="H477" s="1"/>
  <c r="H603"/>
  <c r="H605" s="1"/>
  <c r="H606" s="1"/>
  <c r="H608" s="1"/>
  <c r="H612" s="1"/>
  <c r="H648"/>
  <c r="H650" s="1"/>
  <c r="H651" s="1"/>
  <c r="H653" s="1"/>
  <c r="H657" s="1"/>
  <c r="H1098"/>
  <c r="H1100" s="1"/>
  <c r="H1101" s="1"/>
  <c r="H1103" s="1"/>
  <c r="H1107" s="1"/>
  <c r="H1143"/>
  <c r="H1145" s="1"/>
  <c r="H1146" s="1"/>
  <c r="H1148" s="1"/>
  <c r="H1152" s="1"/>
  <c r="H191"/>
  <c r="H196" s="1"/>
  <c r="P683"/>
  <c r="P143"/>
  <c r="P818"/>
  <c r="P278"/>
  <c r="P1043"/>
  <c r="P908"/>
  <c r="P1088"/>
  <c r="P1268"/>
  <c r="K1069"/>
  <c r="K304"/>
  <c r="K169"/>
  <c r="K1249"/>
  <c r="K1204"/>
  <c r="K1159"/>
  <c r="K1024"/>
  <c r="K979"/>
  <c r="K664"/>
  <c r="K619"/>
  <c r="K574"/>
  <c r="K484"/>
  <c r="K439"/>
  <c r="K214"/>
  <c r="K79"/>
  <c r="K1294"/>
  <c r="K1114"/>
  <c r="K889"/>
  <c r="K844"/>
  <c r="K799"/>
  <c r="K754"/>
  <c r="K709"/>
  <c r="K349"/>
  <c r="K124"/>
  <c r="K934"/>
  <c r="K529"/>
  <c r="K394"/>
  <c r="K259"/>
  <c r="K34"/>
  <c r="K1295"/>
  <c r="K1115"/>
  <c r="K1070"/>
  <c r="K350"/>
  <c r="K305"/>
  <c r="K1250"/>
  <c r="K1160"/>
  <c r="K980"/>
  <c r="K530"/>
  <c r="K485"/>
  <c r="K260"/>
  <c r="K215"/>
  <c r="K170"/>
  <c r="K125"/>
  <c r="K1205"/>
  <c r="K1025"/>
  <c r="K440"/>
  <c r="K395"/>
  <c r="K80"/>
  <c r="K35"/>
  <c r="G873"/>
  <c r="G783"/>
  <c r="G738"/>
  <c r="E833"/>
  <c r="G1008"/>
  <c r="G918"/>
  <c r="E743"/>
  <c r="G131"/>
  <c r="C72"/>
  <c r="E1238"/>
  <c r="E1058"/>
  <c r="H262"/>
  <c r="H264" s="1"/>
  <c r="H266" s="1"/>
  <c r="H307"/>
  <c r="H309" s="1"/>
  <c r="H311" s="1"/>
  <c r="H333" s="1"/>
  <c r="H335" s="1"/>
  <c r="H336" s="1"/>
  <c r="H338" s="1"/>
  <c r="H342" s="1"/>
  <c r="H352"/>
  <c r="H354" s="1"/>
  <c r="H356" s="1"/>
  <c r="H378" s="1"/>
  <c r="H380" s="1"/>
  <c r="H381" s="1"/>
  <c r="H383" s="1"/>
  <c r="H387" s="1"/>
  <c r="H172"/>
  <c r="H174" s="1"/>
  <c r="H176" s="1"/>
  <c r="H217"/>
  <c r="H219" s="1"/>
  <c r="H82"/>
  <c r="H84" s="1"/>
  <c r="H127"/>
  <c r="H129" s="1"/>
  <c r="H131" s="1"/>
  <c r="H153" s="1"/>
  <c r="H155" s="1"/>
  <c r="H156" s="1"/>
  <c r="H158" s="1"/>
  <c r="H162" s="1"/>
  <c r="H37"/>
  <c r="H39" s="1"/>
  <c r="E1283"/>
  <c r="E968"/>
  <c r="C252"/>
  <c r="E428"/>
  <c r="G423"/>
  <c r="G468"/>
  <c r="G513"/>
  <c r="E144" i="37"/>
  <c r="E1103" i="40"/>
  <c r="E290"/>
  <c r="E291" s="1"/>
  <c r="G1098"/>
  <c r="G828"/>
  <c r="G1143"/>
  <c r="F380"/>
  <c r="F381" s="1"/>
  <c r="F383" s="1"/>
  <c r="E788"/>
  <c r="E563"/>
  <c r="I756"/>
  <c r="I757" s="1"/>
  <c r="I759" s="1"/>
  <c r="I531"/>
  <c r="I532" s="1"/>
  <c r="I534" s="1"/>
  <c r="I536" s="1"/>
  <c r="I441"/>
  <c r="I442" s="1"/>
  <c r="I444" s="1"/>
  <c r="I446" s="1"/>
  <c r="I1296"/>
  <c r="I1297" s="1"/>
  <c r="I1299" s="1"/>
  <c r="I1301" s="1"/>
  <c r="I1161"/>
  <c r="I1162" s="1"/>
  <c r="I1164" s="1"/>
  <c r="I1166" s="1"/>
  <c r="I1116"/>
  <c r="I1117" s="1"/>
  <c r="I1119" s="1"/>
  <c r="I1121" s="1"/>
  <c r="I936"/>
  <c r="I937" s="1"/>
  <c r="I939" s="1"/>
  <c r="I891"/>
  <c r="I892" s="1"/>
  <c r="I894" s="1"/>
  <c r="I896" s="1"/>
  <c r="I711"/>
  <c r="I712" s="1"/>
  <c r="I714" s="1"/>
  <c r="I716" s="1"/>
  <c r="I666"/>
  <c r="I667" s="1"/>
  <c r="I669" s="1"/>
  <c r="I671" s="1"/>
  <c r="I486"/>
  <c r="I487" s="1"/>
  <c r="I489" s="1"/>
  <c r="I491" s="1"/>
  <c r="I351"/>
  <c r="I1206"/>
  <c r="I1207" s="1"/>
  <c r="I1209" s="1"/>
  <c r="I1211" s="1"/>
  <c r="I1071"/>
  <c r="I1072" s="1"/>
  <c r="I1074" s="1"/>
  <c r="I1076" s="1"/>
  <c r="I1026"/>
  <c r="I1027" s="1"/>
  <c r="I1029" s="1"/>
  <c r="I1031" s="1"/>
  <c r="I981"/>
  <c r="I982" s="1"/>
  <c r="I984" s="1"/>
  <c r="I986" s="1"/>
  <c r="I846"/>
  <c r="I847" s="1"/>
  <c r="I849" s="1"/>
  <c r="I851" s="1"/>
  <c r="I621"/>
  <c r="I622" s="1"/>
  <c r="I624" s="1"/>
  <c r="I626" s="1"/>
  <c r="I396"/>
  <c r="I397" s="1"/>
  <c r="I399" s="1"/>
  <c r="I401" s="1"/>
  <c r="I261"/>
  <c r="I1251"/>
  <c r="I1252" s="1"/>
  <c r="I1254" s="1"/>
  <c r="I801"/>
  <c r="I802" s="1"/>
  <c r="I804" s="1"/>
  <c r="I806" s="1"/>
  <c r="I576"/>
  <c r="I577" s="1"/>
  <c r="I579" s="1"/>
  <c r="I581" s="1"/>
  <c r="I306"/>
  <c r="I126"/>
  <c r="I36"/>
  <c r="I171"/>
  <c r="I216"/>
  <c r="I81"/>
  <c r="E698"/>
  <c r="G1233"/>
  <c r="G1278"/>
  <c r="G1188"/>
  <c r="E1148"/>
  <c r="C387"/>
  <c r="G1323"/>
  <c r="F243"/>
  <c r="E65"/>
  <c r="E66" s="1"/>
  <c r="E1328"/>
  <c r="G176"/>
  <c r="E653"/>
  <c r="E1013"/>
  <c r="G76" i="37"/>
  <c r="G78" s="1"/>
  <c r="G118"/>
  <c r="G120" s="1"/>
  <c r="G122" s="1"/>
  <c r="G144" s="1"/>
  <c r="G146" s="1"/>
  <c r="G147" s="1"/>
  <c r="G149" s="1"/>
  <c r="G153" s="1"/>
  <c r="E923" i="40"/>
  <c r="E612"/>
  <c r="H1280"/>
  <c r="H1281" s="1"/>
  <c r="H1283" s="1"/>
  <c r="H1287" s="1"/>
  <c r="G108"/>
  <c r="G311"/>
  <c r="C117"/>
  <c r="C153" i="37"/>
  <c r="G1053" i="40"/>
  <c r="G603"/>
  <c r="G963"/>
  <c r="G648"/>
  <c r="G558"/>
  <c r="G693"/>
  <c r="E155"/>
  <c r="E156" s="1"/>
  <c r="E882"/>
  <c r="E522"/>
  <c r="Q290" i="36"/>
  <c r="B290" s="1"/>
  <c r="B285"/>
  <c r="Q632"/>
  <c r="B632" s="1"/>
  <c r="B627"/>
  <c r="Q1012"/>
  <c r="B1012" s="1"/>
  <c r="B1007"/>
  <c r="Q708"/>
  <c r="B708" s="1"/>
  <c r="B703"/>
  <c r="Q936"/>
  <c r="B936" s="1"/>
  <c r="B931"/>
  <c r="Q784"/>
  <c r="B784" s="1"/>
  <c r="B779"/>
  <c r="Q898"/>
  <c r="B898" s="1"/>
  <c r="B893"/>
  <c r="Q480"/>
  <c r="B480" s="1"/>
  <c r="B475"/>
  <c r="Q252"/>
  <c r="B252" s="1"/>
  <c r="B247"/>
  <c r="Q670"/>
  <c r="B670" s="1"/>
  <c r="B665"/>
  <c r="Q594"/>
  <c r="B594" s="1"/>
  <c r="B589"/>
  <c r="Q366"/>
  <c r="B366" s="1"/>
  <c r="B361"/>
  <c r="Q1235"/>
  <c r="B1235" s="1"/>
  <c r="B1230"/>
  <c r="Q1284"/>
  <c r="B1284" s="1"/>
  <c r="B1279"/>
  <c r="Q1186"/>
  <c r="B1186" s="1"/>
  <c r="B1181"/>
  <c r="Q1137"/>
  <c r="B1137" s="1"/>
  <c r="B1132"/>
  <c r="Q556"/>
  <c r="B556" s="1"/>
  <c r="B551"/>
  <c r="Q974"/>
  <c r="B974" s="1"/>
  <c r="B969"/>
  <c r="Q328"/>
  <c r="B328" s="1"/>
  <c r="B323"/>
  <c r="Q518"/>
  <c r="B518" s="1"/>
  <c r="B513"/>
  <c r="Q442"/>
  <c r="B442" s="1"/>
  <c r="B437"/>
  <c r="Q404"/>
  <c r="B404" s="1"/>
  <c r="B399"/>
  <c r="Q1088"/>
  <c r="B1088" s="1"/>
  <c r="B1083"/>
  <c r="Q860"/>
  <c r="B860" s="1"/>
  <c r="B855"/>
  <c r="Q1050"/>
  <c r="B1050" s="1"/>
  <c r="B1045"/>
  <c r="Q822"/>
  <c r="B822" s="1"/>
  <c r="B817"/>
  <c r="Q214"/>
  <c r="B214" s="1"/>
  <c r="B209"/>
  <c r="Q746"/>
  <c r="B746" s="1"/>
  <c r="B741"/>
  <c r="P43" i="37"/>
  <c r="P90"/>
  <c r="E1252" i="36"/>
  <c r="E1255" s="1"/>
  <c r="E1257" s="1"/>
  <c r="E1301"/>
  <c r="D1252"/>
  <c r="D1255" s="1"/>
  <c r="D1257" s="1"/>
  <c r="D1301"/>
  <c r="I1288"/>
  <c r="I1289" s="1"/>
  <c r="I1291" s="1"/>
  <c r="I1295" s="1"/>
  <c r="K1216"/>
  <c r="K1265"/>
  <c r="K1215"/>
  <c r="K1264"/>
  <c r="J1217"/>
  <c r="J1218" s="1"/>
  <c r="J1220" s="1"/>
  <c r="J1222" s="1"/>
  <c r="J1237" s="1"/>
  <c r="J1239" s="1"/>
  <c r="J1240" s="1"/>
  <c r="J1242" s="1"/>
  <c r="J1246" s="1"/>
  <c r="J1266"/>
  <c r="J1267" s="1"/>
  <c r="J1269" s="1"/>
  <c r="H1286"/>
  <c r="H1288" s="1"/>
  <c r="F1291"/>
  <c r="E1154"/>
  <c r="E1157" s="1"/>
  <c r="E1159" s="1"/>
  <c r="E1203"/>
  <c r="D1154"/>
  <c r="D1157" s="1"/>
  <c r="D1159" s="1"/>
  <c r="D1203"/>
  <c r="K1118"/>
  <c r="K1167"/>
  <c r="J1119"/>
  <c r="J1120" s="1"/>
  <c r="J1122" s="1"/>
  <c r="J1124" s="1"/>
  <c r="J1139" s="1"/>
  <c r="J1141" s="1"/>
  <c r="J1142" s="1"/>
  <c r="J1144" s="1"/>
  <c r="J1148" s="1"/>
  <c r="J1168"/>
  <c r="J1169" s="1"/>
  <c r="J1171" s="1"/>
  <c r="J1173" s="1"/>
  <c r="J1188" s="1"/>
  <c r="I1188"/>
  <c r="I1190" s="1"/>
  <c r="G1193"/>
  <c r="K1117"/>
  <c r="K1166"/>
  <c r="H1144"/>
  <c r="F55" i="23"/>
  <c r="E1071" i="36" s="1"/>
  <c r="E1073" s="1"/>
  <c r="E1075" s="1"/>
  <c r="E1090" s="1"/>
  <c r="E1092" s="1"/>
  <c r="E1093" s="1"/>
  <c r="E1095" s="1"/>
  <c r="E1099" s="1"/>
  <c r="E1105"/>
  <c r="E1108" s="1"/>
  <c r="E55" i="23"/>
  <c r="D1071" i="36" s="1"/>
  <c r="D1073" s="1"/>
  <c r="D1075" s="1"/>
  <c r="D1090" s="1"/>
  <c r="D1092" s="1"/>
  <c r="D1093" s="1"/>
  <c r="D1095" s="1"/>
  <c r="D1099" s="1"/>
  <c r="D1105"/>
  <c r="D1108" s="1"/>
  <c r="K1031"/>
  <c r="K1069"/>
  <c r="J1032"/>
  <c r="J1070"/>
  <c r="K1030"/>
  <c r="K1068"/>
  <c r="C1090"/>
  <c r="C1092" s="1"/>
  <c r="C62" i="37"/>
  <c r="K460" i="36"/>
  <c r="K726"/>
  <c r="E995"/>
  <c r="E997" s="1"/>
  <c r="E999" s="1"/>
  <c r="E1014" s="1"/>
  <c r="E1016" s="1"/>
  <c r="E1017" s="1"/>
  <c r="E1019" s="1"/>
  <c r="E1023" s="1"/>
  <c r="E1033"/>
  <c r="E1035" s="1"/>
  <c r="E1037" s="1"/>
  <c r="E1052" s="1"/>
  <c r="D995"/>
  <c r="D997" s="1"/>
  <c r="D999" s="1"/>
  <c r="D1014" s="1"/>
  <c r="D1016" s="1"/>
  <c r="D1017" s="1"/>
  <c r="D1019" s="1"/>
  <c r="D1023" s="1"/>
  <c r="D1033"/>
  <c r="D1035" s="1"/>
  <c r="C1055"/>
  <c r="C1057" s="1"/>
  <c r="K954"/>
  <c r="K992"/>
  <c r="K955"/>
  <c r="K993"/>
  <c r="J956"/>
  <c r="J994"/>
  <c r="C1014"/>
  <c r="C1016" s="1"/>
  <c r="K118"/>
  <c r="K156"/>
  <c r="K270"/>
  <c r="K308"/>
  <c r="D919"/>
  <c r="D921" s="1"/>
  <c r="D923" s="1"/>
  <c r="D938" s="1"/>
  <c r="D940" s="1"/>
  <c r="D941" s="1"/>
  <c r="D943" s="1"/>
  <c r="D947" s="1"/>
  <c r="D957"/>
  <c r="D959" s="1"/>
  <c r="E919"/>
  <c r="E921" s="1"/>
  <c r="E923" s="1"/>
  <c r="E938" s="1"/>
  <c r="E940" s="1"/>
  <c r="E941" s="1"/>
  <c r="E943" s="1"/>
  <c r="E947" s="1"/>
  <c r="E957"/>
  <c r="E959" s="1"/>
  <c r="E961" s="1"/>
  <c r="E976" s="1"/>
  <c r="E978" s="1"/>
  <c r="C979"/>
  <c r="K878"/>
  <c r="K916"/>
  <c r="K879"/>
  <c r="K917"/>
  <c r="J880"/>
  <c r="J881" s="1"/>
  <c r="J883" s="1"/>
  <c r="J885" s="1"/>
  <c r="J900" s="1"/>
  <c r="J902" s="1"/>
  <c r="J903" s="1"/>
  <c r="J905" s="1"/>
  <c r="J909" s="1"/>
  <c r="J918"/>
  <c r="M15" i="23"/>
  <c r="L1264" i="36" s="1"/>
  <c r="K384"/>
  <c r="K536"/>
  <c r="K650"/>
  <c r="K42"/>
  <c r="K80"/>
  <c r="K194"/>
  <c r="K232"/>
  <c r="K346"/>
  <c r="K422"/>
  <c r="K498"/>
  <c r="K574"/>
  <c r="K612"/>
  <c r="K688"/>
  <c r="K764"/>
  <c r="C938"/>
  <c r="C940" s="1"/>
  <c r="J804"/>
  <c r="J842"/>
  <c r="K803"/>
  <c r="K841"/>
  <c r="E805"/>
  <c r="E807" s="1"/>
  <c r="E809" s="1"/>
  <c r="E824" s="1"/>
  <c r="E843"/>
  <c r="E845" s="1"/>
  <c r="E847" s="1"/>
  <c r="E862" s="1"/>
  <c r="D805"/>
  <c r="D807" s="1"/>
  <c r="D809" s="1"/>
  <c r="D843"/>
  <c r="D845" s="1"/>
  <c r="C865"/>
  <c r="I39" i="22"/>
  <c r="K20"/>
  <c r="I34" i="37"/>
  <c r="J34" i="22"/>
  <c r="J39" s="1"/>
  <c r="Q88" i="37"/>
  <c r="Q132" s="1"/>
  <c r="K71"/>
  <c r="K115" s="1"/>
  <c r="K72"/>
  <c r="K116" s="1"/>
  <c r="E103"/>
  <c r="I73"/>
  <c r="I117" s="1"/>
  <c r="H74"/>
  <c r="Q41"/>
  <c r="G53"/>
  <c r="G55" s="1"/>
  <c r="G56" s="1"/>
  <c r="I15" i="22"/>
  <c r="H27" i="37"/>
  <c r="H29" s="1"/>
  <c r="H31" s="1"/>
  <c r="K24"/>
  <c r="J13" i="22"/>
  <c r="R29"/>
  <c r="R32" s="1"/>
  <c r="H41"/>
  <c r="H43" s="1"/>
  <c r="H44" s="1"/>
  <c r="H46" s="1"/>
  <c r="H50" s="1"/>
  <c r="K12"/>
  <c r="I26" i="37"/>
  <c r="K25"/>
  <c r="M11" i="22"/>
  <c r="J766" i="36"/>
  <c r="J767" s="1"/>
  <c r="N167"/>
  <c r="J166"/>
  <c r="J171" s="1"/>
  <c r="J176" s="1"/>
  <c r="H313"/>
  <c r="K727"/>
  <c r="K765"/>
  <c r="I731"/>
  <c r="I733" s="1"/>
  <c r="I748" s="1"/>
  <c r="I750" s="1"/>
  <c r="I751" s="1"/>
  <c r="I753" s="1"/>
  <c r="I757" s="1"/>
  <c r="I769"/>
  <c r="I771" s="1"/>
  <c r="I786" s="1"/>
  <c r="D795"/>
  <c r="F789"/>
  <c r="H771"/>
  <c r="J690"/>
  <c r="J691" s="1"/>
  <c r="J728"/>
  <c r="J729" s="1"/>
  <c r="K651"/>
  <c r="K689"/>
  <c r="I693"/>
  <c r="I695" s="1"/>
  <c r="I710" s="1"/>
  <c r="I712" s="1"/>
  <c r="I713" s="1"/>
  <c r="I715" s="1"/>
  <c r="I719" s="1"/>
  <c r="D719"/>
  <c r="F712"/>
  <c r="F713" s="1"/>
  <c r="H695"/>
  <c r="E655"/>
  <c r="E657" s="1"/>
  <c r="E672" s="1"/>
  <c r="E674" s="1"/>
  <c r="E675" s="1"/>
  <c r="E677" s="1"/>
  <c r="E681" s="1"/>
  <c r="D655"/>
  <c r="D657" s="1"/>
  <c r="D672" s="1"/>
  <c r="D674" s="1"/>
  <c r="D675" s="1"/>
  <c r="D677" s="1"/>
  <c r="D681" s="1"/>
  <c r="J614"/>
  <c r="J615" s="1"/>
  <c r="J652"/>
  <c r="J653" s="1"/>
  <c r="C672"/>
  <c r="C674" s="1"/>
  <c r="E579"/>
  <c r="E581" s="1"/>
  <c r="E596" s="1"/>
  <c r="E617"/>
  <c r="E619" s="1"/>
  <c r="E634" s="1"/>
  <c r="D579"/>
  <c r="D581" s="1"/>
  <c r="D596" s="1"/>
  <c r="D617"/>
  <c r="C637"/>
  <c r="C639" s="1"/>
  <c r="J538"/>
  <c r="J539" s="1"/>
  <c r="J576"/>
  <c r="J577" s="1"/>
  <c r="C596"/>
  <c r="C598" s="1"/>
  <c r="E503"/>
  <c r="E505" s="1"/>
  <c r="E520" s="1"/>
  <c r="E541"/>
  <c r="E543" s="1"/>
  <c r="E558" s="1"/>
  <c r="D503"/>
  <c r="D505" s="1"/>
  <c r="D541"/>
  <c r="C561"/>
  <c r="C563" s="1"/>
  <c r="J462"/>
  <c r="J500"/>
  <c r="J501" s="1"/>
  <c r="I311"/>
  <c r="K461"/>
  <c r="C523"/>
  <c r="C482"/>
  <c r="C484" s="1"/>
  <c r="E425"/>
  <c r="E427" s="1"/>
  <c r="E429" s="1"/>
  <c r="E444" s="1"/>
  <c r="E463"/>
  <c r="E465" s="1"/>
  <c r="E467" s="1"/>
  <c r="E482" s="1"/>
  <c r="E484" s="1"/>
  <c r="D425"/>
  <c r="D427" s="1"/>
  <c r="D429" s="1"/>
  <c r="D463"/>
  <c r="D465" s="1"/>
  <c r="J386"/>
  <c r="J387" s="1"/>
  <c r="J389" s="1"/>
  <c r="J391" s="1"/>
  <c r="J406" s="1"/>
  <c r="J408" s="1"/>
  <c r="J409" s="1"/>
  <c r="J411" s="1"/>
  <c r="J415" s="1"/>
  <c r="J424"/>
  <c r="K385"/>
  <c r="K423"/>
  <c r="K30" i="23"/>
  <c r="C447" i="36"/>
  <c r="H411"/>
  <c r="I370"/>
  <c r="I371" s="1"/>
  <c r="I373" s="1"/>
  <c r="I377" s="1"/>
  <c r="F332"/>
  <c r="F333" s="1"/>
  <c r="F335" s="1"/>
  <c r="F339" s="1"/>
  <c r="F294"/>
  <c r="F295" s="1"/>
  <c r="F297" s="1"/>
  <c r="F301" s="1"/>
  <c r="H371"/>
  <c r="C377"/>
  <c r="K309"/>
  <c r="K347"/>
  <c r="J310"/>
  <c r="J349"/>
  <c r="J351" s="1"/>
  <c r="J353" s="1"/>
  <c r="J368" s="1"/>
  <c r="G277"/>
  <c r="G292" s="1"/>
  <c r="G315"/>
  <c r="G330" s="1"/>
  <c r="G332" s="1"/>
  <c r="D335"/>
  <c r="H237"/>
  <c r="H275"/>
  <c r="C301"/>
  <c r="K233"/>
  <c r="K271"/>
  <c r="I235"/>
  <c r="I273"/>
  <c r="J234"/>
  <c r="J272"/>
  <c r="G201"/>
  <c r="G216" s="1"/>
  <c r="G218" s="1"/>
  <c r="G219" s="1"/>
  <c r="G221" s="1"/>
  <c r="G225" s="1"/>
  <c r="G239"/>
  <c r="G254" s="1"/>
  <c r="D259"/>
  <c r="F254"/>
  <c r="F256" s="1"/>
  <c r="H161"/>
  <c r="H199"/>
  <c r="F219"/>
  <c r="K157"/>
  <c r="K195"/>
  <c r="J158"/>
  <c r="J196"/>
  <c r="I159"/>
  <c r="I197"/>
  <c r="D183"/>
  <c r="G125"/>
  <c r="G140" s="1"/>
  <c r="G142" s="1"/>
  <c r="G143" s="1"/>
  <c r="G163"/>
  <c r="G178" s="1"/>
  <c r="G180" s="1"/>
  <c r="G181" s="1"/>
  <c r="G183" s="1"/>
  <c r="G187" s="1"/>
  <c r="F178"/>
  <c r="C149"/>
  <c r="I133"/>
  <c r="N91"/>
  <c r="N129"/>
  <c r="J90"/>
  <c r="J95" s="1"/>
  <c r="J100" s="1"/>
  <c r="J128"/>
  <c r="J133" s="1"/>
  <c r="J138" s="1"/>
  <c r="H85"/>
  <c r="H123"/>
  <c r="K81"/>
  <c r="K119"/>
  <c r="I83"/>
  <c r="I121"/>
  <c r="J82"/>
  <c r="J120"/>
  <c r="D107"/>
  <c r="G49"/>
  <c r="G87"/>
  <c r="G102" s="1"/>
  <c r="F102"/>
  <c r="F104" s="1"/>
  <c r="P26" i="23"/>
  <c r="N53" i="36"/>
  <c r="L25" i="23"/>
  <c r="J52" i="36"/>
  <c r="J57" s="1"/>
  <c r="J62" s="1"/>
  <c r="I22" i="23"/>
  <c r="H47" i="36"/>
  <c r="J20" i="23"/>
  <c r="I45" i="36"/>
  <c r="L17" i="23"/>
  <c r="J44" i="36"/>
  <c r="M16" i="23"/>
  <c r="K43" i="36"/>
  <c r="J43" i="2"/>
  <c r="I15"/>
  <c r="C8" i="29"/>
  <c r="F50" i="22"/>
  <c r="E50"/>
  <c r="G62" i="2"/>
  <c r="G66" s="1"/>
  <c r="G14" s="1"/>
  <c r="G18" s="1"/>
  <c r="E9" i="9"/>
  <c r="G18"/>
  <c r="N47" i="22"/>
  <c r="N37"/>
  <c r="G50"/>
  <c r="K18" i="23"/>
  <c r="G11" i="29"/>
  <c r="I7" i="9"/>
  <c r="K32" i="5"/>
  <c r="K37" s="1"/>
  <c r="K12" s="1"/>
  <c r="K14" s="1"/>
  <c r="J37"/>
  <c r="J12" s="1"/>
  <c r="J14" s="1"/>
  <c r="F9" i="9"/>
  <c r="G19"/>
  <c r="J30" i="2"/>
  <c r="I34"/>
  <c r="I17" s="1"/>
  <c r="M10" i="22"/>
  <c r="I1188" i="40" l="1"/>
  <c r="I1190" s="1"/>
  <c r="I1191" s="1"/>
  <c r="I1193" s="1"/>
  <c r="I1197" s="1"/>
  <c r="I918"/>
  <c r="I920" s="1"/>
  <c r="I921" s="1"/>
  <c r="I923" s="1"/>
  <c r="I927" s="1"/>
  <c r="B323"/>
  <c r="I468"/>
  <c r="I423"/>
  <c r="I425" s="1"/>
  <c r="I426" s="1"/>
  <c r="I428" s="1"/>
  <c r="I432" s="1"/>
  <c r="Q98"/>
  <c r="B98" s="1"/>
  <c r="Q233"/>
  <c r="B233" s="1"/>
  <c r="Q728"/>
  <c r="B728" s="1"/>
  <c r="Q683"/>
  <c r="B683" s="1"/>
  <c r="Q998"/>
  <c r="B998" s="1"/>
  <c r="Q863"/>
  <c r="Q278"/>
  <c r="B278" s="1"/>
  <c r="Q818"/>
  <c r="Q908"/>
  <c r="B908" s="1"/>
  <c r="Q1268"/>
  <c r="B1268" s="1"/>
  <c r="Q1043"/>
  <c r="B1043" s="1"/>
  <c r="I1008"/>
  <c r="I1010" s="1"/>
  <c r="I1011" s="1"/>
  <c r="I1013" s="1"/>
  <c r="I1017" s="1"/>
  <c r="I1323"/>
  <c r="I1325" s="1"/>
  <c r="I1326" s="1"/>
  <c r="I1328" s="1"/>
  <c r="I1332" s="1"/>
  <c r="H288"/>
  <c r="H290" s="1"/>
  <c r="H291" s="1"/>
  <c r="H293" s="1"/>
  <c r="H297" s="1"/>
  <c r="Q188"/>
  <c r="B188" s="1"/>
  <c r="Q413"/>
  <c r="B413" s="1"/>
  <c r="I738"/>
  <c r="I740" s="1"/>
  <c r="I741" s="1"/>
  <c r="I743" s="1"/>
  <c r="I747" s="1"/>
  <c r="Q143"/>
  <c r="B143" s="1"/>
  <c r="I693"/>
  <c r="I695" s="1"/>
  <c r="I696" s="1"/>
  <c r="I698" s="1"/>
  <c r="I702" s="1"/>
  <c r="Q458"/>
  <c r="B458" s="1"/>
  <c r="Q503"/>
  <c r="B503" s="1"/>
  <c r="Q773"/>
  <c r="B773" s="1"/>
  <c r="I603"/>
  <c r="I605" s="1"/>
  <c r="I606" s="1"/>
  <c r="I608" s="1"/>
  <c r="I612" s="1"/>
  <c r="I1053"/>
  <c r="I1055" s="1"/>
  <c r="I1056" s="1"/>
  <c r="I1058" s="1"/>
  <c r="I1062" s="1"/>
  <c r="Q90" i="37"/>
  <c r="B90" s="1"/>
  <c r="Q134"/>
  <c r="I513" i="40"/>
  <c r="I515" s="1"/>
  <c r="I516" s="1"/>
  <c r="I518" s="1"/>
  <c r="I522" s="1"/>
  <c r="B818"/>
  <c r="B1223"/>
  <c r="Q548"/>
  <c r="Q43" i="37"/>
  <c r="B43" s="1"/>
  <c r="I46"/>
  <c r="I51" s="1"/>
  <c r="I125"/>
  <c r="I137" s="1"/>
  <c r="I142" s="1"/>
  <c r="I828" i="40"/>
  <c r="I830" s="1"/>
  <c r="I831" s="1"/>
  <c r="I833" s="1"/>
  <c r="I837" s="1"/>
  <c r="I648"/>
  <c r="I650" s="1"/>
  <c r="I651" s="1"/>
  <c r="I653" s="1"/>
  <c r="I657" s="1"/>
  <c r="I1098"/>
  <c r="I1100" s="1"/>
  <c r="I1101" s="1"/>
  <c r="I1103" s="1"/>
  <c r="I1143"/>
  <c r="I1145" s="1"/>
  <c r="I1146" s="1"/>
  <c r="I1148" s="1"/>
  <c r="I1152" s="1"/>
  <c r="I558"/>
  <c r="I560" s="1"/>
  <c r="I561" s="1"/>
  <c r="I563" s="1"/>
  <c r="I567" s="1"/>
  <c r="H198"/>
  <c r="H200" s="1"/>
  <c r="H201" s="1"/>
  <c r="H203" s="1"/>
  <c r="H207" s="1"/>
  <c r="Q53"/>
  <c r="Q368"/>
  <c r="Q1133"/>
  <c r="Q1178"/>
  <c r="Q1088"/>
  <c r="Q1313"/>
  <c r="J1304"/>
  <c r="J1316" s="1"/>
  <c r="J1321" s="1"/>
  <c r="J1259"/>
  <c r="J1271" s="1"/>
  <c r="J1276" s="1"/>
  <c r="J1214"/>
  <c r="J1226" s="1"/>
  <c r="J1231" s="1"/>
  <c r="J81" i="37"/>
  <c r="J93" s="1"/>
  <c r="J98" s="1"/>
  <c r="J899" i="40"/>
  <c r="J911" s="1"/>
  <c r="J916" s="1"/>
  <c r="J1169"/>
  <c r="J1181" s="1"/>
  <c r="J1186" s="1"/>
  <c r="J989"/>
  <c r="J1001" s="1"/>
  <c r="J1006" s="1"/>
  <c r="J1079"/>
  <c r="J1091" s="1"/>
  <c r="J1096" s="1"/>
  <c r="J854"/>
  <c r="J866" s="1"/>
  <c r="J871" s="1"/>
  <c r="J1124"/>
  <c r="J1136" s="1"/>
  <c r="J1141" s="1"/>
  <c r="J719"/>
  <c r="J731" s="1"/>
  <c r="J736" s="1"/>
  <c r="J584"/>
  <c r="J596" s="1"/>
  <c r="J601" s="1"/>
  <c r="J1034"/>
  <c r="J1046" s="1"/>
  <c r="J1051" s="1"/>
  <c r="J449"/>
  <c r="J461" s="1"/>
  <c r="J466" s="1"/>
  <c r="J404"/>
  <c r="J416" s="1"/>
  <c r="J421" s="1"/>
  <c r="J674"/>
  <c r="J686" s="1"/>
  <c r="J691" s="1"/>
  <c r="J629"/>
  <c r="J641" s="1"/>
  <c r="J646" s="1"/>
  <c r="J359"/>
  <c r="J371" s="1"/>
  <c r="J376" s="1"/>
  <c r="J314"/>
  <c r="J326" s="1"/>
  <c r="J331" s="1"/>
  <c r="J944"/>
  <c r="J956" s="1"/>
  <c r="J961" s="1"/>
  <c r="J764"/>
  <c r="J776" s="1"/>
  <c r="J781" s="1"/>
  <c r="J134"/>
  <c r="J146" s="1"/>
  <c r="J151" s="1"/>
  <c r="J539"/>
  <c r="J551" s="1"/>
  <c r="J556" s="1"/>
  <c r="J494"/>
  <c r="J506" s="1"/>
  <c r="J511" s="1"/>
  <c r="J224"/>
  <c r="J236" s="1"/>
  <c r="J241" s="1"/>
  <c r="J179"/>
  <c r="J269"/>
  <c r="J281" s="1"/>
  <c r="J286" s="1"/>
  <c r="J809"/>
  <c r="J821" s="1"/>
  <c r="J826" s="1"/>
  <c r="J89"/>
  <c r="J101" s="1"/>
  <c r="J106" s="1"/>
  <c r="J44"/>
  <c r="J56" s="1"/>
  <c r="J61" s="1"/>
  <c r="I873"/>
  <c r="I875" s="1"/>
  <c r="I876" s="1"/>
  <c r="I878" s="1"/>
  <c r="I882" s="1"/>
  <c r="I1233"/>
  <c r="I1235" s="1"/>
  <c r="I1236" s="1"/>
  <c r="I1238" s="1"/>
  <c r="I1242" s="1"/>
  <c r="B863"/>
  <c r="Q593"/>
  <c r="Q638"/>
  <c r="L612" i="36"/>
  <c r="L934" i="40"/>
  <c r="L529"/>
  <c r="L394"/>
  <c r="L259"/>
  <c r="L34"/>
  <c r="L1069"/>
  <c r="L304"/>
  <c r="L169"/>
  <c r="L1249"/>
  <c r="L1204"/>
  <c r="L1159"/>
  <c r="L1024"/>
  <c r="L979"/>
  <c r="L664"/>
  <c r="L619"/>
  <c r="L574"/>
  <c r="L484"/>
  <c r="L439"/>
  <c r="L214"/>
  <c r="L79"/>
  <c r="L1294"/>
  <c r="L1114"/>
  <c r="L889"/>
  <c r="L844"/>
  <c r="L799"/>
  <c r="L754"/>
  <c r="L709"/>
  <c r="L349"/>
  <c r="L124"/>
  <c r="L1205"/>
  <c r="L1025"/>
  <c r="L440"/>
  <c r="L395"/>
  <c r="L80"/>
  <c r="L35"/>
  <c r="L1295"/>
  <c r="L1115"/>
  <c r="L1070"/>
  <c r="L350"/>
  <c r="L305"/>
  <c r="L1250"/>
  <c r="L1160"/>
  <c r="L980"/>
  <c r="L530"/>
  <c r="L485"/>
  <c r="L260"/>
  <c r="L215"/>
  <c r="L170"/>
  <c r="L125"/>
  <c r="F387"/>
  <c r="J1251"/>
  <c r="J1252" s="1"/>
  <c r="J1254" s="1"/>
  <c r="J1256" s="1"/>
  <c r="J801"/>
  <c r="J802" s="1"/>
  <c r="J804" s="1"/>
  <c r="J576"/>
  <c r="J577" s="1"/>
  <c r="J579" s="1"/>
  <c r="J581" s="1"/>
  <c r="J306"/>
  <c r="J756"/>
  <c r="J757" s="1"/>
  <c r="J759" s="1"/>
  <c r="J761" s="1"/>
  <c r="J531"/>
  <c r="J532" s="1"/>
  <c r="J534" s="1"/>
  <c r="J536" s="1"/>
  <c r="J441"/>
  <c r="J442" s="1"/>
  <c r="J444" s="1"/>
  <c r="J1296"/>
  <c r="J1297" s="1"/>
  <c r="J1299" s="1"/>
  <c r="J1161"/>
  <c r="J1162" s="1"/>
  <c r="J1164" s="1"/>
  <c r="J1116"/>
  <c r="J1117" s="1"/>
  <c r="J1119" s="1"/>
  <c r="J936"/>
  <c r="J937" s="1"/>
  <c r="J939" s="1"/>
  <c r="J941" s="1"/>
  <c r="J891"/>
  <c r="J892" s="1"/>
  <c r="J894" s="1"/>
  <c r="J896" s="1"/>
  <c r="J711"/>
  <c r="J712" s="1"/>
  <c r="J714" s="1"/>
  <c r="J666"/>
  <c r="J667" s="1"/>
  <c r="J669" s="1"/>
  <c r="J671" s="1"/>
  <c r="J486"/>
  <c r="J487" s="1"/>
  <c r="J489" s="1"/>
  <c r="J351"/>
  <c r="J1206"/>
  <c r="J1207" s="1"/>
  <c r="J1209" s="1"/>
  <c r="J1071"/>
  <c r="J1072" s="1"/>
  <c r="J1074" s="1"/>
  <c r="J1026"/>
  <c r="J1027" s="1"/>
  <c r="J1029" s="1"/>
  <c r="J1031" s="1"/>
  <c r="J981"/>
  <c r="J982" s="1"/>
  <c r="J984" s="1"/>
  <c r="J986" s="1"/>
  <c r="J846"/>
  <c r="J847" s="1"/>
  <c r="J849" s="1"/>
  <c r="J851" s="1"/>
  <c r="J621"/>
  <c r="J622" s="1"/>
  <c r="J624" s="1"/>
  <c r="J626" s="1"/>
  <c r="J396"/>
  <c r="J397" s="1"/>
  <c r="J399" s="1"/>
  <c r="J216"/>
  <c r="J81"/>
  <c r="J126"/>
  <c r="J261"/>
  <c r="J36"/>
  <c r="J171"/>
  <c r="G695"/>
  <c r="G696" s="1"/>
  <c r="G650"/>
  <c r="G651" s="1"/>
  <c r="G965"/>
  <c r="G966" s="1"/>
  <c r="G1055"/>
  <c r="G1056" s="1"/>
  <c r="G110"/>
  <c r="G111" s="1"/>
  <c r="I1256"/>
  <c r="I761"/>
  <c r="H86"/>
  <c r="I352"/>
  <c r="I354" s="1"/>
  <c r="I356" s="1"/>
  <c r="I262"/>
  <c r="I264" s="1"/>
  <c r="I307"/>
  <c r="I309" s="1"/>
  <c r="I37"/>
  <c r="I39" s="1"/>
  <c r="I41" s="1"/>
  <c r="I63" s="1"/>
  <c r="I65" s="1"/>
  <c r="I66" s="1"/>
  <c r="I68" s="1"/>
  <c r="I72" s="1"/>
  <c r="I172"/>
  <c r="I174" s="1"/>
  <c r="I217"/>
  <c r="I219" s="1"/>
  <c r="I221" s="1"/>
  <c r="I243" s="1"/>
  <c r="I82"/>
  <c r="I84" s="1"/>
  <c r="I86" s="1"/>
  <c r="I108" s="1"/>
  <c r="I110" s="1"/>
  <c r="I111" s="1"/>
  <c r="I113" s="1"/>
  <c r="I117" s="1"/>
  <c r="I127"/>
  <c r="I129" s="1"/>
  <c r="I131" s="1"/>
  <c r="I153" s="1"/>
  <c r="I155" s="1"/>
  <c r="I156" s="1"/>
  <c r="I158" s="1"/>
  <c r="I162" s="1"/>
  <c r="E657"/>
  <c r="E1332"/>
  <c r="F245"/>
  <c r="F246" s="1"/>
  <c r="G1190"/>
  <c r="G1191" s="1"/>
  <c r="G1235"/>
  <c r="G1236" s="1"/>
  <c r="G1238" s="1"/>
  <c r="G1242" s="1"/>
  <c r="E702"/>
  <c r="G1145"/>
  <c r="G1146" s="1"/>
  <c r="G1100"/>
  <c r="G1101" s="1"/>
  <c r="G1103" s="1"/>
  <c r="G1107" s="1"/>
  <c r="E1107"/>
  <c r="G515"/>
  <c r="G516" s="1"/>
  <c r="G518" s="1"/>
  <c r="G425"/>
  <c r="G426" s="1"/>
  <c r="E432"/>
  <c r="E972"/>
  <c r="E1242"/>
  <c r="G153"/>
  <c r="G920"/>
  <c r="G921" s="1"/>
  <c r="E837"/>
  <c r="G785"/>
  <c r="G786" s="1"/>
  <c r="G788" s="1"/>
  <c r="H76" i="37"/>
  <c r="H78" s="1"/>
  <c r="H100" s="1"/>
  <c r="H102" s="1"/>
  <c r="H103" s="1"/>
  <c r="H105" s="1"/>
  <c r="H109" s="1"/>
  <c r="H118"/>
  <c r="H120" s="1"/>
  <c r="H122" s="1"/>
  <c r="H144" s="1"/>
  <c r="H146" s="1"/>
  <c r="H147" s="1"/>
  <c r="H149" s="1"/>
  <c r="H153" s="1"/>
  <c r="E158" i="40"/>
  <c r="G560"/>
  <c r="G561" s="1"/>
  <c r="G563" s="1"/>
  <c r="G605"/>
  <c r="G606" s="1"/>
  <c r="G333"/>
  <c r="E927"/>
  <c r="E1017"/>
  <c r="I941"/>
  <c r="I470"/>
  <c r="I471" s="1"/>
  <c r="I473" s="1"/>
  <c r="I477" s="1"/>
  <c r="E567"/>
  <c r="E792"/>
  <c r="H41"/>
  <c r="G198"/>
  <c r="E68"/>
  <c r="G1325"/>
  <c r="G1326" s="1"/>
  <c r="G1328" s="1"/>
  <c r="E1152"/>
  <c r="G1280"/>
  <c r="G1281" s="1"/>
  <c r="G830"/>
  <c r="G831" s="1"/>
  <c r="G833" s="1"/>
  <c r="G837" s="1"/>
  <c r="E293"/>
  <c r="E146" i="37"/>
  <c r="E147" s="1"/>
  <c r="G470" i="40"/>
  <c r="G471" s="1"/>
  <c r="E1287"/>
  <c r="H221"/>
  <c r="E1062"/>
  <c r="E747"/>
  <c r="G1010"/>
  <c r="G1011" s="1"/>
  <c r="G1013" s="1"/>
  <c r="G740"/>
  <c r="G741" s="1"/>
  <c r="G875"/>
  <c r="G876" s="1"/>
  <c r="D1304" i="36"/>
  <c r="D1306" s="1"/>
  <c r="E1304"/>
  <c r="E1306" s="1"/>
  <c r="L1216"/>
  <c r="L1265"/>
  <c r="K1217"/>
  <c r="K1218" s="1"/>
  <c r="K1220" s="1"/>
  <c r="K1222" s="1"/>
  <c r="K1237" s="1"/>
  <c r="K1239" s="1"/>
  <c r="K1240" s="1"/>
  <c r="K1242" s="1"/>
  <c r="K1246" s="1"/>
  <c r="K1266"/>
  <c r="K1267" s="1"/>
  <c r="K1269" s="1"/>
  <c r="K1271" s="1"/>
  <c r="K1286" s="1"/>
  <c r="F1295"/>
  <c r="H1289"/>
  <c r="J1271"/>
  <c r="L1166"/>
  <c r="L1215"/>
  <c r="D1206"/>
  <c r="D1208" s="1"/>
  <c r="E1206"/>
  <c r="E1208" s="1"/>
  <c r="J1190"/>
  <c r="J1191" s="1"/>
  <c r="J1193" s="1"/>
  <c r="J1197" s="1"/>
  <c r="L1118"/>
  <c r="L1167"/>
  <c r="K1119"/>
  <c r="K1120" s="1"/>
  <c r="K1122" s="1"/>
  <c r="K1124" s="1"/>
  <c r="K1139" s="1"/>
  <c r="K1141" s="1"/>
  <c r="K1142" s="1"/>
  <c r="K1144" s="1"/>
  <c r="K1148" s="1"/>
  <c r="K1168"/>
  <c r="K1169" s="1"/>
  <c r="K1171" s="1"/>
  <c r="K1173" s="1"/>
  <c r="G1197"/>
  <c r="I1191"/>
  <c r="L1068"/>
  <c r="L1117"/>
  <c r="H1148"/>
  <c r="E1110"/>
  <c r="D1110"/>
  <c r="L1031"/>
  <c r="L1069"/>
  <c r="K1032"/>
  <c r="K1070"/>
  <c r="C1093"/>
  <c r="C1095" s="1"/>
  <c r="L992"/>
  <c r="L1030"/>
  <c r="E1054"/>
  <c r="E1055" s="1"/>
  <c r="E1057" s="1"/>
  <c r="E1061" s="1"/>
  <c r="C1061"/>
  <c r="D1037"/>
  <c r="L80"/>
  <c r="L346"/>
  <c r="L955"/>
  <c r="L993"/>
  <c r="K956"/>
  <c r="K994"/>
  <c r="C1017"/>
  <c r="L764"/>
  <c r="L954"/>
  <c r="C981"/>
  <c r="E979"/>
  <c r="E981" s="1"/>
  <c r="E985" s="1"/>
  <c r="D961"/>
  <c r="L498"/>
  <c r="L42"/>
  <c r="L156"/>
  <c r="L270"/>
  <c r="L422"/>
  <c r="L574"/>
  <c r="L650"/>
  <c r="L878"/>
  <c r="L916"/>
  <c r="L879"/>
  <c r="L917"/>
  <c r="K880"/>
  <c r="K881" s="1"/>
  <c r="K883" s="1"/>
  <c r="K885" s="1"/>
  <c r="K900" s="1"/>
  <c r="K902" s="1"/>
  <c r="K903" s="1"/>
  <c r="K905" s="1"/>
  <c r="K909" s="1"/>
  <c r="K918"/>
  <c r="N15" i="23"/>
  <c r="L118" i="36"/>
  <c r="L194"/>
  <c r="L232"/>
  <c r="L308"/>
  <c r="L384"/>
  <c r="L460"/>
  <c r="L536"/>
  <c r="L688"/>
  <c r="L726"/>
  <c r="C941"/>
  <c r="C943" s="1"/>
  <c r="E864"/>
  <c r="E865" s="1"/>
  <c r="E867" s="1"/>
  <c r="E871" s="1"/>
  <c r="E826"/>
  <c r="E827" s="1"/>
  <c r="E829" s="1"/>
  <c r="E833" s="1"/>
  <c r="K804"/>
  <c r="K842"/>
  <c r="L803"/>
  <c r="L841"/>
  <c r="C867"/>
  <c r="D847"/>
  <c r="D824"/>
  <c r="D826" s="1"/>
  <c r="L20" i="22"/>
  <c r="J34" i="37"/>
  <c r="K34" i="22"/>
  <c r="K39" s="1"/>
  <c r="C29"/>
  <c r="L71" i="37"/>
  <c r="L115" s="1"/>
  <c r="L72"/>
  <c r="L116" s="1"/>
  <c r="I74"/>
  <c r="G100"/>
  <c r="G102" s="1"/>
  <c r="E105"/>
  <c r="J73"/>
  <c r="J117" s="1"/>
  <c r="J15" i="22"/>
  <c r="J17" s="1"/>
  <c r="I17"/>
  <c r="H53" i="37" s="1"/>
  <c r="H55" s="1"/>
  <c r="H56" s="1"/>
  <c r="H58" s="1"/>
  <c r="H62" s="1"/>
  <c r="I27"/>
  <c r="I29" s="1"/>
  <c r="I31" s="1"/>
  <c r="L24"/>
  <c r="G58"/>
  <c r="G62" s="1"/>
  <c r="L12" i="22"/>
  <c r="J26" i="37"/>
  <c r="K13" i="22"/>
  <c r="L25" i="37"/>
  <c r="N11" i="22"/>
  <c r="K766" i="36"/>
  <c r="K767" s="1"/>
  <c r="K166"/>
  <c r="K171" s="1"/>
  <c r="K176" s="1"/>
  <c r="O167"/>
  <c r="I313"/>
  <c r="I788"/>
  <c r="I789" s="1"/>
  <c r="I791" s="1"/>
  <c r="I795" s="1"/>
  <c r="L727"/>
  <c r="L765"/>
  <c r="J731"/>
  <c r="J733" s="1"/>
  <c r="J748" s="1"/>
  <c r="J750" s="1"/>
  <c r="J751" s="1"/>
  <c r="J753" s="1"/>
  <c r="J757" s="1"/>
  <c r="J769"/>
  <c r="H786"/>
  <c r="H788" s="1"/>
  <c r="F791"/>
  <c r="K690"/>
  <c r="K691" s="1"/>
  <c r="K728"/>
  <c r="K729" s="1"/>
  <c r="L651"/>
  <c r="L689"/>
  <c r="J693"/>
  <c r="H710"/>
  <c r="F715"/>
  <c r="K614"/>
  <c r="K615" s="1"/>
  <c r="K652"/>
  <c r="K653" s="1"/>
  <c r="C675"/>
  <c r="C677" s="1"/>
  <c r="E636"/>
  <c r="E637" s="1"/>
  <c r="E639" s="1"/>
  <c r="E643" s="1"/>
  <c r="E598"/>
  <c r="E599" s="1"/>
  <c r="E601" s="1"/>
  <c r="E605" s="1"/>
  <c r="D598"/>
  <c r="D599" s="1"/>
  <c r="D601" s="1"/>
  <c r="D605" s="1"/>
  <c r="E560"/>
  <c r="E561" s="1"/>
  <c r="E563" s="1"/>
  <c r="E567" s="1"/>
  <c r="E522"/>
  <c r="E523" s="1"/>
  <c r="E525" s="1"/>
  <c r="E529" s="1"/>
  <c r="E446"/>
  <c r="E447" s="1"/>
  <c r="E449" s="1"/>
  <c r="E453" s="1"/>
  <c r="C643"/>
  <c r="D619"/>
  <c r="K538"/>
  <c r="K539" s="1"/>
  <c r="K576"/>
  <c r="K577" s="1"/>
  <c r="C599"/>
  <c r="C601" s="1"/>
  <c r="C567"/>
  <c r="D543"/>
  <c r="K462"/>
  <c r="K500"/>
  <c r="K501" s="1"/>
  <c r="J311"/>
  <c r="L461"/>
  <c r="D520"/>
  <c r="D522" s="1"/>
  <c r="C525"/>
  <c r="D467"/>
  <c r="E485"/>
  <c r="E487" s="1"/>
  <c r="E491" s="1"/>
  <c r="C485"/>
  <c r="C487" s="1"/>
  <c r="K386"/>
  <c r="K387" s="1"/>
  <c r="K389" s="1"/>
  <c r="K391" s="1"/>
  <c r="K406" s="1"/>
  <c r="K408" s="1"/>
  <c r="K409" s="1"/>
  <c r="K411" s="1"/>
  <c r="K415" s="1"/>
  <c r="K424"/>
  <c r="L385"/>
  <c r="L423"/>
  <c r="D444"/>
  <c r="D446" s="1"/>
  <c r="C449"/>
  <c r="H415"/>
  <c r="J370"/>
  <c r="J371" s="1"/>
  <c r="J373" s="1"/>
  <c r="J377" s="1"/>
  <c r="G294"/>
  <c r="G295" s="1"/>
  <c r="G297" s="1"/>
  <c r="G301" s="1"/>
  <c r="G256"/>
  <c r="G257" s="1"/>
  <c r="G259" s="1"/>
  <c r="G263" s="1"/>
  <c r="H373"/>
  <c r="L309"/>
  <c r="L347"/>
  <c r="K310"/>
  <c r="K349"/>
  <c r="K351" s="1"/>
  <c r="K353" s="1"/>
  <c r="K368" s="1"/>
  <c r="K370" s="1"/>
  <c r="H277"/>
  <c r="H292" s="1"/>
  <c r="H315"/>
  <c r="H330" s="1"/>
  <c r="G333"/>
  <c r="D339"/>
  <c r="I237"/>
  <c r="I275"/>
  <c r="L233"/>
  <c r="L271"/>
  <c r="J235"/>
  <c r="J273"/>
  <c r="K234"/>
  <c r="K272"/>
  <c r="F257"/>
  <c r="D263"/>
  <c r="H201"/>
  <c r="H216" s="1"/>
  <c r="H218" s="1"/>
  <c r="H239"/>
  <c r="I161"/>
  <c r="I199"/>
  <c r="F221"/>
  <c r="L157"/>
  <c r="L195"/>
  <c r="J159"/>
  <c r="J197"/>
  <c r="K158"/>
  <c r="K196"/>
  <c r="H125"/>
  <c r="H140" s="1"/>
  <c r="H142" s="1"/>
  <c r="H163"/>
  <c r="F180"/>
  <c r="F181" s="1"/>
  <c r="D187"/>
  <c r="D111"/>
  <c r="K90"/>
  <c r="K95" s="1"/>
  <c r="K100" s="1"/>
  <c r="K128"/>
  <c r="K133" s="1"/>
  <c r="K138" s="1"/>
  <c r="O91"/>
  <c r="O129"/>
  <c r="I138"/>
  <c r="G145"/>
  <c r="I85"/>
  <c r="I123"/>
  <c r="L81"/>
  <c r="L119"/>
  <c r="J83"/>
  <c r="J121"/>
  <c r="K82"/>
  <c r="K120"/>
  <c r="G104"/>
  <c r="G105" s="1"/>
  <c r="G107" s="1"/>
  <c r="G111" s="1"/>
  <c r="L30" i="23"/>
  <c r="F105" i="36"/>
  <c r="H49"/>
  <c r="H87"/>
  <c r="M25" i="23"/>
  <c r="M30" s="1"/>
  <c r="K52" i="36"/>
  <c r="K57" s="1"/>
  <c r="K62" s="1"/>
  <c r="Q26" i="23"/>
  <c r="O53" i="36"/>
  <c r="J22" i="23"/>
  <c r="I47" i="36"/>
  <c r="K20" i="23"/>
  <c r="J45" i="36"/>
  <c r="M17" i="23"/>
  <c r="K44" i="36"/>
  <c r="L43"/>
  <c r="N16" i="23"/>
  <c r="L43"/>
  <c r="D44" i="22"/>
  <c r="D46" s="1"/>
  <c r="D50" s="1"/>
  <c r="J15" i="2"/>
  <c r="K43"/>
  <c r="K15" s="1"/>
  <c r="I18" i="9"/>
  <c r="K7" i="29"/>
  <c r="G52" i="23"/>
  <c r="C9" i="29"/>
  <c r="G5" i="9"/>
  <c r="H62" i="2"/>
  <c r="H66" s="1"/>
  <c r="H14" s="1"/>
  <c r="H18" s="1"/>
  <c r="O37" i="22"/>
  <c r="O47"/>
  <c r="L18" i="23"/>
  <c r="K8" i="29"/>
  <c r="H52" i="23"/>
  <c r="I19" i="9"/>
  <c r="K7"/>
  <c r="H24" s="1"/>
  <c r="G13" i="29"/>
  <c r="N10" i="22"/>
  <c r="K30" i="2"/>
  <c r="K34" s="1"/>
  <c r="K17" s="1"/>
  <c r="J34"/>
  <c r="J17" s="1"/>
  <c r="J7" i="9"/>
  <c r="H23" s="1"/>
  <c r="G12" i="29"/>
  <c r="H22" i="9"/>
  <c r="J963" i="40" l="1"/>
  <c r="J965" s="1"/>
  <c r="J966" s="1"/>
  <c r="J968" s="1"/>
  <c r="J972" s="1"/>
  <c r="J873"/>
  <c r="J875" s="1"/>
  <c r="J876" s="1"/>
  <c r="J878" s="1"/>
  <c r="J882" s="1"/>
  <c r="J783"/>
  <c r="J785" s="1"/>
  <c r="J786" s="1"/>
  <c r="J788" s="1"/>
  <c r="J792" s="1"/>
  <c r="J918"/>
  <c r="J920" s="1"/>
  <c r="J921" s="1"/>
  <c r="J923" s="1"/>
  <c r="J927" s="1"/>
  <c r="J1278"/>
  <c r="J1280" s="1"/>
  <c r="J1281" s="1"/>
  <c r="J1283" s="1"/>
  <c r="J1287" s="1"/>
  <c r="B1133"/>
  <c r="J46" i="37"/>
  <c r="J51" s="1"/>
  <c r="J125"/>
  <c r="J137" s="1"/>
  <c r="J142" s="1"/>
  <c r="B53" i="40"/>
  <c r="J1008"/>
  <c r="J1010" s="1"/>
  <c r="J1011" s="1"/>
  <c r="J1013" s="1"/>
  <c r="J1017" s="1"/>
  <c r="B368"/>
  <c r="B548"/>
  <c r="B638"/>
  <c r="B1088"/>
  <c r="J191"/>
  <c r="J196" s="1"/>
  <c r="K81" i="37"/>
  <c r="K93" s="1"/>
  <c r="K98" s="1"/>
  <c r="K1214" i="40"/>
  <c r="K1226" s="1"/>
  <c r="K1231" s="1"/>
  <c r="K1304"/>
  <c r="K1316" s="1"/>
  <c r="K1321" s="1"/>
  <c r="K1259"/>
  <c r="K1271" s="1"/>
  <c r="K1276" s="1"/>
  <c r="K1034"/>
  <c r="K1046" s="1"/>
  <c r="K1051" s="1"/>
  <c r="K1124"/>
  <c r="K1136" s="1"/>
  <c r="K1141" s="1"/>
  <c r="K1169"/>
  <c r="K1181" s="1"/>
  <c r="K1186" s="1"/>
  <c r="K989"/>
  <c r="K1001" s="1"/>
  <c r="K1006" s="1"/>
  <c r="K944"/>
  <c r="K956" s="1"/>
  <c r="K961" s="1"/>
  <c r="K809"/>
  <c r="K821" s="1"/>
  <c r="K826" s="1"/>
  <c r="K899"/>
  <c r="K911" s="1"/>
  <c r="K916" s="1"/>
  <c r="K854"/>
  <c r="K866" s="1"/>
  <c r="K871" s="1"/>
  <c r="K764"/>
  <c r="K776" s="1"/>
  <c r="K781" s="1"/>
  <c r="K674"/>
  <c r="K686" s="1"/>
  <c r="K691" s="1"/>
  <c r="K1079"/>
  <c r="K1091" s="1"/>
  <c r="K1096" s="1"/>
  <c r="K539"/>
  <c r="K551" s="1"/>
  <c r="K556" s="1"/>
  <c r="K449"/>
  <c r="K461" s="1"/>
  <c r="K466" s="1"/>
  <c r="K629"/>
  <c r="K641" s="1"/>
  <c r="K646" s="1"/>
  <c r="K359"/>
  <c r="K371" s="1"/>
  <c r="K376" s="1"/>
  <c r="K314"/>
  <c r="K326" s="1"/>
  <c r="K331" s="1"/>
  <c r="K584"/>
  <c r="K596" s="1"/>
  <c r="K601" s="1"/>
  <c r="K494"/>
  <c r="K506" s="1"/>
  <c r="K511" s="1"/>
  <c r="K269"/>
  <c r="K281" s="1"/>
  <c r="K286" s="1"/>
  <c r="K224"/>
  <c r="K236" s="1"/>
  <c r="K241" s="1"/>
  <c r="K404"/>
  <c r="K416" s="1"/>
  <c r="K421" s="1"/>
  <c r="K179"/>
  <c r="K191" s="1"/>
  <c r="K196" s="1"/>
  <c r="K44"/>
  <c r="K56" s="1"/>
  <c r="K61" s="1"/>
  <c r="K719"/>
  <c r="K731" s="1"/>
  <c r="K736" s="1"/>
  <c r="K89"/>
  <c r="K101" s="1"/>
  <c r="K106" s="1"/>
  <c r="K134"/>
  <c r="K146" s="1"/>
  <c r="K151" s="1"/>
  <c r="B593"/>
  <c r="B1313"/>
  <c r="B1178"/>
  <c r="B134" i="37"/>
  <c r="M1294" i="40"/>
  <c r="M1114"/>
  <c r="M889"/>
  <c r="M844"/>
  <c r="M799"/>
  <c r="M754"/>
  <c r="M709"/>
  <c r="M349"/>
  <c r="M124"/>
  <c r="M934"/>
  <c r="M529"/>
  <c r="M394"/>
  <c r="M259"/>
  <c r="M34"/>
  <c r="M1069"/>
  <c r="M304"/>
  <c r="M169"/>
  <c r="M1249"/>
  <c r="M1204"/>
  <c r="M1159"/>
  <c r="M1024"/>
  <c r="M979"/>
  <c r="M664"/>
  <c r="M619"/>
  <c r="M574"/>
  <c r="M484"/>
  <c r="M439"/>
  <c r="M214"/>
  <c r="M79"/>
  <c r="M170"/>
  <c r="M125"/>
  <c r="M1205"/>
  <c r="M1025"/>
  <c r="M440"/>
  <c r="M395"/>
  <c r="M80"/>
  <c r="M35"/>
  <c r="M1295"/>
  <c r="M1115"/>
  <c r="M1070"/>
  <c r="M350"/>
  <c r="M305"/>
  <c r="M1250"/>
  <c r="M1160"/>
  <c r="M980"/>
  <c r="M530"/>
  <c r="M485"/>
  <c r="M260"/>
  <c r="M215"/>
  <c r="G1017"/>
  <c r="G1332"/>
  <c r="G567"/>
  <c r="G792"/>
  <c r="G522"/>
  <c r="I1107"/>
  <c r="J352"/>
  <c r="J354" s="1"/>
  <c r="J356" s="1"/>
  <c r="J378" s="1"/>
  <c r="J262"/>
  <c r="J264" s="1"/>
  <c r="J266" s="1"/>
  <c r="J288" s="1"/>
  <c r="J307"/>
  <c r="J309" s="1"/>
  <c r="J311" s="1"/>
  <c r="J333" s="1"/>
  <c r="J335" s="1"/>
  <c r="J336" s="1"/>
  <c r="J338" s="1"/>
  <c r="J342" s="1"/>
  <c r="J127"/>
  <c r="J129" s="1"/>
  <c r="J37"/>
  <c r="J39" s="1"/>
  <c r="J172"/>
  <c r="J174" s="1"/>
  <c r="J176" s="1"/>
  <c r="J217"/>
  <c r="J219" s="1"/>
  <c r="J82"/>
  <c r="J84" s="1"/>
  <c r="J86" s="1"/>
  <c r="J108" s="1"/>
  <c r="I76" i="37"/>
  <c r="I78" s="1"/>
  <c r="I118"/>
  <c r="I120" s="1"/>
  <c r="G878" i="40"/>
  <c r="G200"/>
  <c r="G201" s="1"/>
  <c r="G203" s="1"/>
  <c r="H63"/>
  <c r="I963"/>
  <c r="G923"/>
  <c r="G1148"/>
  <c r="J401"/>
  <c r="J1053"/>
  <c r="J491"/>
  <c r="J446"/>
  <c r="J603"/>
  <c r="E149" i="37"/>
  <c r="E162" i="40"/>
  <c r="G1193"/>
  <c r="F248"/>
  <c r="I176"/>
  <c r="I378"/>
  <c r="H108"/>
  <c r="I783"/>
  <c r="G968"/>
  <c r="G698"/>
  <c r="J1301"/>
  <c r="L13" i="22"/>
  <c r="K1206" i="40"/>
  <c r="K1207" s="1"/>
  <c r="K1209" s="1"/>
  <c r="K1211" s="1"/>
  <c r="K1071"/>
  <c r="K1072" s="1"/>
  <c r="K1074" s="1"/>
  <c r="K1076" s="1"/>
  <c r="K1026"/>
  <c r="K1027" s="1"/>
  <c r="K1029" s="1"/>
  <c r="K1031" s="1"/>
  <c r="K1053" s="1"/>
  <c r="K981"/>
  <c r="K982" s="1"/>
  <c r="K984" s="1"/>
  <c r="K986" s="1"/>
  <c r="K846"/>
  <c r="K847" s="1"/>
  <c r="K849" s="1"/>
  <c r="K851" s="1"/>
  <c r="K621"/>
  <c r="K622" s="1"/>
  <c r="K624" s="1"/>
  <c r="K626" s="1"/>
  <c r="K396"/>
  <c r="K397" s="1"/>
  <c r="K399" s="1"/>
  <c r="K401" s="1"/>
  <c r="K423" s="1"/>
  <c r="K261"/>
  <c r="K1251"/>
  <c r="K1252" s="1"/>
  <c r="K1254" s="1"/>
  <c r="K801"/>
  <c r="K802" s="1"/>
  <c r="K804" s="1"/>
  <c r="K806" s="1"/>
  <c r="K576"/>
  <c r="K577" s="1"/>
  <c r="K579" s="1"/>
  <c r="K581" s="1"/>
  <c r="K603" s="1"/>
  <c r="K605" s="1"/>
  <c r="K606" s="1"/>
  <c r="K608" s="1"/>
  <c r="K612" s="1"/>
  <c r="K306"/>
  <c r="K756"/>
  <c r="K757" s="1"/>
  <c r="K759" s="1"/>
  <c r="K531"/>
  <c r="K532" s="1"/>
  <c r="K534" s="1"/>
  <c r="K536" s="1"/>
  <c r="K441"/>
  <c r="K442" s="1"/>
  <c r="K444" s="1"/>
  <c r="K446" s="1"/>
  <c r="K468" s="1"/>
  <c r="K470" s="1"/>
  <c r="K471" s="1"/>
  <c r="K473" s="1"/>
  <c r="K477" s="1"/>
  <c r="K1296"/>
  <c r="K1297" s="1"/>
  <c r="K1299" s="1"/>
  <c r="K1301" s="1"/>
  <c r="K1161"/>
  <c r="K1162" s="1"/>
  <c r="K1164" s="1"/>
  <c r="K1166" s="1"/>
  <c r="K1188" s="1"/>
  <c r="K1190" s="1"/>
  <c r="K1191" s="1"/>
  <c r="K1193" s="1"/>
  <c r="K1197" s="1"/>
  <c r="K1116"/>
  <c r="K1117" s="1"/>
  <c r="K1119" s="1"/>
  <c r="K1121" s="1"/>
  <c r="K936"/>
  <c r="K937" s="1"/>
  <c r="K939" s="1"/>
  <c r="K891"/>
  <c r="K892" s="1"/>
  <c r="K894" s="1"/>
  <c r="K896" s="1"/>
  <c r="K711"/>
  <c r="K712" s="1"/>
  <c r="K714" s="1"/>
  <c r="K716" s="1"/>
  <c r="K666"/>
  <c r="K667" s="1"/>
  <c r="K669" s="1"/>
  <c r="K671" s="1"/>
  <c r="K486"/>
  <c r="K487" s="1"/>
  <c r="K489" s="1"/>
  <c r="K491" s="1"/>
  <c r="K351"/>
  <c r="K171"/>
  <c r="K216"/>
  <c r="K81"/>
  <c r="K126"/>
  <c r="K36"/>
  <c r="G743"/>
  <c r="E72"/>
  <c r="G335"/>
  <c r="G336" s="1"/>
  <c r="G608"/>
  <c r="G155"/>
  <c r="G156" s="1"/>
  <c r="G428"/>
  <c r="I245"/>
  <c r="I246" s="1"/>
  <c r="I248" s="1"/>
  <c r="I252" s="1"/>
  <c r="I266"/>
  <c r="J1211"/>
  <c r="J716"/>
  <c r="J1166"/>
  <c r="G1283"/>
  <c r="H243"/>
  <c r="G473"/>
  <c r="E297"/>
  <c r="I311"/>
  <c r="I1278"/>
  <c r="G113"/>
  <c r="G1058"/>
  <c r="G653"/>
  <c r="J648"/>
  <c r="J1076"/>
  <c r="J693"/>
  <c r="J1121"/>
  <c r="J558"/>
  <c r="J806"/>
  <c r="G1252" i="36"/>
  <c r="G1255" s="1"/>
  <c r="G1257" s="1"/>
  <c r="G1301"/>
  <c r="F1252"/>
  <c r="F1255" s="1"/>
  <c r="F1257" s="1"/>
  <c r="F1301"/>
  <c r="F1304" s="1"/>
  <c r="F1306" s="1"/>
  <c r="K1288"/>
  <c r="K1289" s="1"/>
  <c r="K1291" s="1"/>
  <c r="K1295" s="1"/>
  <c r="M1216"/>
  <c r="M1265"/>
  <c r="M1215"/>
  <c r="M1264"/>
  <c r="L1217"/>
  <c r="L1218" s="1"/>
  <c r="L1220" s="1"/>
  <c r="L1222" s="1"/>
  <c r="L1237" s="1"/>
  <c r="L1266"/>
  <c r="L1267" s="1"/>
  <c r="L1269" s="1"/>
  <c r="J1286"/>
  <c r="J1288" s="1"/>
  <c r="H1291"/>
  <c r="G1154"/>
  <c r="G1203"/>
  <c r="F1154"/>
  <c r="F1157" s="1"/>
  <c r="F1159" s="1"/>
  <c r="F1203"/>
  <c r="M1118"/>
  <c r="M1167"/>
  <c r="L1119"/>
  <c r="L1120" s="1"/>
  <c r="L1122" s="1"/>
  <c r="L1124" s="1"/>
  <c r="L1139" s="1"/>
  <c r="L1141" s="1"/>
  <c r="L1142" s="1"/>
  <c r="L1168"/>
  <c r="L1169" s="1"/>
  <c r="L1171" s="1"/>
  <c r="L1173" s="1"/>
  <c r="L1188" s="1"/>
  <c r="K1188"/>
  <c r="K1190" s="1"/>
  <c r="I1193"/>
  <c r="M1117"/>
  <c r="M1166"/>
  <c r="G1157"/>
  <c r="G1159" s="1"/>
  <c r="H55" i="23"/>
  <c r="G1071" i="36" s="1"/>
  <c r="G1073" s="1"/>
  <c r="G1075" s="1"/>
  <c r="G1090" s="1"/>
  <c r="G1092" s="1"/>
  <c r="G1093" s="1"/>
  <c r="G1095" s="1"/>
  <c r="G1099" s="1"/>
  <c r="G1105"/>
  <c r="G1108" s="1"/>
  <c r="G55" i="23"/>
  <c r="F1071" i="36" s="1"/>
  <c r="F1073" s="1"/>
  <c r="F1075" s="1"/>
  <c r="F1105"/>
  <c r="F1108" s="1"/>
  <c r="M1031"/>
  <c r="M1069"/>
  <c r="L1032"/>
  <c r="L1070"/>
  <c r="M650"/>
  <c r="M1068"/>
  <c r="C1099"/>
  <c r="C1110" s="1"/>
  <c r="M308"/>
  <c r="M422"/>
  <c r="M460"/>
  <c r="M574"/>
  <c r="M726"/>
  <c r="M80"/>
  <c r="M194"/>
  <c r="M232"/>
  <c r="M764"/>
  <c r="M1030"/>
  <c r="D1052"/>
  <c r="D1054" s="1"/>
  <c r="G995"/>
  <c r="G997" s="1"/>
  <c r="G999" s="1"/>
  <c r="G1014" s="1"/>
  <c r="G1016" s="1"/>
  <c r="G1017" s="1"/>
  <c r="G1019" s="1"/>
  <c r="G1023" s="1"/>
  <c r="G1033"/>
  <c r="G1035" s="1"/>
  <c r="G1037" s="1"/>
  <c r="G1052" s="1"/>
  <c r="F995"/>
  <c r="F997" s="1"/>
  <c r="F999" s="1"/>
  <c r="F1033"/>
  <c r="F1035" s="1"/>
  <c r="O15" i="23"/>
  <c r="N916" i="36" s="1"/>
  <c r="M42"/>
  <c r="M118"/>
  <c r="M156"/>
  <c r="M270"/>
  <c r="M346"/>
  <c r="M384"/>
  <c r="M498"/>
  <c r="M536"/>
  <c r="M612"/>
  <c r="M688"/>
  <c r="M954"/>
  <c r="M992"/>
  <c r="M955"/>
  <c r="M993"/>
  <c r="L956"/>
  <c r="L994"/>
  <c r="C1019"/>
  <c r="D976"/>
  <c r="D978" s="1"/>
  <c r="C985"/>
  <c r="G919"/>
  <c r="G921" s="1"/>
  <c r="G923" s="1"/>
  <c r="G938" s="1"/>
  <c r="G940" s="1"/>
  <c r="G941" s="1"/>
  <c r="G943" s="1"/>
  <c r="G947" s="1"/>
  <c r="G957"/>
  <c r="G959" s="1"/>
  <c r="G961" s="1"/>
  <c r="G976" s="1"/>
  <c r="F919"/>
  <c r="F921" s="1"/>
  <c r="F923" s="1"/>
  <c r="F957"/>
  <c r="F959" s="1"/>
  <c r="M878"/>
  <c r="M916"/>
  <c r="M879"/>
  <c r="M917"/>
  <c r="L880"/>
  <c r="L881" s="1"/>
  <c r="L883" s="1"/>
  <c r="L885" s="1"/>
  <c r="L900" s="1"/>
  <c r="L902" s="1"/>
  <c r="L903" s="1"/>
  <c r="L905" s="1"/>
  <c r="L909" s="1"/>
  <c r="L918"/>
  <c r="C947"/>
  <c r="L804"/>
  <c r="L842"/>
  <c r="M803"/>
  <c r="M841"/>
  <c r="D862"/>
  <c r="D864" s="1"/>
  <c r="C871"/>
  <c r="G805"/>
  <c r="G807" s="1"/>
  <c r="G809" s="1"/>
  <c r="G824" s="1"/>
  <c r="G843"/>
  <c r="G845" s="1"/>
  <c r="G847" s="1"/>
  <c r="G862" s="1"/>
  <c r="F805"/>
  <c r="F807" s="1"/>
  <c r="F809" s="1"/>
  <c r="F843"/>
  <c r="F845" s="1"/>
  <c r="D827"/>
  <c r="M20" i="22"/>
  <c r="K34" i="37"/>
  <c r="L34" i="22"/>
  <c r="L39" s="1"/>
  <c r="M71" i="37"/>
  <c r="M115" s="1"/>
  <c r="M72"/>
  <c r="M116" s="1"/>
  <c r="E109"/>
  <c r="G103"/>
  <c r="J74"/>
  <c r="K73"/>
  <c r="K117" s="1"/>
  <c r="K15" i="22"/>
  <c r="I41"/>
  <c r="I43" s="1"/>
  <c r="I44" s="1"/>
  <c r="I46" s="1"/>
  <c r="I50" s="1"/>
  <c r="M24" i="37"/>
  <c r="J41" i="22"/>
  <c r="J43" s="1"/>
  <c r="J44" s="1"/>
  <c r="J46" s="1"/>
  <c r="I53" i="37"/>
  <c r="J27"/>
  <c r="J29" s="1"/>
  <c r="J31" s="1"/>
  <c r="M12" i="22"/>
  <c r="K26" i="37"/>
  <c r="M25"/>
  <c r="O11" i="22"/>
  <c r="L766" i="36"/>
  <c r="L767" s="1"/>
  <c r="P167"/>
  <c r="L166"/>
  <c r="L171" s="1"/>
  <c r="L176" s="1"/>
  <c r="J313"/>
  <c r="M727"/>
  <c r="M765"/>
  <c r="K731"/>
  <c r="K733" s="1"/>
  <c r="K748" s="1"/>
  <c r="K750" s="1"/>
  <c r="K751" s="1"/>
  <c r="K753" s="1"/>
  <c r="K757" s="1"/>
  <c r="K769"/>
  <c r="K771" s="1"/>
  <c r="K786" s="1"/>
  <c r="F795"/>
  <c r="H789"/>
  <c r="J771"/>
  <c r="L690"/>
  <c r="L691" s="1"/>
  <c r="L728"/>
  <c r="L729" s="1"/>
  <c r="M651"/>
  <c r="M689"/>
  <c r="K693"/>
  <c r="K695" s="1"/>
  <c r="K710" s="1"/>
  <c r="K712" s="1"/>
  <c r="K713" s="1"/>
  <c r="K715" s="1"/>
  <c r="K719" s="1"/>
  <c r="F719"/>
  <c r="H712"/>
  <c r="H713" s="1"/>
  <c r="J695"/>
  <c r="G655"/>
  <c r="G657" s="1"/>
  <c r="G672" s="1"/>
  <c r="G674" s="1"/>
  <c r="G675" s="1"/>
  <c r="G677" s="1"/>
  <c r="G681" s="1"/>
  <c r="F655"/>
  <c r="F657" s="1"/>
  <c r="L614"/>
  <c r="L615" s="1"/>
  <c r="L652"/>
  <c r="L653" s="1"/>
  <c r="C681"/>
  <c r="F579"/>
  <c r="F581" s="1"/>
  <c r="F617"/>
  <c r="D634"/>
  <c r="D636" s="1"/>
  <c r="G579"/>
  <c r="G581" s="1"/>
  <c r="G596" s="1"/>
  <c r="G617"/>
  <c r="G619" s="1"/>
  <c r="G634" s="1"/>
  <c r="L538"/>
  <c r="L539" s="1"/>
  <c r="L576"/>
  <c r="L577" s="1"/>
  <c r="C605"/>
  <c r="G503"/>
  <c r="G505" s="1"/>
  <c r="G520" s="1"/>
  <c r="G522" s="1"/>
  <c r="G523" s="1"/>
  <c r="G525" s="1"/>
  <c r="G529" s="1"/>
  <c r="G541"/>
  <c r="G543" s="1"/>
  <c r="G558" s="1"/>
  <c r="F503"/>
  <c r="F505" s="1"/>
  <c r="F541"/>
  <c r="D558"/>
  <c r="D560" s="1"/>
  <c r="L462"/>
  <c r="L500"/>
  <c r="L501" s="1"/>
  <c r="M461"/>
  <c r="D523"/>
  <c r="D525" s="1"/>
  <c r="D529" s="1"/>
  <c r="C529"/>
  <c r="C491"/>
  <c r="G425"/>
  <c r="G427" s="1"/>
  <c r="G429" s="1"/>
  <c r="G444" s="1"/>
  <c r="G463"/>
  <c r="G465" s="1"/>
  <c r="G467" s="1"/>
  <c r="G482" s="1"/>
  <c r="F425"/>
  <c r="F427" s="1"/>
  <c r="F429" s="1"/>
  <c r="F463"/>
  <c r="F465" s="1"/>
  <c r="D482"/>
  <c r="D484" s="1"/>
  <c r="L386"/>
  <c r="L387" s="1"/>
  <c r="L389" s="1"/>
  <c r="L391" s="1"/>
  <c r="L406" s="1"/>
  <c r="L408" s="1"/>
  <c r="L409" s="1"/>
  <c r="L411" s="1"/>
  <c r="L415" s="1"/>
  <c r="L424"/>
  <c r="M385"/>
  <c r="M423"/>
  <c r="C453"/>
  <c r="D447"/>
  <c r="H332"/>
  <c r="H333" s="1"/>
  <c r="H335" s="1"/>
  <c r="H339" s="1"/>
  <c r="H294"/>
  <c r="H295" s="1"/>
  <c r="H297" s="1"/>
  <c r="H301" s="1"/>
  <c r="K371"/>
  <c r="H377"/>
  <c r="M309"/>
  <c r="M347"/>
  <c r="L310"/>
  <c r="L349"/>
  <c r="L351" s="1"/>
  <c r="L353" s="1"/>
  <c r="L368" s="1"/>
  <c r="G335"/>
  <c r="I277"/>
  <c r="I292" s="1"/>
  <c r="I294" s="1"/>
  <c r="I315"/>
  <c r="I330" s="1"/>
  <c r="I332" s="1"/>
  <c r="K273"/>
  <c r="K311"/>
  <c r="J237"/>
  <c r="J275"/>
  <c r="M233"/>
  <c r="M271"/>
  <c r="L234"/>
  <c r="L272"/>
  <c r="F259"/>
  <c r="I201"/>
  <c r="I216" s="1"/>
  <c r="I218" s="1"/>
  <c r="I219" s="1"/>
  <c r="I221" s="1"/>
  <c r="I225" s="1"/>
  <c r="I239"/>
  <c r="I254" s="1"/>
  <c r="H254"/>
  <c r="H256" s="1"/>
  <c r="K197"/>
  <c r="K235"/>
  <c r="F225"/>
  <c r="H219"/>
  <c r="J161"/>
  <c r="J199"/>
  <c r="M157"/>
  <c r="M195"/>
  <c r="L158"/>
  <c r="L196"/>
  <c r="I125"/>
  <c r="I140" s="1"/>
  <c r="I142" s="1"/>
  <c r="I143" s="1"/>
  <c r="I145" s="1"/>
  <c r="I149" s="1"/>
  <c r="I163"/>
  <c r="I178" s="1"/>
  <c r="I180" s="1"/>
  <c r="I181" s="1"/>
  <c r="I183" s="1"/>
  <c r="I187" s="1"/>
  <c r="F183"/>
  <c r="H178"/>
  <c r="K121"/>
  <c r="K159"/>
  <c r="G149"/>
  <c r="P91"/>
  <c r="P129"/>
  <c r="L90"/>
  <c r="L95" s="1"/>
  <c r="L100" s="1"/>
  <c r="L128"/>
  <c r="L133" s="1"/>
  <c r="H143"/>
  <c r="J85"/>
  <c r="J123"/>
  <c r="M81"/>
  <c r="M119"/>
  <c r="L82"/>
  <c r="L120"/>
  <c r="F107"/>
  <c r="I49"/>
  <c r="I87"/>
  <c r="I102" s="1"/>
  <c r="H102"/>
  <c r="H104" s="1"/>
  <c r="M18" i="23"/>
  <c r="R26"/>
  <c r="P53" i="36"/>
  <c r="N25" i="23"/>
  <c r="N30" s="1"/>
  <c r="L52" i="36"/>
  <c r="L57" s="1"/>
  <c r="L62" s="1"/>
  <c r="K45"/>
  <c r="K83"/>
  <c r="K22" i="23"/>
  <c r="J47" i="36"/>
  <c r="N17" i="23"/>
  <c r="M1266" i="36" s="1"/>
  <c r="L44"/>
  <c r="M43"/>
  <c r="O16" i="23"/>
  <c r="L33"/>
  <c r="L35" s="1"/>
  <c r="C10" i="29"/>
  <c r="H5" i="9"/>
  <c r="G20"/>
  <c r="G9"/>
  <c r="I62" i="2"/>
  <c r="I66" s="1"/>
  <c r="I14" s="1"/>
  <c r="I18" s="1"/>
  <c r="I5" i="9" s="1"/>
  <c r="K43" i="23"/>
  <c r="K33"/>
  <c r="K35" s="1"/>
  <c r="I43"/>
  <c r="I33"/>
  <c r="I35" s="1"/>
  <c r="G43"/>
  <c r="G33"/>
  <c r="G35" s="1"/>
  <c r="E33"/>
  <c r="E35" s="1"/>
  <c r="E43"/>
  <c r="D33"/>
  <c r="D35" s="1"/>
  <c r="J33"/>
  <c r="J35" s="1"/>
  <c r="J43"/>
  <c r="H43"/>
  <c r="H33"/>
  <c r="H35" s="1"/>
  <c r="F43"/>
  <c r="F33"/>
  <c r="F35" s="1"/>
  <c r="M33"/>
  <c r="M35" s="1"/>
  <c r="M43"/>
  <c r="P47" i="22"/>
  <c r="P37"/>
  <c r="L20" i="23"/>
  <c r="L7" i="9"/>
  <c r="H25"/>
  <c r="O10" i="22"/>
  <c r="J198" i="40" l="1"/>
  <c r="J200" s="1"/>
  <c r="J201" s="1"/>
  <c r="J203" s="1"/>
  <c r="J207" s="1"/>
  <c r="K1323"/>
  <c r="K738"/>
  <c r="K740" s="1"/>
  <c r="K741" s="1"/>
  <c r="K743" s="1"/>
  <c r="K747" s="1"/>
  <c r="K1233"/>
  <c r="K1235" s="1"/>
  <c r="K1236" s="1"/>
  <c r="K1238" s="1"/>
  <c r="K1242" s="1"/>
  <c r="K513"/>
  <c r="K515" s="1"/>
  <c r="K516" s="1"/>
  <c r="K518" s="1"/>
  <c r="K522" s="1"/>
  <c r="K46" i="37"/>
  <c r="K51" s="1"/>
  <c r="K125"/>
  <c r="K137" s="1"/>
  <c r="K142" s="1"/>
  <c r="K693" i="40"/>
  <c r="K695" s="1"/>
  <c r="K696" s="1"/>
  <c r="K698" s="1"/>
  <c r="K702" s="1"/>
  <c r="K1143"/>
  <c r="K1145" s="1"/>
  <c r="K1146" s="1"/>
  <c r="K1148" s="1"/>
  <c r="K1152" s="1"/>
  <c r="K558"/>
  <c r="K560" s="1"/>
  <c r="K561" s="1"/>
  <c r="K563" s="1"/>
  <c r="K567" s="1"/>
  <c r="K828"/>
  <c r="K830" s="1"/>
  <c r="K831" s="1"/>
  <c r="K833" s="1"/>
  <c r="K837" s="1"/>
  <c r="K648"/>
  <c r="K650" s="1"/>
  <c r="K651" s="1"/>
  <c r="K653" s="1"/>
  <c r="K657" s="1"/>
  <c r="K1098"/>
  <c r="K1100" s="1"/>
  <c r="K1101" s="1"/>
  <c r="K1103" s="1"/>
  <c r="K1107" s="1"/>
  <c r="L81" i="37"/>
  <c r="L93" s="1"/>
  <c r="L98" s="1"/>
  <c r="L1304" i="40"/>
  <c r="L1316" s="1"/>
  <c r="L1321" s="1"/>
  <c r="L1214"/>
  <c r="L1226" s="1"/>
  <c r="L1231" s="1"/>
  <c r="L1169"/>
  <c r="L1181" s="1"/>
  <c r="L1186" s="1"/>
  <c r="L1124"/>
  <c r="L1136" s="1"/>
  <c r="L1141" s="1"/>
  <c r="L944"/>
  <c r="L956" s="1"/>
  <c r="L961" s="1"/>
  <c r="L899"/>
  <c r="L911" s="1"/>
  <c r="L916" s="1"/>
  <c r="L764"/>
  <c r="L776" s="1"/>
  <c r="L781" s="1"/>
  <c r="L989"/>
  <c r="L1001" s="1"/>
  <c r="L1006" s="1"/>
  <c r="L809"/>
  <c r="L821" s="1"/>
  <c r="L826" s="1"/>
  <c r="L629"/>
  <c r="L641" s="1"/>
  <c r="L646" s="1"/>
  <c r="L854"/>
  <c r="L866" s="1"/>
  <c r="L871" s="1"/>
  <c r="L674"/>
  <c r="L686" s="1"/>
  <c r="L691" s="1"/>
  <c r="L494"/>
  <c r="L506" s="1"/>
  <c r="L511" s="1"/>
  <c r="L404"/>
  <c r="L416" s="1"/>
  <c r="L421" s="1"/>
  <c r="L584"/>
  <c r="L596" s="1"/>
  <c r="L601" s="1"/>
  <c r="L269"/>
  <c r="L281" s="1"/>
  <c r="L286" s="1"/>
  <c r="L224"/>
  <c r="L236" s="1"/>
  <c r="L241" s="1"/>
  <c r="L539"/>
  <c r="L551" s="1"/>
  <c r="L556" s="1"/>
  <c r="L179"/>
  <c r="L191" s="1"/>
  <c r="L196" s="1"/>
  <c r="L134"/>
  <c r="L146" s="1"/>
  <c r="L151" s="1"/>
  <c r="L1079"/>
  <c r="L1091" s="1"/>
  <c r="L1096" s="1"/>
  <c r="L1259"/>
  <c r="L1271" s="1"/>
  <c r="L1276" s="1"/>
  <c r="L1034"/>
  <c r="L1046" s="1"/>
  <c r="L1051" s="1"/>
  <c r="L44"/>
  <c r="L56" s="1"/>
  <c r="L61" s="1"/>
  <c r="L719"/>
  <c r="L731" s="1"/>
  <c r="L736" s="1"/>
  <c r="L89"/>
  <c r="L101" s="1"/>
  <c r="L106" s="1"/>
  <c r="L449"/>
  <c r="L461" s="1"/>
  <c r="L466" s="1"/>
  <c r="L359"/>
  <c r="L371" s="1"/>
  <c r="L376" s="1"/>
  <c r="L314"/>
  <c r="L326" s="1"/>
  <c r="L331" s="1"/>
  <c r="N1249"/>
  <c r="N1204"/>
  <c r="N1159"/>
  <c r="N1024"/>
  <c r="N979"/>
  <c r="N664"/>
  <c r="N619"/>
  <c r="N574"/>
  <c r="N484"/>
  <c r="N439"/>
  <c r="N214"/>
  <c r="N79"/>
  <c r="N1294"/>
  <c r="N1114"/>
  <c r="N889"/>
  <c r="N844"/>
  <c r="N799"/>
  <c r="N754"/>
  <c r="N709"/>
  <c r="N349"/>
  <c r="N124"/>
  <c r="N934"/>
  <c r="N529"/>
  <c r="N394"/>
  <c r="N259"/>
  <c r="N34"/>
  <c r="N1069"/>
  <c r="N304"/>
  <c r="N169"/>
  <c r="N1250"/>
  <c r="N1160"/>
  <c r="N980"/>
  <c r="N530"/>
  <c r="N485"/>
  <c r="N260"/>
  <c r="N215"/>
  <c r="N170"/>
  <c r="N125"/>
  <c r="N1205"/>
  <c r="N1025"/>
  <c r="N440"/>
  <c r="N395"/>
  <c r="N80"/>
  <c r="N35"/>
  <c r="N1295"/>
  <c r="N1115"/>
  <c r="N1070"/>
  <c r="N350"/>
  <c r="N305"/>
  <c r="J738"/>
  <c r="G432"/>
  <c r="G158"/>
  <c r="G612"/>
  <c r="K918"/>
  <c r="K1325"/>
  <c r="K1326" s="1"/>
  <c r="K1328" s="1"/>
  <c r="K1332" s="1"/>
  <c r="K1008"/>
  <c r="K307"/>
  <c r="K309" s="1"/>
  <c r="K311" s="1"/>
  <c r="K333" s="1"/>
  <c r="K352"/>
  <c r="K354" s="1"/>
  <c r="K356" s="1"/>
  <c r="K262"/>
  <c r="K264" s="1"/>
  <c r="K266" s="1"/>
  <c r="K288" s="1"/>
  <c r="K290" s="1"/>
  <c r="K291" s="1"/>
  <c r="K293" s="1"/>
  <c r="K297" s="1"/>
  <c r="K217"/>
  <c r="K219" s="1"/>
  <c r="K221" s="1"/>
  <c r="K243" s="1"/>
  <c r="K82"/>
  <c r="K84" s="1"/>
  <c r="K86" s="1"/>
  <c r="K127"/>
  <c r="K129" s="1"/>
  <c r="K131" s="1"/>
  <c r="K153" s="1"/>
  <c r="K37"/>
  <c r="K39" s="1"/>
  <c r="K41" s="1"/>
  <c r="K63" s="1"/>
  <c r="K172"/>
  <c r="K174" s="1"/>
  <c r="K176" s="1"/>
  <c r="K198" s="1"/>
  <c r="K200" s="1"/>
  <c r="K201" s="1"/>
  <c r="K203" s="1"/>
  <c r="K207" s="1"/>
  <c r="J41"/>
  <c r="J380"/>
  <c r="J381" s="1"/>
  <c r="J383" s="1"/>
  <c r="J387" s="1"/>
  <c r="J76" i="37"/>
  <c r="J78" s="1"/>
  <c r="J100" s="1"/>
  <c r="J102" s="1"/>
  <c r="J103" s="1"/>
  <c r="J105" s="1"/>
  <c r="J109" s="1"/>
  <c r="J118"/>
  <c r="J120" s="1"/>
  <c r="J122" s="1"/>
  <c r="J144" s="1"/>
  <c r="J146" s="1"/>
  <c r="J147" s="1"/>
  <c r="J149" s="1"/>
  <c r="J153" s="1"/>
  <c r="J828" i="40"/>
  <c r="J1143"/>
  <c r="J1098"/>
  <c r="G657"/>
  <c r="G117"/>
  <c r="I333"/>
  <c r="H245"/>
  <c r="H246" s="1"/>
  <c r="K761"/>
  <c r="K1256"/>
  <c r="K873"/>
  <c r="G702"/>
  <c r="I785"/>
  <c r="I786" s="1"/>
  <c r="I788" s="1"/>
  <c r="I380"/>
  <c r="I381" s="1"/>
  <c r="G1197"/>
  <c r="J468"/>
  <c r="J1055"/>
  <c r="J1056" s="1"/>
  <c r="J1058" s="1"/>
  <c r="J1062" s="1"/>
  <c r="G1152"/>
  <c r="G207"/>
  <c r="I122" i="37"/>
  <c r="J290" i="40"/>
  <c r="J291" s="1"/>
  <c r="J293" s="1"/>
  <c r="J297" s="1"/>
  <c r="L1296"/>
  <c r="L1297" s="1"/>
  <c r="L1299" s="1"/>
  <c r="L1301" s="1"/>
  <c r="L1161"/>
  <c r="L1162" s="1"/>
  <c r="L1164" s="1"/>
  <c r="L1166" s="1"/>
  <c r="L1188" s="1"/>
  <c r="L1190" s="1"/>
  <c r="L1191" s="1"/>
  <c r="L1193" s="1"/>
  <c r="L1197" s="1"/>
  <c r="L1116"/>
  <c r="L1117" s="1"/>
  <c r="L1119" s="1"/>
  <c r="L1121" s="1"/>
  <c r="L1143" s="1"/>
  <c r="L1145" s="1"/>
  <c r="L1146" s="1"/>
  <c r="L1148" s="1"/>
  <c r="L1152" s="1"/>
  <c r="L936"/>
  <c r="L937" s="1"/>
  <c r="L939" s="1"/>
  <c r="L941" s="1"/>
  <c r="L891"/>
  <c r="L892" s="1"/>
  <c r="L894" s="1"/>
  <c r="L896" s="1"/>
  <c r="L711"/>
  <c r="L712" s="1"/>
  <c r="L714" s="1"/>
  <c r="L716" s="1"/>
  <c r="L666"/>
  <c r="L667" s="1"/>
  <c r="L669" s="1"/>
  <c r="L671" s="1"/>
  <c r="L693" s="1"/>
  <c r="L695" s="1"/>
  <c r="L696" s="1"/>
  <c r="L698" s="1"/>
  <c r="L702" s="1"/>
  <c r="L486"/>
  <c r="L487" s="1"/>
  <c r="L489" s="1"/>
  <c r="L491" s="1"/>
  <c r="L351"/>
  <c r="L1206"/>
  <c r="L1207" s="1"/>
  <c r="L1209" s="1"/>
  <c r="L1211" s="1"/>
  <c r="L1071"/>
  <c r="L1072" s="1"/>
  <c r="L1074" s="1"/>
  <c r="L1076" s="1"/>
  <c r="L1026"/>
  <c r="L1027" s="1"/>
  <c r="L1029" s="1"/>
  <c r="L1031" s="1"/>
  <c r="L981"/>
  <c r="L982" s="1"/>
  <c r="L984" s="1"/>
  <c r="L986" s="1"/>
  <c r="L846"/>
  <c r="L847" s="1"/>
  <c r="L849" s="1"/>
  <c r="L851" s="1"/>
  <c r="L873" s="1"/>
  <c r="L621"/>
  <c r="L622" s="1"/>
  <c r="L624" s="1"/>
  <c r="L626" s="1"/>
  <c r="L396"/>
  <c r="L397" s="1"/>
  <c r="L399" s="1"/>
  <c r="L401" s="1"/>
  <c r="L1251"/>
  <c r="L1252" s="1"/>
  <c r="L1254" s="1"/>
  <c r="L1256" s="1"/>
  <c r="L801"/>
  <c r="L802" s="1"/>
  <c r="L804" s="1"/>
  <c r="L806" s="1"/>
  <c r="L576"/>
  <c r="L577" s="1"/>
  <c r="L579" s="1"/>
  <c r="L581" s="1"/>
  <c r="L306"/>
  <c r="L756"/>
  <c r="L757" s="1"/>
  <c r="L759" s="1"/>
  <c r="L761" s="1"/>
  <c r="L531"/>
  <c r="L532" s="1"/>
  <c r="L534" s="1"/>
  <c r="L536" s="1"/>
  <c r="L441"/>
  <c r="L442" s="1"/>
  <c r="L444" s="1"/>
  <c r="L446" s="1"/>
  <c r="L36"/>
  <c r="L171"/>
  <c r="L216"/>
  <c r="L81"/>
  <c r="L261"/>
  <c r="L126"/>
  <c r="G1287"/>
  <c r="J1188"/>
  <c r="J1233"/>
  <c r="I288"/>
  <c r="G338"/>
  <c r="G747"/>
  <c r="G882"/>
  <c r="J221"/>
  <c r="J560"/>
  <c r="J561" s="1"/>
  <c r="J563" s="1"/>
  <c r="J695"/>
  <c r="J696" s="1"/>
  <c r="J650"/>
  <c r="J651" s="1"/>
  <c r="J653" s="1"/>
  <c r="G1062"/>
  <c r="I1280"/>
  <c r="I1281" s="1"/>
  <c r="G477"/>
  <c r="K941"/>
  <c r="K425"/>
  <c r="K426" s="1"/>
  <c r="K428" s="1"/>
  <c r="K432" s="1"/>
  <c r="K1055"/>
  <c r="K1056" s="1"/>
  <c r="K1058" s="1"/>
  <c r="J1323"/>
  <c r="G972"/>
  <c r="H110"/>
  <c r="H111" s="1"/>
  <c r="I198"/>
  <c r="F252"/>
  <c r="E153" i="37"/>
  <c r="J605" i="40"/>
  <c r="J606" s="1"/>
  <c r="J513"/>
  <c r="J423"/>
  <c r="G927"/>
  <c r="I965"/>
  <c r="I966" s="1"/>
  <c r="H65"/>
  <c r="H66" s="1"/>
  <c r="J110"/>
  <c r="J111" s="1"/>
  <c r="J113" s="1"/>
  <c r="J117" s="1"/>
  <c r="J131"/>
  <c r="M1267" i="36"/>
  <c r="M1269" s="1"/>
  <c r="M1271" s="1"/>
  <c r="M1286" s="1"/>
  <c r="G1304"/>
  <c r="G1306" s="1"/>
  <c r="N1216"/>
  <c r="N1265"/>
  <c r="N1215"/>
  <c r="N1264"/>
  <c r="H1295"/>
  <c r="J1289"/>
  <c r="L1271"/>
  <c r="L1239"/>
  <c r="L1240" s="1"/>
  <c r="L1242" s="1"/>
  <c r="L1246" s="1"/>
  <c r="M1168"/>
  <c r="M1169" s="1"/>
  <c r="M1171" s="1"/>
  <c r="M1173" s="1"/>
  <c r="M1217"/>
  <c r="M1218" s="1"/>
  <c r="M1220" s="1"/>
  <c r="M1222" s="1"/>
  <c r="M1237" s="1"/>
  <c r="F1206"/>
  <c r="F1208" s="1"/>
  <c r="G1206"/>
  <c r="G1208" s="1"/>
  <c r="L1190"/>
  <c r="L1191" s="1"/>
  <c r="L1193" s="1"/>
  <c r="L1197" s="1"/>
  <c r="N1118"/>
  <c r="N1167"/>
  <c r="I1197"/>
  <c r="K1191"/>
  <c r="N1117"/>
  <c r="N1166"/>
  <c r="N42"/>
  <c r="N118"/>
  <c r="N460"/>
  <c r="N612"/>
  <c r="M1070"/>
  <c r="M1071" s="1"/>
  <c r="M1073" s="1"/>
  <c r="M1075" s="1"/>
  <c r="M1090" s="1"/>
  <c r="M1092" s="1"/>
  <c r="M1093" s="1"/>
  <c r="M1095" s="1"/>
  <c r="M1099" s="1"/>
  <c r="M1110" s="1"/>
  <c r="M1119"/>
  <c r="M1120" s="1"/>
  <c r="M1122" s="1"/>
  <c r="M1124" s="1"/>
  <c r="M1139" s="1"/>
  <c r="L1144"/>
  <c r="G1110"/>
  <c r="N1031"/>
  <c r="N1069"/>
  <c r="N764"/>
  <c r="N1068"/>
  <c r="F1090"/>
  <c r="F1092" s="1"/>
  <c r="N270"/>
  <c r="N308"/>
  <c r="N194"/>
  <c r="N384"/>
  <c r="N574"/>
  <c r="N650"/>
  <c r="N954"/>
  <c r="N1030"/>
  <c r="M994"/>
  <c r="M995" s="1"/>
  <c r="M997" s="1"/>
  <c r="M999" s="1"/>
  <c r="M1014" s="1"/>
  <c r="M1032"/>
  <c r="M1033" s="1"/>
  <c r="M1035" s="1"/>
  <c r="M1037" s="1"/>
  <c r="M1052" s="1"/>
  <c r="M1054" s="1"/>
  <c r="M1055" s="1"/>
  <c r="M1057" s="1"/>
  <c r="M1061" s="1"/>
  <c r="G1054"/>
  <c r="G1055" s="1"/>
  <c r="G1057" s="1"/>
  <c r="G1061" s="1"/>
  <c r="N992"/>
  <c r="D1055"/>
  <c r="F1037"/>
  <c r="P15" i="23"/>
  <c r="N80" i="36"/>
  <c r="N156"/>
  <c r="N232"/>
  <c r="N346"/>
  <c r="N422"/>
  <c r="N498"/>
  <c r="N536"/>
  <c r="N688"/>
  <c r="N726"/>
  <c r="N878"/>
  <c r="N955"/>
  <c r="N993"/>
  <c r="C1023"/>
  <c r="F1014"/>
  <c r="F1016" s="1"/>
  <c r="G978"/>
  <c r="G979" s="1"/>
  <c r="G981" s="1"/>
  <c r="G985" s="1"/>
  <c r="M918"/>
  <c r="M919" s="1"/>
  <c r="M921" s="1"/>
  <c r="M923" s="1"/>
  <c r="M938" s="1"/>
  <c r="M940" s="1"/>
  <c r="M941" s="1"/>
  <c r="M943" s="1"/>
  <c r="M947" s="1"/>
  <c r="M956"/>
  <c r="M957" s="1"/>
  <c r="M959" s="1"/>
  <c r="M961" s="1"/>
  <c r="M976" s="1"/>
  <c r="D979"/>
  <c r="F961"/>
  <c r="O916"/>
  <c r="N879"/>
  <c r="N917"/>
  <c r="F938"/>
  <c r="F940" s="1"/>
  <c r="G864"/>
  <c r="G865" s="1"/>
  <c r="G867" s="1"/>
  <c r="G871" s="1"/>
  <c r="G826"/>
  <c r="G827" s="1"/>
  <c r="G829" s="1"/>
  <c r="G833" s="1"/>
  <c r="M842"/>
  <c r="M843" s="1"/>
  <c r="M845" s="1"/>
  <c r="M847" s="1"/>
  <c r="M862" s="1"/>
  <c r="M880"/>
  <c r="M881" s="1"/>
  <c r="M883" s="1"/>
  <c r="M885" s="1"/>
  <c r="M900" s="1"/>
  <c r="N803"/>
  <c r="N841"/>
  <c r="D865"/>
  <c r="F847"/>
  <c r="M804"/>
  <c r="M805" s="1"/>
  <c r="M807" s="1"/>
  <c r="M809" s="1"/>
  <c r="M824" s="1"/>
  <c r="D829"/>
  <c r="F824"/>
  <c r="F826" s="1"/>
  <c r="N20" i="22"/>
  <c r="L34" i="37"/>
  <c r="M34" i="22"/>
  <c r="M39" s="1"/>
  <c r="K74" i="37"/>
  <c r="N71"/>
  <c r="N115" s="1"/>
  <c r="N72"/>
  <c r="N116" s="1"/>
  <c r="I100"/>
  <c r="I102" s="1"/>
  <c r="G105"/>
  <c r="L73"/>
  <c r="L117" s="1"/>
  <c r="K27"/>
  <c r="K29" s="1"/>
  <c r="K31" s="1"/>
  <c r="L15" i="22"/>
  <c r="L17" s="1"/>
  <c r="N24" i="37"/>
  <c r="I55"/>
  <c r="I56" s="1"/>
  <c r="K17" i="22"/>
  <c r="L26" i="37"/>
  <c r="N12" i="22"/>
  <c r="M13"/>
  <c r="N25" i="37"/>
  <c r="P11" i="22"/>
  <c r="M766" i="36"/>
  <c r="M767" s="1"/>
  <c r="M166"/>
  <c r="M171" s="1"/>
  <c r="M176" s="1"/>
  <c r="K788"/>
  <c r="K789" s="1"/>
  <c r="K791" s="1"/>
  <c r="K795" s="1"/>
  <c r="N727"/>
  <c r="N765"/>
  <c r="L731"/>
  <c r="L733" s="1"/>
  <c r="L748" s="1"/>
  <c r="L750" s="1"/>
  <c r="L751" s="1"/>
  <c r="L753" s="1"/>
  <c r="L757" s="1"/>
  <c r="L769"/>
  <c r="J786"/>
  <c r="J788" s="1"/>
  <c r="H791"/>
  <c r="M690"/>
  <c r="M691" s="1"/>
  <c r="M728"/>
  <c r="M729" s="1"/>
  <c r="N651"/>
  <c r="N689"/>
  <c r="L693"/>
  <c r="J710"/>
  <c r="H715"/>
  <c r="M614"/>
  <c r="M615" s="1"/>
  <c r="M617" s="1"/>
  <c r="M619" s="1"/>
  <c r="M634" s="1"/>
  <c r="M636" s="1"/>
  <c r="M637" s="1"/>
  <c r="M639" s="1"/>
  <c r="M643" s="1"/>
  <c r="M652"/>
  <c r="M653" s="1"/>
  <c r="F672"/>
  <c r="F674" s="1"/>
  <c r="G636"/>
  <c r="G637" s="1"/>
  <c r="G639" s="1"/>
  <c r="G643" s="1"/>
  <c r="G598"/>
  <c r="G599" s="1"/>
  <c r="G601" s="1"/>
  <c r="G605" s="1"/>
  <c r="G560"/>
  <c r="G561" s="1"/>
  <c r="G563" s="1"/>
  <c r="G567" s="1"/>
  <c r="G484"/>
  <c r="G485" s="1"/>
  <c r="G487" s="1"/>
  <c r="G491" s="1"/>
  <c r="G446"/>
  <c r="G447" s="1"/>
  <c r="G449" s="1"/>
  <c r="G453" s="1"/>
  <c r="D637"/>
  <c r="F619"/>
  <c r="M538"/>
  <c r="M539" s="1"/>
  <c r="M541" s="1"/>
  <c r="M543" s="1"/>
  <c r="M558" s="1"/>
  <c r="M576"/>
  <c r="M577" s="1"/>
  <c r="M579" s="1"/>
  <c r="M581" s="1"/>
  <c r="M596" s="1"/>
  <c r="F596"/>
  <c r="F598" s="1"/>
  <c r="D561"/>
  <c r="F543"/>
  <c r="M462"/>
  <c r="M463" s="1"/>
  <c r="M465" s="1"/>
  <c r="M467" s="1"/>
  <c r="M482" s="1"/>
  <c r="M500"/>
  <c r="M501" s="1"/>
  <c r="L311"/>
  <c r="N461"/>
  <c r="F520"/>
  <c r="F522" s="1"/>
  <c r="D485"/>
  <c r="D487" s="1"/>
  <c r="F467"/>
  <c r="M386"/>
  <c r="M387" s="1"/>
  <c r="M389" s="1"/>
  <c r="M391" s="1"/>
  <c r="M406" s="1"/>
  <c r="M408" s="1"/>
  <c r="M409" s="1"/>
  <c r="M411" s="1"/>
  <c r="M415" s="1"/>
  <c r="M424"/>
  <c r="M425" s="1"/>
  <c r="M427" s="1"/>
  <c r="M429" s="1"/>
  <c r="M444" s="1"/>
  <c r="N385"/>
  <c r="N423"/>
  <c r="D449"/>
  <c r="F444"/>
  <c r="F446" s="1"/>
  <c r="L370"/>
  <c r="L371" s="1"/>
  <c r="L373" s="1"/>
  <c r="L377" s="1"/>
  <c r="I256"/>
  <c r="I257" s="1"/>
  <c r="I259" s="1"/>
  <c r="I263" s="1"/>
  <c r="K373"/>
  <c r="N309"/>
  <c r="N347"/>
  <c r="M310"/>
  <c r="M349"/>
  <c r="M351" s="1"/>
  <c r="M353" s="1"/>
  <c r="M368" s="1"/>
  <c r="M370" s="1"/>
  <c r="K275"/>
  <c r="K313"/>
  <c r="J277"/>
  <c r="J292" s="1"/>
  <c r="J315"/>
  <c r="J330" s="1"/>
  <c r="I333"/>
  <c r="G339"/>
  <c r="I295"/>
  <c r="N233"/>
  <c r="N271"/>
  <c r="M234"/>
  <c r="M272"/>
  <c r="L235"/>
  <c r="L273"/>
  <c r="H257"/>
  <c r="F263"/>
  <c r="K199"/>
  <c r="K237"/>
  <c r="J201"/>
  <c r="J216" s="1"/>
  <c r="J218" s="1"/>
  <c r="J219" s="1"/>
  <c r="J221" s="1"/>
  <c r="J225" s="1"/>
  <c r="J239"/>
  <c r="H221"/>
  <c r="N157"/>
  <c r="N195"/>
  <c r="M158"/>
  <c r="M196"/>
  <c r="L159"/>
  <c r="L197"/>
  <c r="Q129"/>
  <c r="Q167"/>
  <c r="B167" s="1"/>
  <c r="K123"/>
  <c r="K161"/>
  <c r="J125"/>
  <c r="J140" s="1"/>
  <c r="J142" s="1"/>
  <c r="J163"/>
  <c r="H180"/>
  <c r="H181" s="1"/>
  <c r="F187"/>
  <c r="F111"/>
  <c r="L138"/>
  <c r="M90"/>
  <c r="M95" s="1"/>
  <c r="M100" s="1"/>
  <c r="M128"/>
  <c r="M133" s="1"/>
  <c r="M138" s="1"/>
  <c r="B129"/>
  <c r="H145"/>
  <c r="N81"/>
  <c r="N119"/>
  <c r="M82"/>
  <c r="M120"/>
  <c r="L45"/>
  <c r="L121"/>
  <c r="I104"/>
  <c r="I105" s="1"/>
  <c r="I107" s="1"/>
  <c r="I111" s="1"/>
  <c r="Q53"/>
  <c r="B53" s="1"/>
  <c r="Q91"/>
  <c r="B91" s="1"/>
  <c r="J49"/>
  <c r="J64" s="1"/>
  <c r="J66" s="1"/>
  <c r="J67" s="1"/>
  <c r="J69" s="1"/>
  <c r="J73" s="1"/>
  <c r="J87"/>
  <c r="H105"/>
  <c r="L83"/>
  <c r="K47"/>
  <c r="K85"/>
  <c r="N18" i="23"/>
  <c r="O25"/>
  <c r="M52" i="36"/>
  <c r="M57" s="1"/>
  <c r="M62" s="1"/>
  <c r="F37" i="23"/>
  <c r="E64" i="36"/>
  <c r="E66" s="1"/>
  <c r="E67" s="1"/>
  <c r="E69" s="1"/>
  <c r="E73" s="1"/>
  <c r="H37" i="23"/>
  <c r="G64" i="36"/>
  <c r="G66" s="1"/>
  <c r="G67" s="1"/>
  <c r="G69" s="1"/>
  <c r="G73" s="1"/>
  <c r="E37" i="23"/>
  <c r="D64" i="36"/>
  <c r="D66" s="1"/>
  <c r="D67" s="1"/>
  <c r="D69" s="1"/>
  <c r="D73" s="1"/>
  <c r="J37" i="23"/>
  <c r="I64" i="36"/>
  <c r="I66" s="1"/>
  <c r="I67" s="1"/>
  <c r="I69" s="1"/>
  <c r="I73" s="1"/>
  <c r="G37" i="23"/>
  <c r="F64" i="36"/>
  <c r="F66" s="1"/>
  <c r="F67" s="1"/>
  <c r="F69" s="1"/>
  <c r="F73" s="1"/>
  <c r="I37" i="23"/>
  <c r="H64" i="36"/>
  <c r="H66" s="1"/>
  <c r="H67" s="1"/>
  <c r="H69" s="1"/>
  <c r="H73" s="1"/>
  <c r="K37" i="23"/>
  <c r="O17"/>
  <c r="N1266" i="36" s="1"/>
  <c r="M44"/>
  <c r="N43"/>
  <c r="P16" i="23"/>
  <c r="L22"/>
  <c r="C11" i="29"/>
  <c r="J62" i="2"/>
  <c r="J66" s="1"/>
  <c r="J14" s="1"/>
  <c r="J18" s="1"/>
  <c r="K62"/>
  <c r="K66" s="1"/>
  <c r="K14" s="1"/>
  <c r="K18" s="1"/>
  <c r="C13" i="29" s="1"/>
  <c r="I52" i="23"/>
  <c r="K9" i="29"/>
  <c r="I20" i="9"/>
  <c r="H9"/>
  <c r="G21"/>
  <c r="N33" i="23"/>
  <c r="N35" s="1"/>
  <c r="N43"/>
  <c r="R47" i="22"/>
  <c r="R37"/>
  <c r="H39" i="23"/>
  <c r="Q47" i="22"/>
  <c r="Q37"/>
  <c r="D37" i="23"/>
  <c r="D39" s="1"/>
  <c r="C36" i="22"/>
  <c r="M48" s="1"/>
  <c r="L70" i="40" s="1"/>
  <c r="M20" i="23"/>
  <c r="J50" i="22"/>
  <c r="P10"/>
  <c r="G22" i="9"/>
  <c r="I9"/>
  <c r="L828" i="40" l="1"/>
  <c r="L830" s="1"/>
  <c r="L831" s="1"/>
  <c r="L833" s="1"/>
  <c r="L837" s="1"/>
  <c r="L738"/>
  <c r="L1098"/>
  <c r="L1100" s="1"/>
  <c r="L1101" s="1"/>
  <c r="L1103" s="1"/>
  <c r="L1107" s="1"/>
  <c r="L1008"/>
  <c r="L1010" s="1"/>
  <c r="L1011" s="1"/>
  <c r="L1013" s="1"/>
  <c r="L1017" s="1"/>
  <c r="L468"/>
  <c r="L470" s="1"/>
  <c r="L471" s="1"/>
  <c r="L473" s="1"/>
  <c r="L477" s="1"/>
  <c r="L603"/>
  <c r="L605" s="1"/>
  <c r="L606" s="1"/>
  <c r="L608" s="1"/>
  <c r="L612" s="1"/>
  <c r="L1053"/>
  <c r="L1055" s="1"/>
  <c r="L1056" s="1"/>
  <c r="L1058" s="1"/>
  <c r="L1062" s="1"/>
  <c r="L783"/>
  <c r="L785" s="1"/>
  <c r="L786" s="1"/>
  <c r="L788" s="1"/>
  <c r="L792" s="1"/>
  <c r="L46" i="37"/>
  <c r="L51" s="1"/>
  <c r="L125"/>
  <c r="L137" s="1"/>
  <c r="L142" s="1"/>
  <c r="L423" i="40"/>
  <c r="L425" s="1"/>
  <c r="L426" s="1"/>
  <c r="L428" s="1"/>
  <c r="L432" s="1"/>
  <c r="L513"/>
  <c r="L963"/>
  <c r="L965" s="1"/>
  <c r="L966" s="1"/>
  <c r="L968" s="1"/>
  <c r="L972" s="1"/>
  <c r="L1233"/>
  <c r="L1235" s="1"/>
  <c r="L1236" s="1"/>
  <c r="L1238" s="1"/>
  <c r="L1242" s="1"/>
  <c r="M1259"/>
  <c r="M1271" s="1"/>
  <c r="M1276" s="1"/>
  <c r="M1169"/>
  <c r="M1181" s="1"/>
  <c r="M1186" s="1"/>
  <c r="M81" i="37"/>
  <c r="M93" s="1"/>
  <c r="M98" s="1"/>
  <c r="M1079" i="40"/>
  <c r="M1091" s="1"/>
  <c r="M1096" s="1"/>
  <c r="M989"/>
  <c r="M1001" s="1"/>
  <c r="M1006" s="1"/>
  <c r="M1034"/>
  <c r="M1046" s="1"/>
  <c r="M1051" s="1"/>
  <c r="M1304"/>
  <c r="M1316" s="1"/>
  <c r="M1321" s="1"/>
  <c r="M1124"/>
  <c r="M1136" s="1"/>
  <c r="M1141" s="1"/>
  <c r="M944"/>
  <c r="M956" s="1"/>
  <c r="M961" s="1"/>
  <c r="M719"/>
  <c r="M731" s="1"/>
  <c r="M736" s="1"/>
  <c r="M1214"/>
  <c r="M1226" s="1"/>
  <c r="M1231" s="1"/>
  <c r="M899"/>
  <c r="M911" s="1"/>
  <c r="M916" s="1"/>
  <c r="M809"/>
  <c r="M821" s="1"/>
  <c r="M826" s="1"/>
  <c r="M764"/>
  <c r="M776" s="1"/>
  <c r="M781" s="1"/>
  <c r="M629"/>
  <c r="M641" s="1"/>
  <c r="M646" s="1"/>
  <c r="M359"/>
  <c r="M371" s="1"/>
  <c r="M376" s="1"/>
  <c r="M854"/>
  <c r="M866" s="1"/>
  <c r="M871" s="1"/>
  <c r="M674"/>
  <c r="M686" s="1"/>
  <c r="M691" s="1"/>
  <c r="M539"/>
  <c r="M551" s="1"/>
  <c r="M556" s="1"/>
  <c r="M494"/>
  <c r="M506" s="1"/>
  <c r="M511" s="1"/>
  <c r="M179"/>
  <c r="M191" s="1"/>
  <c r="M196" s="1"/>
  <c r="M134"/>
  <c r="M146" s="1"/>
  <c r="M151" s="1"/>
  <c r="M89"/>
  <c r="M101" s="1"/>
  <c r="M106" s="1"/>
  <c r="M44"/>
  <c r="M56" s="1"/>
  <c r="M61" s="1"/>
  <c r="M314"/>
  <c r="M326" s="1"/>
  <c r="M331" s="1"/>
  <c r="M224"/>
  <c r="M236" s="1"/>
  <c r="M241" s="1"/>
  <c r="M449"/>
  <c r="M461" s="1"/>
  <c r="M466" s="1"/>
  <c r="M269"/>
  <c r="M281" s="1"/>
  <c r="M286" s="1"/>
  <c r="M404"/>
  <c r="M416" s="1"/>
  <c r="M421" s="1"/>
  <c r="M584"/>
  <c r="M596" s="1"/>
  <c r="M601" s="1"/>
  <c r="L1278"/>
  <c r="L1280" s="1"/>
  <c r="L1281" s="1"/>
  <c r="L1283" s="1"/>
  <c r="L1287" s="1"/>
  <c r="L918"/>
  <c r="L920" s="1"/>
  <c r="L921" s="1"/>
  <c r="L923" s="1"/>
  <c r="L927" s="1"/>
  <c r="L1323"/>
  <c r="L1325" s="1"/>
  <c r="L1326" s="1"/>
  <c r="L1328" s="1"/>
  <c r="L1332" s="1"/>
  <c r="O1069"/>
  <c r="O304"/>
  <c r="O169"/>
  <c r="O1249"/>
  <c r="O1204"/>
  <c r="O1159"/>
  <c r="O1024"/>
  <c r="O979"/>
  <c r="O664"/>
  <c r="O619"/>
  <c r="O574"/>
  <c r="O484"/>
  <c r="O439"/>
  <c r="O214"/>
  <c r="O79"/>
  <c r="O1294"/>
  <c r="O1114"/>
  <c r="O889"/>
  <c r="O844"/>
  <c r="O799"/>
  <c r="O754"/>
  <c r="O709"/>
  <c r="O349"/>
  <c r="O124"/>
  <c r="O934"/>
  <c r="O529"/>
  <c r="O394"/>
  <c r="O259"/>
  <c r="O34"/>
  <c r="O1295"/>
  <c r="O1115"/>
  <c r="O1070"/>
  <c r="O350"/>
  <c r="O305"/>
  <c r="O1250"/>
  <c r="O1160"/>
  <c r="O980"/>
  <c r="O530"/>
  <c r="O485"/>
  <c r="O260"/>
  <c r="O215"/>
  <c r="O170"/>
  <c r="O125"/>
  <c r="O1205"/>
  <c r="O1025"/>
  <c r="O440"/>
  <c r="O395"/>
  <c r="O80"/>
  <c r="O35"/>
  <c r="K1062"/>
  <c r="J657"/>
  <c r="J153"/>
  <c r="H68"/>
  <c r="J515"/>
  <c r="J516" s="1"/>
  <c r="J518" s="1"/>
  <c r="I200"/>
  <c r="I201" s="1"/>
  <c r="K963"/>
  <c r="I1283"/>
  <c r="L648"/>
  <c r="K875"/>
  <c r="K876" s="1"/>
  <c r="K878" s="1"/>
  <c r="K783"/>
  <c r="J1100"/>
  <c r="J1101" s="1"/>
  <c r="J830"/>
  <c r="J831" s="1"/>
  <c r="K245"/>
  <c r="K246" s="1"/>
  <c r="K248" s="1"/>
  <c r="K252" s="1"/>
  <c r="K76" i="37"/>
  <c r="K78" s="1"/>
  <c r="K100" s="1"/>
  <c r="K102" s="1"/>
  <c r="K103" s="1"/>
  <c r="K105" s="1"/>
  <c r="K109" s="1"/>
  <c r="K118"/>
  <c r="K120" s="1"/>
  <c r="K122" s="1"/>
  <c r="K144" s="1"/>
  <c r="K146" s="1"/>
  <c r="K147" s="1"/>
  <c r="K149" s="1"/>
  <c r="K153" s="1"/>
  <c r="J698" i="40"/>
  <c r="I290"/>
  <c r="I291" s="1"/>
  <c r="J1190"/>
  <c r="J1191" s="1"/>
  <c r="L515"/>
  <c r="L516" s="1"/>
  <c r="L518" s="1"/>
  <c r="L522" s="1"/>
  <c r="J470"/>
  <c r="J471" s="1"/>
  <c r="J473" s="1"/>
  <c r="I792"/>
  <c r="J63"/>
  <c r="K108"/>
  <c r="K335"/>
  <c r="K336" s="1"/>
  <c r="K338" s="1"/>
  <c r="K342" s="1"/>
  <c r="G162"/>
  <c r="J740"/>
  <c r="J741" s="1"/>
  <c r="J743" s="1"/>
  <c r="M756"/>
  <c r="M757" s="1"/>
  <c r="M759" s="1"/>
  <c r="M761" s="1"/>
  <c r="M783" s="1"/>
  <c r="M531"/>
  <c r="M532" s="1"/>
  <c r="M534" s="1"/>
  <c r="M536" s="1"/>
  <c r="M558" s="1"/>
  <c r="M441"/>
  <c r="M442" s="1"/>
  <c r="M444" s="1"/>
  <c r="M446" s="1"/>
  <c r="M1296"/>
  <c r="M1297" s="1"/>
  <c r="M1299" s="1"/>
  <c r="M1301" s="1"/>
  <c r="M1161"/>
  <c r="M1162" s="1"/>
  <c r="M1164" s="1"/>
  <c r="M1166" s="1"/>
  <c r="M1116"/>
  <c r="M1117" s="1"/>
  <c r="M1119" s="1"/>
  <c r="M1121" s="1"/>
  <c r="M936"/>
  <c r="M937" s="1"/>
  <c r="M939" s="1"/>
  <c r="M941" s="1"/>
  <c r="M891"/>
  <c r="M892" s="1"/>
  <c r="M894" s="1"/>
  <c r="M896" s="1"/>
  <c r="M711"/>
  <c r="M712" s="1"/>
  <c r="M714" s="1"/>
  <c r="M716" s="1"/>
  <c r="M738" s="1"/>
  <c r="M740" s="1"/>
  <c r="M741" s="1"/>
  <c r="M743" s="1"/>
  <c r="M747" s="1"/>
  <c r="M666"/>
  <c r="M667" s="1"/>
  <c r="M669" s="1"/>
  <c r="M671" s="1"/>
  <c r="M486"/>
  <c r="M487" s="1"/>
  <c r="M489" s="1"/>
  <c r="M491" s="1"/>
  <c r="M513" s="1"/>
  <c r="M351"/>
  <c r="M1206"/>
  <c r="M1207" s="1"/>
  <c r="M1209" s="1"/>
  <c r="M1211" s="1"/>
  <c r="M1071"/>
  <c r="M1072" s="1"/>
  <c r="M1074" s="1"/>
  <c r="M1076" s="1"/>
  <c r="M1026"/>
  <c r="M1027" s="1"/>
  <c r="M1029" s="1"/>
  <c r="M1031" s="1"/>
  <c r="M981"/>
  <c r="M982" s="1"/>
  <c r="M984" s="1"/>
  <c r="M986" s="1"/>
  <c r="M1008" s="1"/>
  <c r="M846"/>
  <c r="M847" s="1"/>
  <c r="M849" s="1"/>
  <c r="M851" s="1"/>
  <c r="M621"/>
  <c r="M622" s="1"/>
  <c r="M624" s="1"/>
  <c r="M626" s="1"/>
  <c r="M648" s="1"/>
  <c r="M396"/>
  <c r="M397" s="1"/>
  <c r="M399" s="1"/>
  <c r="M401" s="1"/>
  <c r="M261"/>
  <c r="M1251"/>
  <c r="M1252" s="1"/>
  <c r="M1254" s="1"/>
  <c r="M1256" s="1"/>
  <c r="M801"/>
  <c r="M802" s="1"/>
  <c r="M804" s="1"/>
  <c r="M806" s="1"/>
  <c r="M576"/>
  <c r="M577" s="1"/>
  <c r="M579" s="1"/>
  <c r="M581" s="1"/>
  <c r="M306"/>
  <c r="M126"/>
  <c r="M36"/>
  <c r="M171"/>
  <c r="M216"/>
  <c r="M81"/>
  <c r="I968"/>
  <c r="J425"/>
  <c r="J426" s="1"/>
  <c r="J608"/>
  <c r="H113"/>
  <c r="J1325"/>
  <c r="J1326" s="1"/>
  <c r="J1328" s="1"/>
  <c r="I144" i="37"/>
  <c r="K1278" i="40"/>
  <c r="H248"/>
  <c r="I335"/>
  <c r="I336" s="1"/>
  <c r="J1145"/>
  <c r="J1146" s="1"/>
  <c r="J1148" s="1"/>
  <c r="K155"/>
  <c r="K156" s="1"/>
  <c r="K158" s="1"/>
  <c r="K162" s="1"/>
  <c r="K378"/>
  <c r="L262"/>
  <c r="L264" s="1"/>
  <c r="L266" s="1"/>
  <c r="L307"/>
  <c r="L309" s="1"/>
  <c r="L311" s="1"/>
  <c r="L333" s="1"/>
  <c r="L335" s="1"/>
  <c r="L336" s="1"/>
  <c r="L338" s="1"/>
  <c r="L342" s="1"/>
  <c r="L352"/>
  <c r="L354" s="1"/>
  <c r="L356" s="1"/>
  <c r="L378" s="1"/>
  <c r="L380" s="1"/>
  <c r="L381" s="1"/>
  <c r="L383" s="1"/>
  <c r="L387" s="1"/>
  <c r="L172"/>
  <c r="L174" s="1"/>
  <c r="L176" s="1"/>
  <c r="L198" s="1"/>
  <c r="L217"/>
  <c r="L219" s="1"/>
  <c r="L221" s="1"/>
  <c r="L243" s="1"/>
  <c r="L245" s="1"/>
  <c r="L246" s="1"/>
  <c r="L248" s="1"/>
  <c r="L252" s="1"/>
  <c r="L82"/>
  <c r="L84" s="1"/>
  <c r="L86" s="1"/>
  <c r="L108" s="1"/>
  <c r="L127"/>
  <c r="L129" s="1"/>
  <c r="L131" s="1"/>
  <c r="L153" s="1"/>
  <c r="L155" s="1"/>
  <c r="L156" s="1"/>
  <c r="L158" s="1"/>
  <c r="L162" s="1"/>
  <c r="L37"/>
  <c r="L39" s="1"/>
  <c r="L41" s="1"/>
  <c r="L63" s="1"/>
  <c r="L65" s="1"/>
  <c r="L66" s="1"/>
  <c r="L68" s="1"/>
  <c r="L72" s="1"/>
  <c r="J567"/>
  <c r="J243"/>
  <c r="G342"/>
  <c r="J1235"/>
  <c r="J1236" s="1"/>
  <c r="L558"/>
  <c r="L875"/>
  <c r="L876" s="1"/>
  <c r="L878" s="1"/>
  <c r="L882" s="1"/>
  <c r="L740"/>
  <c r="L741" s="1"/>
  <c r="L743" s="1"/>
  <c r="L747" s="1"/>
  <c r="I383"/>
  <c r="K65"/>
  <c r="K66" s="1"/>
  <c r="K68" s="1"/>
  <c r="K72" s="1"/>
  <c r="K1010"/>
  <c r="K1011" s="1"/>
  <c r="K1013" s="1"/>
  <c r="K920"/>
  <c r="K921" s="1"/>
  <c r="N1267" i="36"/>
  <c r="H1252"/>
  <c r="H1255" s="1"/>
  <c r="H1257" s="1"/>
  <c r="H1301"/>
  <c r="H1304" s="1"/>
  <c r="H1306" s="1"/>
  <c r="M1288"/>
  <c r="M1289" s="1"/>
  <c r="M1291" s="1"/>
  <c r="M1295" s="1"/>
  <c r="M1306" s="1"/>
  <c r="O1216"/>
  <c r="O1265"/>
  <c r="O1215"/>
  <c r="O1264"/>
  <c r="N1269"/>
  <c r="N1271" s="1"/>
  <c r="N1286" s="1"/>
  <c r="L1286"/>
  <c r="L1288" s="1"/>
  <c r="J1291"/>
  <c r="M1239"/>
  <c r="M1240" s="1"/>
  <c r="M1242" s="1"/>
  <c r="M1246" s="1"/>
  <c r="M1257" s="1"/>
  <c r="N1168"/>
  <c r="N1169" s="1"/>
  <c r="N1171" s="1"/>
  <c r="N1173" s="1"/>
  <c r="N1188" s="1"/>
  <c r="N1217"/>
  <c r="N1218" s="1"/>
  <c r="N1220" s="1"/>
  <c r="N1222" s="1"/>
  <c r="N1237" s="1"/>
  <c r="H1154"/>
  <c r="H1157" s="1"/>
  <c r="H1159" s="1"/>
  <c r="H1203"/>
  <c r="O1118"/>
  <c r="O1167"/>
  <c r="O1117"/>
  <c r="O1166"/>
  <c r="K1193"/>
  <c r="M1188"/>
  <c r="M1190" s="1"/>
  <c r="M1141"/>
  <c r="M1142" s="1"/>
  <c r="M1144" s="1"/>
  <c r="M1148" s="1"/>
  <c r="M1159" s="1"/>
  <c r="N1070"/>
  <c r="N1071" s="1"/>
  <c r="N1073" s="1"/>
  <c r="N1075" s="1"/>
  <c r="N1090" s="1"/>
  <c r="N1092" s="1"/>
  <c r="N1093" s="1"/>
  <c r="N1095" s="1"/>
  <c r="N1099" s="1"/>
  <c r="N1110" s="1"/>
  <c r="N1119"/>
  <c r="N1120" s="1"/>
  <c r="N1122" s="1"/>
  <c r="N1124" s="1"/>
  <c r="N1139" s="1"/>
  <c r="L1148"/>
  <c r="I55" i="23"/>
  <c r="H1071" i="36" s="1"/>
  <c r="H1073" s="1"/>
  <c r="H1075" s="1"/>
  <c r="H1105"/>
  <c r="H1108" s="1"/>
  <c r="O1031"/>
  <c r="O1069"/>
  <c r="O1030"/>
  <c r="O1068"/>
  <c r="F1093"/>
  <c r="F1095" s="1"/>
  <c r="O156"/>
  <c r="O270"/>
  <c r="O308"/>
  <c r="O422"/>
  <c r="O460"/>
  <c r="O574"/>
  <c r="O764"/>
  <c r="O42"/>
  <c r="O80"/>
  <c r="O612"/>
  <c r="O688"/>
  <c r="O954"/>
  <c r="Q15" i="23"/>
  <c r="P954" i="36" s="1"/>
  <c r="O118"/>
  <c r="O194"/>
  <c r="O232"/>
  <c r="O346"/>
  <c r="O384"/>
  <c r="O498"/>
  <c r="O536"/>
  <c r="O650"/>
  <c r="O726"/>
  <c r="O878"/>
  <c r="O992"/>
  <c r="N994"/>
  <c r="N995" s="1"/>
  <c r="N997" s="1"/>
  <c r="N999" s="1"/>
  <c r="N1014" s="1"/>
  <c r="N1016" s="1"/>
  <c r="N1017" s="1"/>
  <c r="N1019" s="1"/>
  <c r="N1023" s="1"/>
  <c r="N1032"/>
  <c r="N1033" s="1"/>
  <c r="N1035" s="1"/>
  <c r="N1037" s="1"/>
  <c r="N1052" s="1"/>
  <c r="N1054" s="1"/>
  <c r="N1055" s="1"/>
  <c r="N1057" s="1"/>
  <c r="N1061" s="1"/>
  <c r="H995"/>
  <c r="H997" s="1"/>
  <c r="H999" s="1"/>
  <c r="H1033"/>
  <c r="H1035" s="1"/>
  <c r="F1052"/>
  <c r="F1054" s="1"/>
  <c r="D1057"/>
  <c r="M1016"/>
  <c r="M1017" s="1"/>
  <c r="M1019" s="1"/>
  <c r="M1023" s="1"/>
  <c r="O955"/>
  <c r="O993"/>
  <c r="F1017"/>
  <c r="M978"/>
  <c r="M979" s="1"/>
  <c r="M981" s="1"/>
  <c r="M985" s="1"/>
  <c r="N918"/>
  <c r="N919" s="1"/>
  <c r="N921" s="1"/>
  <c r="N923" s="1"/>
  <c r="N938" s="1"/>
  <c r="N940" s="1"/>
  <c r="N941" s="1"/>
  <c r="N943" s="1"/>
  <c r="N947" s="1"/>
  <c r="N956"/>
  <c r="N957" s="1"/>
  <c r="N959" s="1"/>
  <c r="N961" s="1"/>
  <c r="N976" s="1"/>
  <c r="F976"/>
  <c r="F978" s="1"/>
  <c r="D981"/>
  <c r="H919"/>
  <c r="H921" s="1"/>
  <c r="H923" s="1"/>
  <c r="H957"/>
  <c r="H959" s="1"/>
  <c r="O879"/>
  <c r="O917"/>
  <c r="F941"/>
  <c r="F943" s="1"/>
  <c r="M902"/>
  <c r="M903" s="1"/>
  <c r="M905" s="1"/>
  <c r="M909" s="1"/>
  <c r="M864"/>
  <c r="M865" s="1"/>
  <c r="M867" s="1"/>
  <c r="M871" s="1"/>
  <c r="M826"/>
  <c r="M827" s="1"/>
  <c r="M829" s="1"/>
  <c r="M833" s="1"/>
  <c r="N842"/>
  <c r="N843" s="1"/>
  <c r="N845" s="1"/>
  <c r="N847" s="1"/>
  <c r="N862" s="1"/>
  <c r="N880"/>
  <c r="N881" s="1"/>
  <c r="N883" s="1"/>
  <c r="N885" s="1"/>
  <c r="N900" s="1"/>
  <c r="O803"/>
  <c r="O841"/>
  <c r="H805"/>
  <c r="H807" s="1"/>
  <c r="H809" s="1"/>
  <c r="H843"/>
  <c r="H845" s="1"/>
  <c r="F862"/>
  <c r="F864" s="1"/>
  <c r="D867"/>
  <c r="N804"/>
  <c r="N805" s="1"/>
  <c r="N807" s="1"/>
  <c r="N809" s="1"/>
  <c r="N824" s="1"/>
  <c r="F827"/>
  <c r="D833"/>
  <c r="C48" i="22"/>
  <c r="L60" i="37"/>
  <c r="O20" i="22"/>
  <c r="M34" i="37"/>
  <c r="N34" i="22"/>
  <c r="N39" s="1"/>
  <c r="L74" i="37"/>
  <c r="O71"/>
  <c r="O115" s="1"/>
  <c r="O72"/>
  <c r="O116" s="1"/>
  <c r="M73"/>
  <c r="M117" s="1"/>
  <c r="G109"/>
  <c r="I103"/>
  <c r="M15" i="22"/>
  <c r="M17" s="1"/>
  <c r="O24" i="37"/>
  <c r="L27"/>
  <c r="L29" s="1"/>
  <c r="L31" s="1"/>
  <c r="I58"/>
  <c r="I62" s="1"/>
  <c r="K41" i="22"/>
  <c r="K43" s="1"/>
  <c r="K44" s="1"/>
  <c r="L41"/>
  <c r="L43" s="1"/>
  <c r="L44" s="1"/>
  <c r="L46" s="1"/>
  <c r="L50" s="1"/>
  <c r="K53" i="37"/>
  <c r="M26"/>
  <c r="O12" i="22"/>
  <c r="N13"/>
  <c r="O25" i="37"/>
  <c r="Q11" i="22"/>
  <c r="N166" i="36"/>
  <c r="N171" s="1"/>
  <c r="N176" s="1"/>
  <c r="K315"/>
  <c r="K330" s="1"/>
  <c r="K332" s="1"/>
  <c r="K333" s="1"/>
  <c r="K335" s="1"/>
  <c r="K339" s="1"/>
  <c r="O727"/>
  <c r="O765"/>
  <c r="N728"/>
  <c r="N729" s="1"/>
  <c r="N766"/>
  <c r="N767" s="1"/>
  <c r="M731"/>
  <c r="M733" s="1"/>
  <c r="M748" s="1"/>
  <c r="M750" s="1"/>
  <c r="M751" s="1"/>
  <c r="M753" s="1"/>
  <c r="M757" s="1"/>
  <c r="M769"/>
  <c r="M771" s="1"/>
  <c r="M786" s="1"/>
  <c r="H795"/>
  <c r="J789"/>
  <c r="L771"/>
  <c r="O651"/>
  <c r="O689"/>
  <c r="N652"/>
  <c r="N653" s="1"/>
  <c r="N690"/>
  <c r="N691" s="1"/>
  <c r="M655"/>
  <c r="M657" s="1"/>
  <c r="M672" s="1"/>
  <c r="M674" s="1"/>
  <c r="M675" s="1"/>
  <c r="M677" s="1"/>
  <c r="M681" s="1"/>
  <c r="M693"/>
  <c r="M695" s="1"/>
  <c r="M710" s="1"/>
  <c r="M712" s="1"/>
  <c r="M713" s="1"/>
  <c r="M715" s="1"/>
  <c r="M719" s="1"/>
  <c r="H719"/>
  <c r="J712"/>
  <c r="J713" s="1"/>
  <c r="L695"/>
  <c r="H655"/>
  <c r="H657" s="1"/>
  <c r="F675"/>
  <c r="M598"/>
  <c r="M599" s="1"/>
  <c r="M601" s="1"/>
  <c r="M605" s="1"/>
  <c r="M560"/>
  <c r="M561" s="1"/>
  <c r="M563" s="1"/>
  <c r="M567" s="1"/>
  <c r="M484"/>
  <c r="M485" s="1"/>
  <c r="M487" s="1"/>
  <c r="M491" s="1"/>
  <c r="M446"/>
  <c r="M447" s="1"/>
  <c r="M449" s="1"/>
  <c r="M453" s="1"/>
  <c r="N576"/>
  <c r="N577" s="1"/>
  <c r="N579" s="1"/>
  <c r="N581" s="1"/>
  <c r="N596" s="1"/>
  <c r="N614"/>
  <c r="N615" s="1"/>
  <c r="N617" s="1"/>
  <c r="N619" s="1"/>
  <c r="N634" s="1"/>
  <c r="H579"/>
  <c r="H581" s="1"/>
  <c r="H617"/>
  <c r="F634"/>
  <c r="F636" s="1"/>
  <c r="D639"/>
  <c r="F599"/>
  <c r="N500"/>
  <c r="N501" s="1"/>
  <c r="N538"/>
  <c r="N539" s="1"/>
  <c r="N541" s="1"/>
  <c r="N543" s="1"/>
  <c r="N558" s="1"/>
  <c r="H503"/>
  <c r="H505" s="1"/>
  <c r="H541"/>
  <c r="F558"/>
  <c r="F560" s="1"/>
  <c r="D563"/>
  <c r="M311"/>
  <c r="M503"/>
  <c r="M505" s="1"/>
  <c r="M520" s="1"/>
  <c r="O461"/>
  <c r="F523"/>
  <c r="F525" s="1"/>
  <c r="N424"/>
  <c r="N425" s="1"/>
  <c r="N427" s="1"/>
  <c r="N429" s="1"/>
  <c r="N444" s="1"/>
  <c r="N462"/>
  <c r="N463" s="1"/>
  <c r="N465" s="1"/>
  <c r="N467" s="1"/>
  <c r="N482" s="1"/>
  <c r="D491"/>
  <c r="H425"/>
  <c r="H427" s="1"/>
  <c r="H429" s="1"/>
  <c r="H463"/>
  <c r="H465" s="1"/>
  <c r="F482"/>
  <c r="F484" s="1"/>
  <c r="O385"/>
  <c r="O423"/>
  <c r="F447"/>
  <c r="D453"/>
  <c r="N349"/>
  <c r="N351" s="1"/>
  <c r="N353" s="1"/>
  <c r="N368" s="1"/>
  <c r="N370" s="1"/>
  <c r="N371" s="1"/>
  <c r="N373" s="1"/>
  <c r="N377" s="1"/>
  <c r="N386"/>
  <c r="N387" s="1"/>
  <c r="N389" s="1"/>
  <c r="N391" s="1"/>
  <c r="N406" s="1"/>
  <c r="N408" s="1"/>
  <c r="N409" s="1"/>
  <c r="N411" s="1"/>
  <c r="J332"/>
  <c r="J333" s="1"/>
  <c r="J335" s="1"/>
  <c r="J339" s="1"/>
  <c r="J294"/>
  <c r="J295" s="1"/>
  <c r="J297" s="1"/>
  <c r="J301" s="1"/>
  <c r="M371"/>
  <c r="K377"/>
  <c r="O309"/>
  <c r="O347"/>
  <c r="L275"/>
  <c r="L313"/>
  <c r="I335"/>
  <c r="N272"/>
  <c r="N310"/>
  <c r="K239"/>
  <c r="K254" s="1"/>
  <c r="K277"/>
  <c r="I297"/>
  <c r="O233"/>
  <c r="O271"/>
  <c r="M235"/>
  <c r="M273"/>
  <c r="L199"/>
  <c r="L237"/>
  <c r="H259"/>
  <c r="J254"/>
  <c r="J256" s="1"/>
  <c r="N196"/>
  <c r="N234"/>
  <c r="H225"/>
  <c r="K163"/>
  <c r="K178" s="1"/>
  <c r="K180" s="1"/>
  <c r="K181" s="1"/>
  <c r="K183" s="1"/>
  <c r="K187" s="1"/>
  <c r="K201"/>
  <c r="O157"/>
  <c r="O195"/>
  <c r="M159"/>
  <c r="M197"/>
  <c r="L123"/>
  <c r="L161"/>
  <c r="H183"/>
  <c r="J178"/>
  <c r="N120"/>
  <c r="N158"/>
  <c r="H149"/>
  <c r="N90"/>
  <c r="N95" s="1"/>
  <c r="N100" s="1"/>
  <c r="N128"/>
  <c r="N133" s="1"/>
  <c r="N138" s="1"/>
  <c r="K87"/>
  <c r="K102" s="1"/>
  <c r="K104" s="1"/>
  <c r="K105" s="1"/>
  <c r="K107" s="1"/>
  <c r="K111" s="1"/>
  <c r="K125"/>
  <c r="J143"/>
  <c r="O81"/>
  <c r="O119"/>
  <c r="M83"/>
  <c r="M121"/>
  <c r="M45"/>
  <c r="O30" i="23"/>
  <c r="H107" i="36"/>
  <c r="J102"/>
  <c r="J104" s="1"/>
  <c r="L47"/>
  <c r="L85"/>
  <c r="P25" i="23"/>
  <c r="N52" i="36"/>
  <c r="N57" s="1"/>
  <c r="N62" s="1"/>
  <c r="O18" i="23"/>
  <c r="N82" i="36"/>
  <c r="H40" i="23"/>
  <c r="K39"/>
  <c r="I39"/>
  <c r="G39"/>
  <c r="J39"/>
  <c r="E39"/>
  <c r="F39"/>
  <c r="L37"/>
  <c r="K49" i="36"/>
  <c r="K64" s="1"/>
  <c r="K66" s="1"/>
  <c r="K67" s="1"/>
  <c r="K69" s="1"/>
  <c r="K73" s="1"/>
  <c r="P17" i="23"/>
  <c r="O1266" i="36" s="1"/>
  <c r="N44"/>
  <c r="O43"/>
  <c r="Q16" i="23"/>
  <c r="C47" i="22"/>
  <c r="K5" i="9"/>
  <c r="K9" s="1"/>
  <c r="M22" i="23"/>
  <c r="C12" i="29"/>
  <c r="J5" i="9"/>
  <c r="J52" i="23"/>
  <c r="K10" i="29"/>
  <c r="I21" i="9"/>
  <c r="C37" i="22"/>
  <c r="O33" i="23"/>
  <c r="O43"/>
  <c r="N20"/>
  <c r="K52"/>
  <c r="I22" i="9"/>
  <c r="K11" i="29"/>
  <c r="Q10" i="22"/>
  <c r="M828" i="40" l="1"/>
  <c r="M830" s="1"/>
  <c r="M831" s="1"/>
  <c r="M833" s="1"/>
  <c r="M837" s="1"/>
  <c r="M1278"/>
  <c r="M1280" s="1"/>
  <c r="M1281" s="1"/>
  <c r="M1283" s="1"/>
  <c r="M1287" s="1"/>
  <c r="M873"/>
  <c r="M875" s="1"/>
  <c r="M876" s="1"/>
  <c r="M878" s="1"/>
  <c r="M882" s="1"/>
  <c r="M918"/>
  <c r="M920" s="1"/>
  <c r="M921" s="1"/>
  <c r="M923" s="1"/>
  <c r="M927" s="1"/>
  <c r="M468"/>
  <c r="M470" s="1"/>
  <c r="M471" s="1"/>
  <c r="M473" s="1"/>
  <c r="M1098"/>
  <c r="M1100" s="1"/>
  <c r="M1101" s="1"/>
  <c r="M1103" s="1"/>
  <c r="M1107" s="1"/>
  <c r="M693"/>
  <c r="M695" s="1"/>
  <c r="M696" s="1"/>
  <c r="M1143"/>
  <c r="M1145" s="1"/>
  <c r="M1146" s="1"/>
  <c r="M1148" s="1"/>
  <c r="M46" i="37"/>
  <c r="M51" s="1"/>
  <c r="M125"/>
  <c r="M137" s="1"/>
  <c r="M142" s="1"/>
  <c r="B60"/>
  <c r="B70" i="40"/>
  <c r="N1304"/>
  <c r="N1316" s="1"/>
  <c r="N1321" s="1"/>
  <c r="N1259"/>
  <c r="N1271" s="1"/>
  <c r="N1276" s="1"/>
  <c r="N1214"/>
  <c r="N1226" s="1"/>
  <c r="N1231" s="1"/>
  <c r="N1169"/>
  <c r="N1181" s="1"/>
  <c r="N1186" s="1"/>
  <c r="N899"/>
  <c r="N911" s="1"/>
  <c r="N916" s="1"/>
  <c r="N1079"/>
  <c r="N1091" s="1"/>
  <c r="N1096" s="1"/>
  <c r="N1034"/>
  <c r="N1046" s="1"/>
  <c r="N1051" s="1"/>
  <c r="N854"/>
  <c r="N866" s="1"/>
  <c r="N871" s="1"/>
  <c r="N989"/>
  <c r="N1001" s="1"/>
  <c r="N1006" s="1"/>
  <c r="N944"/>
  <c r="N956" s="1"/>
  <c r="N961" s="1"/>
  <c r="N719"/>
  <c r="N731" s="1"/>
  <c r="N736" s="1"/>
  <c r="N584"/>
  <c r="N596" s="1"/>
  <c r="N601" s="1"/>
  <c r="N1124"/>
  <c r="N1136" s="1"/>
  <c r="N1141" s="1"/>
  <c r="N81" i="37"/>
  <c r="N93" s="1"/>
  <c r="N98" s="1"/>
  <c r="N809" i="40"/>
  <c r="N821" s="1"/>
  <c r="N826" s="1"/>
  <c r="N764"/>
  <c r="N776" s="1"/>
  <c r="N781" s="1"/>
  <c r="N449"/>
  <c r="N461" s="1"/>
  <c r="N466" s="1"/>
  <c r="N404"/>
  <c r="N416" s="1"/>
  <c r="N421" s="1"/>
  <c r="N314"/>
  <c r="N326" s="1"/>
  <c r="N331" s="1"/>
  <c r="N539"/>
  <c r="N551" s="1"/>
  <c r="N556" s="1"/>
  <c r="N494"/>
  <c r="N506" s="1"/>
  <c r="N511" s="1"/>
  <c r="N269"/>
  <c r="N281" s="1"/>
  <c r="N286" s="1"/>
  <c r="N89"/>
  <c r="N101" s="1"/>
  <c r="N106" s="1"/>
  <c r="N629"/>
  <c r="N641" s="1"/>
  <c r="N646" s="1"/>
  <c r="N359"/>
  <c r="N371" s="1"/>
  <c r="N376" s="1"/>
  <c r="N134"/>
  <c r="N146" s="1"/>
  <c r="N151" s="1"/>
  <c r="N674"/>
  <c r="N686" s="1"/>
  <c r="N691" s="1"/>
  <c r="N224"/>
  <c r="N236" s="1"/>
  <c r="N241" s="1"/>
  <c r="N179"/>
  <c r="N191" s="1"/>
  <c r="N196" s="1"/>
  <c r="N44"/>
  <c r="N56" s="1"/>
  <c r="N61" s="1"/>
  <c r="M603"/>
  <c r="M605" s="1"/>
  <c r="M606" s="1"/>
  <c r="M608" s="1"/>
  <c r="M612" s="1"/>
  <c r="M423"/>
  <c r="M425" s="1"/>
  <c r="M426" s="1"/>
  <c r="M428" s="1"/>
  <c r="M432" s="1"/>
  <c r="M1053"/>
  <c r="M1055" s="1"/>
  <c r="M1056" s="1"/>
  <c r="M1058" s="1"/>
  <c r="M1062" s="1"/>
  <c r="M963"/>
  <c r="M965" s="1"/>
  <c r="M966" s="1"/>
  <c r="M968" s="1"/>
  <c r="M972" s="1"/>
  <c r="P934"/>
  <c r="P529"/>
  <c r="P394"/>
  <c r="P259"/>
  <c r="P34"/>
  <c r="P1069"/>
  <c r="P304"/>
  <c r="P169"/>
  <c r="P1249"/>
  <c r="P1204"/>
  <c r="P1159"/>
  <c r="P1024"/>
  <c r="P979"/>
  <c r="P664"/>
  <c r="P619"/>
  <c r="P574"/>
  <c r="P484"/>
  <c r="P439"/>
  <c r="P214"/>
  <c r="P79"/>
  <c r="P1294"/>
  <c r="P1114"/>
  <c r="P889"/>
  <c r="P844"/>
  <c r="P799"/>
  <c r="P754"/>
  <c r="P709"/>
  <c r="P349"/>
  <c r="P124"/>
  <c r="P1205"/>
  <c r="P1025"/>
  <c r="P440"/>
  <c r="P395"/>
  <c r="P80"/>
  <c r="P35"/>
  <c r="P1295"/>
  <c r="P1115"/>
  <c r="P1070"/>
  <c r="P350"/>
  <c r="P305"/>
  <c r="P1250"/>
  <c r="P1160"/>
  <c r="P980"/>
  <c r="P530"/>
  <c r="P485"/>
  <c r="P260"/>
  <c r="P215"/>
  <c r="P170"/>
  <c r="P125"/>
  <c r="J522"/>
  <c r="K882"/>
  <c r="J747"/>
  <c r="L76" i="37"/>
  <c r="L78" s="1"/>
  <c r="L100" s="1"/>
  <c r="L102" s="1"/>
  <c r="L103" s="1"/>
  <c r="L105" s="1"/>
  <c r="L109" s="1"/>
  <c r="L118"/>
  <c r="L120" s="1"/>
  <c r="L122" s="1"/>
  <c r="L144" s="1"/>
  <c r="L146" s="1"/>
  <c r="L147" s="1"/>
  <c r="L149" s="1"/>
  <c r="L153" s="1"/>
  <c r="K923" i="40"/>
  <c r="L200"/>
  <c r="L201" s="1"/>
  <c r="L203" s="1"/>
  <c r="L207" s="1"/>
  <c r="H252"/>
  <c r="I146" i="37"/>
  <c r="I147" s="1"/>
  <c r="H117" i="40"/>
  <c r="J612"/>
  <c r="I972"/>
  <c r="M650"/>
  <c r="M651" s="1"/>
  <c r="M653" s="1"/>
  <c r="M657" s="1"/>
  <c r="M560"/>
  <c r="M561" s="1"/>
  <c r="M563" s="1"/>
  <c r="M567" s="1"/>
  <c r="J1193"/>
  <c r="J702"/>
  <c r="J833"/>
  <c r="J155"/>
  <c r="J156" s="1"/>
  <c r="I387"/>
  <c r="L288"/>
  <c r="M515"/>
  <c r="M516" s="1"/>
  <c r="M518" s="1"/>
  <c r="K110"/>
  <c r="K111" s="1"/>
  <c r="K113" s="1"/>
  <c r="J477"/>
  <c r="I1287"/>
  <c r="N1251"/>
  <c r="N1252" s="1"/>
  <c r="N1254" s="1"/>
  <c r="N1256" s="1"/>
  <c r="N801"/>
  <c r="N802" s="1"/>
  <c r="N804" s="1"/>
  <c r="N806" s="1"/>
  <c r="N576"/>
  <c r="N577" s="1"/>
  <c r="N579" s="1"/>
  <c r="N581" s="1"/>
  <c r="N306"/>
  <c r="N756"/>
  <c r="N757" s="1"/>
  <c r="N759" s="1"/>
  <c r="N761" s="1"/>
  <c r="N531"/>
  <c r="N532" s="1"/>
  <c r="N534" s="1"/>
  <c r="N536" s="1"/>
  <c r="N441"/>
  <c r="N442" s="1"/>
  <c r="N444" s="1"/>
  <c r="N446" s="1"/>
  <c r="N1296"/>
  <c r="N1297" s="1"/>
  <c r="N1299" s="1"/>
  <c r="N1301" s="1"/>
  <c r="N1161"/>
  <c r="N1162" s="1"/>
  <c r="N1164" s="1"/>
  <c r="N1166" s="1"/>
  <c r="N1116"/>
  <c r="N1117" s="1"/>
  <c r="N1119" s="1"/>
  <c r="N1121" s="1"/>
  <c r="N936"/>
  <c r="N937" s="1"/>
  <c r="N939" s="1"/>
  <c r="N941" s="1"/>
  <c r="N891"/>
  <c r="N892" s="1"/>
  <c r="N894" s="1"/>
  <c r="N896" s="1"/>
  <c r="N711"/>
  <c r="N712" s="1"/>
  <c r="N714" s="1"/>
  <c r="N716" s="1"/>
  <c r="N666"/>
  <c r="N667" s="1"/>
  <c r="N669" s="1"/>
  <c r="N671" s="1"/>
  <c r="N486"/>
  <c r="N487" s="1"/>
  <c r="N489" s="1"/>
  <c r="N491" s="1"/>
  <c r="N351"/>
  <c r="N1206"/>
  <c r="N1207" s="1"/>
  <c r="N1209" s="1"/>
  <c r="N1211" s="1"/>
  <c r="N1071"/>
  <c r="N1072" s="1"/>
  <c r="N1074" s="1"/>
  <c r="N1076" s="1"/>
  <c r="N1026"/>
  <c r="N1027" s="1"/>
  <c r="N1029" s="1"/>
  <c r="N1031" s="1"/>
  <c r="N981"/>
  <c r="N982" s="1"/>
  <c r="N984" s="1"/>
  <c r="N986" s="1"/>
  <c r="N846"/>
  <c r="N847" s="1"/>
  <c r="N849" s="1"/>
  <c r="N851" s="1"/>
  <c r="N621"/>
  <c r="N622" s="1"/>
  <c r="N624" s="1"/>
  <c r="N626" s="1"/>
  <c r="N396"/>
  <c r="N397" s="1"/>
  <c r="N399" s="1"/>
  <c r="N401" s="1"/>
  <c r="N261"/>
  <c r="N216"/>
  <c r="N81"/>
  <c r="N126"/>
  <c r="N36"/>
  <c r="N171"/>
  <c r="K1017"/>
  <c r="L110"/>
  <c r="L111" s="1"/>
  <c r="L113" s="1"/>
  <c r="L117" s="1"/>
  <c r="I338"/>
  <c r="K1280"/>
  <c r="K1281" s="1"/>
  <c r="K1283" s="1"/>
  <c r="J1332"/>
  <c r="J428"/>
  <c r="M1010"/>
  <c r="M1011" s="1"/>
  <c r="M1013" s="1"/>
  <c r="M1323"/>
  <c r="I293"/>
  <c r="J1103"/>
  <c r="K785"/>
  <c r="K786" s="1"/>
  <c r="K788" s="1"/>
  <c r="H72"/>
  <c r="M352"/>
  <c r="M354" s="1"/>
  <c r="M356" s="1"/>
  <c r="M378" s="1"/>
  <c r="M380" s="1"/>
  <c r="M381" s="1"/>
  <c r="M383" s="1"/>
  <c r="M387" s="1"/>
  <c r="M262"/>
  <c r="M264" s="1"/>
  <c r="M266" s="1"/>
  <c r="M288" s="1"/>
  <c r="M307"/>
  <c r="M309" s="1"/>
  <c r="M311" s="1"/>
  <c r="M333" s="1"/>
  <c r="M335" s="1"/>
  <c r="M336" s="1"/>
  <c r="M338" s="1"/>
  <c r="M342" s="1"/>
  <c r="M37"/>
  <c r="M39" s="1"/>
  <c r="M41" s="1"/>
  <c r="M63" s="1"/>
  <c r="M65" s="1"/>
  <c r="M66" s="1"/>
  <c r="M68" s="1"/>
  <c r="M72" s="1"/>
  <c r="M172"/>
  <c r="M174" s="1"/>
  <c r="M176" s="1"/>
  <c r="M198" s="1"/>
  <c r="M200" s="1"/>
  <c r="M201" s="1"/>
  <c r="M203" s="1"/>
  <c r="M207" s="1"/>
  <c r="M217"/>
  <c r="M219" s="1"/>
  <c r="M221" s="1"/>
  <c r="M243" s="1"/>
  <c r="M245" s="1"/>
  <c r="M246" s="1"/>
  <c r="M248" s="1"/>
  <c r="M252" s="1"/>
  <c r="M82"/>
  <c r="M84" s="1"/>
  <c r="M86" s="1"/>
  <c r="M108" s="1"/>
  <c r="M127"/>
  <c r="M129" s="1"/>
  <c r="M131" s="1"/>
  <c r="M153" s="1"/>
  <c r="M155" s="1"/>
  <c r="M156" s="1"/>
  <c r="M158" s="1"/>
  <c r="M162" s="1"/>
  <c r="L560"/>
  <c r="L561" s="1"/>
  <c r="L563" s="1"/>
  <c r="J1238"/>
  <c r="J245"/>
  <c r="J246" s="1"/>
  <c r="K380"/>
  <c r="K381" s="1"/>
  <c r="J1152"/>
  <c r="M1233"/>
  <c r="M1188"/>
  <c r="M785"/>
  <c r="M786" s="1"/>
  <c r="M788" s="1"/>
  <c r="M792" s="1"/>
  <c r="J65"/>
  <c r="J66" s="1"/>
  <c r="L650"/>
  <c r="L651" s="1"/>
  <c r="L653" s="1"/>
  <c r="K965"/>
  <c r="K966" s="1"/>
  <c r="I203"/>
  <c r="O1267" i="36"/>
  <c r="O1269" s="1"/>
  <c r="O1271" s="1"/>
  <c r="O1286" s="1"/>
  <c r="O1288" s="1"/>
  <c r="O1289" s="1"/>
  <c r="O1291" s="1"/>
  <c r="O1295" s="1"/>
  <c r="O1306" s="1"/>
  <c r="J1252"/>
  <c r="J1255" s="1"/>
  <c r="J1257" s="1"/>
  <c r="J1301"/>
  <c r="J1304" s="1"/>
  <c r="I1252"/>
  <c r="I1255" s="1"/>
  <c r="I1257" s="1"/>
  <c r="I1301"/>
  <c r="N1288"/>
  <c r="N1289" s="1"/>
  <c r="N1291" s="1"/>
  <c r="N1295" s="1"/>
  <c r="N1306" s="1"/>
  <c r="P1216"/>
  <c r="P1265"/>
  <c r="P1215"/>
  <c r="P1264"/>
  <c r="J1295"/>
  <c r="L1289"/>
  <c r="N1239"/>
  <c r="N1240" s="1"/>
  <c r="N1242" s="1"/>
  <c r="N1246" s="1"/>
  <c r="N1257" s="1"/>
  <c r="O1168"/>
  <c r="O1169" s="1"/>
  <c r="O1171" s="1"/>
  <c r="O1173" s="1"/>
  <c r="O1188" s="1"/>
  <c r="O1217"/>
  <c r="O1218" s="1"/>
  <c r="O1220" s="1"/>
  <c r="O1222" s="1"/>
  <c r="O1237" s="1"/>
  <c r="H1206"/>
  <c r="H1208" s="1"/>
  <c r="J1154"/>
  <c r="J1157" s="1"/>
  <c r="J1159" s="1"/>
  <c r="J1203"/>
  <c r="I1154"/>
  <c r="I1157" s="1"/>
  <c r="I1159" s="1"/>
  <c r="I1203"/>
  <c r="N1190"/>
  <c r="N1191" s="1"/>
  <c r="N1193" s="1"/>
  <c r="N1197" s="1"/>
  <c r="N1208" s="1"/>
  <c r="P1118"/>
  <c r="P1167"/>
  <c r="P1117"/>
  <c r="P1166"/>
  <c r="K1197"/>
  <c r="M1191"/>
  <c r="N1141"/>
  <c r="N1142" s="1"/>
  <c r="N1144" s="1"/>
  <c r="N1148" s="1"/>
  <c r="N1159" s="1"/>
  <c r="O1070"/>
  <c r="O1071" s="1"/>
  <c r="O1073" s="1"/>
  <c r="O1075" s="1"/>
  <c r="O1090" s="1"/>
  <c r="O1092" s="1"/>
  <c r="O1093" s="1"/>
  <c r="O1095" s="1"/>
  <c r="O1099" s="1"/>
  <c r="O1110" s="1"/>
  <c r="O1119"/>
  <c r="O1120" s="1"/>
  <c r="O1122" s="1"/>
  <c r="O1124" s="1"/>
  <c r="O1139" s="1"/>
  <c r="K55" i="23"/>
  <c r="J1071" i="36" s="1"/>
  <c r="J1073" s="1"/>
  <c r="J1075" s="1"/>
  <c r="J1090" s="1"/>
  <c r="J1092" s="1"/>
  <c r="J1093" s="1"/>
  <c r="J1095" s="1"/>
  <c r="J1099" s="1"/>
  <c r="J1105"/>
  <c r="J1108" s="1"/>
  <c r="J55" i="23"/>
  <c r="I1071" i="36" s="1"/>
  <c r="I1073" s="1"/>
  <c r="I1075" s="1"/>
  <c r="I1090" s="1"/>
  <c r="I1092" s="1"/>
  <c r="I1093" s="1"/>
  <c r="I1095" s="1"/>
  <c r="I1099" s="1"/>
  <c r="I1105"/>
  <c r="I1108" s="1"/>
  <c r="P1031"/>
  <c r="P1069"/>
  <c r="P1030"/>
  <c r="P1068"/>
  <c r="H1090"/>
  <c r="H1092" s="1"/>
  <c r="F1099"/>
  <c r="F1110" s="1"/>
  <c r="P384"/>
  <c r="P194"/>
  <c r="P232"/>
  <c r="P536"/>
  <c r="P612"/>
  <c r="P916"/>
  <c r="P118"/>
  <c r="P308"/>
  <c r="P460"/>
  <c r="P650"/>
  <c r="P764"/>
  <c r="O35" i="23"/>
  <c r="R15"/>
  <c r="Q954" i="36" s="1"/>
  <c r="P42"/>
  <c r="P80"/>
  <c r="P156"/>
  <c r="P270"/>
  <c r="P346"/>
  <c r="P422"/>
  <c r="P498"/>
  <c r="P574"/>
  <c r="P688"/>
  <c r="P726"/>
  <c r="P878"/>
  <c r="P992"/>
  <c r="O994"/>
  <c r="O995" s="1"/>
  <c r="O997" s="1"/>
  <c r="O999" s="1"/>
  <c r="O1014" s="1"/>
  <c r="O1016" s="1"/>
  <c r="O1017" s="1"/>
  <c r="O1019" s="1"/>
  <c r="O1023" s="1"/>
  <c r="O1032"/>
  <c r="O1033" s="1"/>
  <c r="O1035" s="1"/>
  <c r="O1037" s="1"/>
  <c r="O1052" s="1"/>
  <c r="O1054" s="1"/>
  <c r="O1055" s="1"/>
  <c r="O1057" s="1"/>
  <c r="O1061" s="1"/>
  <c r="I995"/>
  <c r="I997" s="1"/>
  <c r="I999" s="1"/>
  <c r="I1014" s="1"/>
  <c r="I1016" s="1"/>
  <c r="I1017" s="1"/>
  <c r="I1019" s="1"/>
  <c r="I1023" s="1"/>
  <c r="I1033"/>
  <c r="I1035" s="1"/>
  <c r="I1037" s="1"/>
  <c r="I1052" s="1"/>
  <c r="D1061"/>
  <c r="F1055"/>
  <c r="J995"/>
  <c r="J997" s="1"/>
  <c r="J999" s="1"/>
  <c r="J1014" s="1"/>
  <c r="J1016" s="1"/>
  <c r="J1017" s="1"/>
  <c r="J1019" s="1"/>
  <c r="J1023" s="1"/>
  <c r="J1033"/>
  <c r="J1035" s="1"/>
  <c r="J1037" s="1"/>
  <c r="J1052" s="1"/>
  <c r="H1037"/>
  <c r="P955"/>
  <c r="P993"/>
  <c r="F1019"/>
  <c r="H1014"/>
  <c r="H1016" s="1"/>
  <c r="N978"/>
  <c r="N979" s="1"/>
  <c r="N981" s="1"/>
  <c r="N985" s="1"/>
  <c r="O918"/>
  <c r="O919" s="1"/>
  <c r="O921" s="1"/>
  <c r="O923" s="1"/>
  <c r="O938" s="1"/>
  <c r="O940" s="1"/>
  <c r="O941" s="1"/>
  <c r="O943" s="1"/>
  <c r="O947" s="1"/>
  <c r="O956"/>
  <c r="O957" s="1"/>
  <c r="O959" s="1"/>
  <c r="O961" s="1"/>
  <c r="O976" s="1"/>
  <c r="D985"/>
  <c r="F979"/>
  <c r="J919"/>
  <c r="J921" s="1"/>
  <c r="J923" s="1"/>
  <c r="J938" s="1"/>
  <c r="J940" s="1"/>
  <c r="J941" s="1"/>
  <c r="J943" s="1"/>
  <c r="J947" s="1"/>
  <c r="J957"/>
  <c r="J959" s="1"/>
  <c r="J961" s="1"/>
  <c r="J976" s="1"/>
  <c r="I919"/>
  <c r="I921" s="1"/>
  <c r="I923" s="1"/>
  <c r="I938" s="1"/>
  <c r="I940" s="1"/>
  <c r="I941" s="1"/>
  <c r="I943" s="1"/>
  <c r="I947" s="1"/>
  <c r="I957"/>
  <c r="I959" s="1"/>
  <c r="I961" s="1"/>
  <c r="I976" s="1"/>
  <c r="H961"/>
  <c r="P879"/>
  <c r="P917"/>
  <c r="H938"/>
  <c r="H940" s="1"/>
  <c r="F947"/>
  <c r="N902"/>
  <c r="N903" s="1"/>
  <c r="N905" s="1"/>
  <c r="N909" s="1"/>
  <c r="N864"/>
  <c r="N865" s="1"/>
  <c r="N867" s="1"/>
  <c r="N871" s="1"/>
  <c r="N826"/>
  <c r="N827" s="1"/>
  <c r="N829" s="1"/>
  <c r="N833" s="1"/>
  <c r="O842"/>
  <c r="O843" s="1"/>
  <c r="O845" s="1"/>
  <c r="O847" s="1"/>
  <c r="O862" s="1"/>
  <c r="O880"/>
  <c r="O881" s="1"/>
  <c r="O883" s="1"/>
  <c r="O885" s="1"/>
  <c r="O900" s="1"/>
  <c r="P803"/>
  <c r="P841"/>
  <c r="J805"/>
  <c r="J807" s="1"/>
  <c r="J809" s="1"/>
  <c r="J824" s="1"/>
  <c r="J843"/>
  <c r="J845" s="1"/>
  <c r="J847" s="1"/>
  <c r="J862" s="1"/>
  <c r="I805"/>
  <c r="I807" s="1"/>
  <c r="I809" s="1"/>
  <c r="I824" s="1"/>
  <c r="I843"/>
  <c r="I845" s="1"/>
  <c r="I847" s="1"/>
  <c r="I862" s="1"/>
  <c r="D871"/>
  <c r="F865"/>
  <c r="H847"/>
  <c r="O804"/>
  <c r="O805" s="1"/>
  <c r="O807" s="1"/>
  <c r="O809" s="1"/>
  <c r="O824" s="1"/>
  <c r="F829"/>
  <c r="H824"/>
  <c r="H826" s="1"/>
  <c r="P20" i="22"/>
  <c r="N34" i="37"/>
  <c r="O34" i="22"/>
  <c r="O39" s="1"/>
  <c r="M74" i="37"/>
  <c r="P71"/>
  <c r="P115" s="1"/>
  <c r="P72"/>
  <c r="P116" s="1"/>
  <c r="N73"/>
  <c r="N117" s="1"/>
  <c r="I105"/>
  <c r="N15" i="22"/>
  <c r="N17" s="1"/>
  <c r="P24" i="37"/>
  <c r="M27"/>
  <c r="M29" s="1"/>
  <c r="M31" s="1"/>
  <c r="K55"/>
  <c r="K56" s="1"/>
  <c r="K58" s="1"/>
  <c r="K62" s="1"/>
  <c r="K46" i="22"/>
  <c r="K50" s="1"/>
  <c r="J53" i="37"/>
  <c r="M41" i="22"/>
  <c r="M43" s="1"/>
  <c r="M44" s="1"/>
  <c r="N26" i="37"/>
  <c r="P12" i="22"/>
  <c r="O13"/>
  <c r="P25" i="37"/>
  <c r="R11" i="22"/>
  <c r="O166" i="36"/>
  <c r="O171" s="1"/>
  <c r="O176" s="1"/>
  <c r="L315"/>
  <c r="L330" s="1"/>
  <c r="L332" s="1"/>
  <c r="L333" s="1"/>
  <c r="L335" s="1"/>
  <c r="L339" s="1"/>
  <c r="M788"/>
  <c r="M789" s="1"/>
  <c r="M791" s="1"/>
  <c r="M795" s="1"/>
  <c r="P727"/>
  <c r="P765"/>
  <c r="O728"/>
  <c r="O729" s="1"/>
  <c r="O766"/>
  <c r="O767" s="1"/>
  <c r="L786"/>
  <c r="J791"/>
  <c r="N731"/>
  <c r="N733" s="1"/>
  <c r="N748" s="1"/>
  <c r="N750" s="1"/>
  <c r="N751" s="1"/>
  <c r="N753" s="1"/>
  <c r="N757" s="1"/>
  <c r="N769"/>
  <c r="N771" s="1"/>
  <c r="N786" s="1"/>
  <c r="P651"/>
  <c r="P689"/>
  <c r="O652"/>
  <c r="O653" s="1"/>
  <c r="O690"/>
  <c r="O691" s="1"/>
  <c r="N655"/>
  <c r="N657" s="1"/>
  <c r="N672" s="1"/>
  <c r="N674" s="1"/>
  <c r="N675" s="1"/>
  <c r="N677" s="1"/>
  <c r="N681" s="1"/>
  <c r="N693"/>
  <c r="N695" s="1"/>
  <c r="N710" s="1"/>
  <c r="N712" s="1"/>
  <c r="N713" s="1"/>
  <c r="N715" s="1"/>
  <c r="N719" s="1"/>
  <c r="L710"/>
  <c r="J715"/>
  <c r="J655"/>
  <c r="J657" s="1"/>
  <c r="J672" s="1"/>
  <c r="J674" s="1"/>
  <c r="J675" s="1"/>
  <c r="J677" s="1"/>
  <c r="J681" s="1"/>
  <c r="I655"/>
  <c r="I657" s="1"/>
  <c r="I672" s="1"/>
  <c r="I674" s="1"/>
  <c r="I675" s="1"/>
  <c r="I677" s="1"/>
  <c r="I681" s="1"/>
  <c r="F677"/>
  <c r="H672"/>
  <c r="H674" s="1"/>
  <c r="N636"/>
  <c r="N637" s="1"/>
  <c r="N639" s="1"/>
  <c r="N643" s="1"/>
  <c r="N598"/>
  <c r="N599" s="1"/>
  <c r="N601" s="1"/>
  <c r="N605" s="1"/>
  <c r="N560"/>
  <c r="N561" s="1"/>
  <c r="N563" s="1"/>
  <c r="N567" s="1"/>
  <c r="M522"/>
  <c r="M523" s="1"/>
  <c r="M525" s="1"/>
  <c r="M529" s="1"/>
  <c r="N484"/>
  <c r="N485" s="1"/>
  <c r="N487" s="1"/>
  <c r="N491" s="1"/>
  <c r="N446"/>
  <c r="N447" s="1"/>
  <c r="N449" s="1"/>
  <c r="N453" s="1"/>
  <c r="O576"/>
  <c r="O577" s="1"/>
  <c r="O579" s="1"/>
  <c r="O581" s="1"/>
  <c r="O596" s="1"/>
  <c r="O614"/>
  <c r="O615" s="1"/>
  <c r="O617" s="1"/>
  <c r="O619" s="1"/>
  <c r="O634" s="1"/>
  <c r="I579"/>
  <c r="I581" s="1"/>
  <c r="I596" s="1"/>
  <c r="I617"/>
  <c r="I619" s="1"/>
  <c r="I634" s="1"/>
  <c r="J579"/>
  <c r="J581" s="1"/>
  <c r="J596" s="1"/>
  <c r="J617"/>
  <c r="J619" s="1"/>
  <c r="J634" s="1"/>
  <c r="D643"/>
  <c r="F637"/>
  <c r="H619"/>
  <c r="H596"/>
  <c r="H598" s="1"/>
  <c r="F601"/>
  <c r="N503"/>
  <c r="N505" s="1"/>
  <c r="N520" s="1"/>
  <c r="O500"/>
  <c r="O501" s="1"/>
  <c r="O538"/>
  <c r="O539" s="1"/>
  <c r="O541" s="1"/>
  <c r="O543" s="1"/>
  <c r="O558" s="1"/>
  <c r="I503"/>
  <c r="I505" s="1"/>
  <c r="I520" s="1"/>
  <c r="I541"/>
  <c r="I543" s="1"/>
  <c r="I558" s="1"/>
  <c r="J503"/>
  <c r="J505" s="1"/>
  <c r="J520" s="1"/>
  <c r="J541"/>
  <c r="J543" s="1"/>
  <c r="J558" s="1"/>
  <c r="D567"/>
  <c r="F561"/>
  <c r="H543"/>
  <c r="P461"/>
  <c r="F529"/>
  <c r="H520"/>
  <c r="H522" s="1"/>
  <c r="O424"/>
  <c r="O425" s="1"/>
  <c r="O427" s="1"/>
  <c r="O429" s="1"/>
  <c r="O444" s="1"/>
  <c r="O462"/>
  <c r="O463" s="1"/>
  <c r="O465" s="1"/>
  <c r="O467" s="1"/>
  <c r="O482" s="1"/>
  <c r="I425"/>
  <c r="I427" s="1"/>
  <c r="I429" s="1"/>
  <c r="I444" s="1"/>
  <c r="I463"/>
  <c r="I465" s="1"/>
  <c r="I467" s="1"/>
  <c r="I482" s="1"/>
  <c r="J425"/>
  <c r="J427" s="1"/>
  <c r="J429" s="1"/>
  <c r="J444" s="1"/>
  <c r="J463"/>
  <c r="J465" s="1"/>
  <c r="J467" s="1"/>
  <c r="J482" s="1"/>
  <c r="F485"/>
  <c r="F487" s="1"/>
  <c r="H467"/>
  <c r="P385"/>
  <c r="P423"/>
  <c r="H444"/>
  <c r="H446" s="1"/>
  <c r="F449"/>
  <c r="O349"/>
  <c r="O351" s="1"/>
  <c r="O353" s="1"/>
  <c r="O368" s="1"/>
  <c r="O370" s="1"/>
  <c r="O371" s="1"/>
  <c r="O373" s="1"/>
  <c r="O377" s="1"/>
  <c r="O386"/>
  <c r="O387" s="1"/>
  <c r="O389" s="1"/>
  <c r="O391" s="1"/>
  <c r="O406" s="1"/>
  <c r="O408" s="1"/>
  <c r="O409" s="1"/>
  <c r="O411" s="1"/>
  <c r="O415" s="1"/>
  <c r="N415"/>
  <c r="K256"/>
  <c r="K257" s="1"/>
  <c r="K259" s="1"/>
  <c r="K263" s="1"/>
  <c r="M373"/>
  <c r="P309"/>
  <c r="P347"/>
  <c r="I339"/>
  <c r="M275"/>
  <c r="M313"/>
  <c r="O272"/>
  <c r="O310"/>
  <c r="N273"/>
  <c r="N311"/>
  <c r="L239"/>
  <c r="L254" s="1"/>
  <c r="L277"/>
  <c r="L292" s="1"/>
  <c r="I301"/>
  <c r="K292"/>
  <c r="K294" s="1"/>
  <c r="P233"/>
  <c r="P271"/>
  <c r="M199"/>
  <c r="M237"/>
  <c r="J257"/>
  <c r="H263"/>
  <c r="O196"/>
  <c r="O234"/>
  <c r="N197"/>
  <c r="N235"/>
  <c r="L163"/>
  <c r="L178" s="1"/>
  <c r="L180" s="1"/>
  <c r="L181" s="1"/>
  <c r="L183" s="1"/>
  <c r="L187" s="1"/>
  <c r="L201"/>
  <c r="L216" s="1"/>
  <c r="K216"/>
  <c r="K218" s="1"/>
  <c r="P157"/>
  <c r="P195"/>
  <c r="M123"/>
  <c r="M161"/>
  <c r="J180"/>
  <c r="J181" s="1"/>
  <c r="H187"/>
  <c r="O120"/>
  <c r="O158"/>
  <c r="N121"/>
  <c r="N159"/>
  <c r="H111"/>
  <c r="O90"/>
  <c r="O95" s="1"/>
  <c r="O100" s="1"/>
  <c r="O128"/>
  <c r="O133" s="1"/>
  <c r="O138" s="1"/>
  <c r="J145"/>
  <c r="L87"/>
  <c r="L102" s="1"/>
  <c r="L104" s="1"/>
  <c r="L105" s="1"/>
  <c r="L107" s="1"/>
  <c r="L111" s="1"/>
  <c r="L125"/>
  <c r="L140" s="1"/>
  <c r="K140"/>
  <c r="K142" s="1"/>
  <c r="P81"/>
  <c r="P119"/>
  <c r="P30" i="23"/>
  <c r="J105" i="36"/>
  <c r="M47"/>
  <c r="M85"/>
  <c r="Q25" i="23"/>
  <c r="Q30" s="1"/>
  <c r="O52" i="36"/>
  <c r="O57" s="1"/>
  <c r="O62" s="1"/>
  <c r="N45"/>
  <c r="N83"/>
  <c r="P18" i="23"/>
  <c r="O82" i="36"/>
  <c r="C64"/>
  <c r="C66" s="1"/>
  <c r="C67" s="1"/>
  <c r="C69" s="1"/>
  <c r="C73" s="1"/>
  <c r="H42" i="23"/>
  <c r="F40"/>
  <c r="E40"/>
  <c r="E42" s="1"/>
  <c r="J40"/>
  <c r="G40"/>
  <c r="I40"/>
  <c r="K40"/>
  <c r="L39"/>
  <c r="M37"/>
  <c r="L49" i="36"/>
  <c r="L64" s="1"/>
  <c r="L66" s="1"/>
  <c r="L67" s="1"/>
  <c r="L69" s="1"/>
  <c r="Q17" i="23"/>
  <c r="P1266" i="36" s="1"/>
  <c r="O44"/>
  <c r="P43"/>
  <c r="R16" i="23"/>
  <c r="G24" i="9"/>
  <c r="L5"/>
  <c r="N22" i="23"/>
  <c r="G23" i="9"/>
  <c r="J9"/>
  <c r="L9" s="1"/>
  <c r="B11" s="1"/>
  <c r="B14" s="1"/>
  <c r="R44" i="23"/>
  <c r="Q71" i="36" s="1"/>
  <c r="P43" i="23"/>
  <c r="P33"/>
  <c r="O20"/>
  <c r="M52"/>
  <c r="K13" i="29"/>
  <c r="I24" i="9"/>
  <c r="R10" i="22"/>
  <c r="N1098" i="40" l="1"/>
  <c r="N1100" s="1"/>
  <c r="N1101" s="1"/>
  <c r="N1103" s="1"/>
  <c r="N1107" s="1"/>
  <c r="N648"/>
  <c r="N558"/>
  <c r="N560" s="1"/>
  <c r="N561" s="1"/>
  <c r="N563" s="1"/>
  <c r="N567" s="1"/>
  <c r="N423"/>
  <c r="N425" s="1"/>
  <c r="N426" s="1"/>
  <c r="N963"/>
  <c r="N1278"/>
  <c r="N1280" s="1"/>
  <c r="N1281" s="1"/>
  <c r="N1283" s="1"/>
  <c r="N1287" s="1"/>
  <c r="N693"/>
  <c r="N695" s="1"/>
  <c r="N696" s="1"/>
  <c r="N698" s="1"/>
  <c r="N702" s="1"/>
  <c r="N828"/>
  <c r="N830" s="1"/>
  <c r="N831" s="1"/>
  <c r="N833" s="1"/>
  <c r="N837" s="1"/>
  <c r="N1233"/>
  <c r="N738"/>
  <c r="N740" s="1"/>
  <c r="N741" s="1"/>
  <c r="N743" s="1"/>
  <c r="N1143"/>
  <c r="N513"/>
  <c r="N515" s="1"/>
  <c r="N516" s="1"/>
  <c r="N518" s="1"/>
  <c r="N522" s="1"/>
  <c r="N468"/>
  <c r="N1008"/>
  <c r="N1010" s="1"/>
  <c r="N1011" s="1"/>
  <c r="N1013" s="1"/>
  <c r="N1017" s="1"/>
  <c r="N918"/>
  <c r="N920" s="1"/>
  <c r="N921" s="1"/>
  <c r="N1323"/>
  <c r="N1325" s="1"/>
  <c r="N1326" s="1"/>
  <c r="N1328" s="1"/>
  <c r="N1332" s="1"/>
  <c r="O1034"/>
  <c r="O1046" s="1"/>
  <c r="O1051" s="1"/>
  <c r="O989"/>
  <c r="O1001" s="1"/>
  <c r="O1006" s="1"/>
  <c r="O81" i="37"/>
  <c r="O93" s="1"/>
  <c r="O98" s="1"/>
  <c r="O1079" i="40"/>
  <c r="O1091" s="1"/>
  <c r="O1096" s="1"/>
  <c r="O809"/>
  <c r="O821" s="1"/>
  <c r="O826" s="1"/>
  <c r="O1259"/>
  <c r="O1271" s="1"/>
  <c r="O1276" s="1"/>
  <c r="O674"/>
  <c r="O686" s="1"/>
  <c r="O691" s="1"/>
  <c r="O1169"/>
  <c r="O1181" s="1"/>
  <c r="O1186" s="1"/>
  <c r="O539"/>
  <c r="O551" s="1"/>
  <c r="O556" s="1"/>
  <c r="O449"/>
  <c r="O461" s="1"/>
  <c r="O466" s="1"/>
  <c r="O764"/>
  <c r="O776" s="1"/>
  <c r="O781" s="1"/>
  <c r="O404"/>
  <c r="O416" s="1"/>
  <c r="O421" s="1"/>
  <c r="O314"/>
  <c r="O326" s="1"/>
  <c r="O331" s="1"/>
  <c r="O1214"/>
  <c r="O1226" s="1"/>
  <c r="O1231" s="1"/>
  <c r="O719"/>
  <c r="O731" s="1"/>
  <c r="O736" s="1"/>
  <c r="O359"/>
  <c r="O371" s="1"/>
  <c r="O376" s="1"/>
  <c r="O269"/>
  <c r="O281" s="1"/>
  <c r="O286" s="1"/>
  <c r="O224"/>
  <c r="O236" s="1"/>
  <c r="O241" s="1"/>
  <c r="O1124"/>
  <c r="O1136" s="1"/>
  <c r="O1141" s="1"/>
  <c r="O134"/>
  <c r="O146" s="1"/>
  <c r="O151" s="1"/>
  <c r="O899"/>
  <c r="O911" s="1"/>
  <c r="O916" s="1"/>
  <c r="O854"/>
  <c r="O866" s="1"/>
  <c r="O871" s="1"/>
  <c r="O629"/>
  <c r="O641" s="1"/>
  <c r="O646" s="1"/>
  <c r="O584"/>
  <c r="O596" s="1"/>
  <c r="O601" s="1"/>
  <c r="O1304"/>
  <c r="O1316" s="1"/>
  <c r="O1321" s="1"/>
  <c r="O494"/>
  <c r="O506" s="1"/>
  <c r="O511" s="1"/>
  <c r="O89"/>
  <c r="O101" s="1"/>
  <c r="O106" s="1"/>
  <c r="O179"/>
  <c r="O191" s="1"/>
  <c r="O196" s="1"/>
  <c r="O44"/>
  <c r="O56" s="1"/>
  <c r="O61" s="1"/>
  <c r="O944"/>
  <c r="O956" s="1"/>
  <c r="O961" s="1"/>
  <c r="N783"/>
  <c r="N785" s="1"/>
  <c r="N786" s="1"/>
  <c r="N788" s="1"/>
  <c r="N792" s="1"/>
  <c r="N46" i="37"/>
  <c r="N51" s="1"/>
  <c r="N125"/>
  <c r="N137" s="1"/>
  <c r="N142" s="1"/>
  <c r="N1053" i="40"/>
  <c r="N1055" s="1"/>
  <c r="N1056" s="1"/>
  <c r="N1058" s="1"/>
  <c r="N1062" s="1"/>
  <c r="N603"/>
  <c r="N605" s="1"/>
  <c r="N606" s="1"/>
  <c r="N608" s="1"/>
  <c r="N612" s="1"/>
  <c r="N873"/>
  <c r="N875" s="1"/>
  <c r="N876" s="1"/>
  <c r="N878" s="1"/>
  <c r="N882" s="1"/>
  <c r="N1188"/>
  <c r="Q1294"/>
  <c r="Q1114"/>
  <c r="Q889"/>
  <c r="Q844"/>
  <c r="Q799"/>
  <c r="Q754"/>
  <c r="Q709"/>
  <c r="Q349"/>
  <c r="Q124"/>
  <c r="Q934"/>
  <c r="Q529"/>
  <c r="Q394"/>
  <c r="Q259"/>
  <c r="Q34"/>
  <c r="Q1069"/>
  <c r="Q304"/>
  <c r="Q169"/>
  <c r="Q1249"/>
  <c r="Q1204"/>
  <c r="Q1159"/>
  <c r="Q1024"/>
  <c r="Q979"/>
  <c r="Q664"/>
  <c r="Q619"/>
  <c r="Q574"/>
  <c r="Q484"/>
  <c r="Q439"/>
  <c r="Q214"/>
  <c r="Q79"/>
  <c r="Q170"/>
  <c r="Q125"/>
  <c r="Q1205"/>
  <c r="Q1025"/>
  <c r="Q440"/>
  <c r="Q395"/>
  <c r="Q80"/>
  <c r="Q35"/>
  <c r="Q1295"/>
  <c r="Q1115"/>
  <c r="Q1070"/>
  <c r="Q350"/>
  <c r="Q305"/>
  <c r="Q1250"/>
  <c r="Q1160"/>
  <c r="Q980"/>
  <c r="Q530"/>
  <c r="Q485"/>
  <c r="Q260"/>
  <c r="Q215"/>
  <c r="M1017"/>
  <c r="M522"/>
  <c r="K1287"/>
  <c r="M477"/>
  <c r="L657"/>
  <c r="L567"/>
  <c r="K117"/>
  <c r="M1152"/>
  <c r="N352"/>
  <c r="N354" s="1"/>
  <c r="N356" s="1"/>
  <c r="N378" s="1"/>
  <c r="N262"/>
  <c r="N264" s="1"/>
  <c r="N266" s="1"/>
  <c r="N288" s="1"/>
  <c r="N307"/>
  <c r="N309" s="1"/>
  <c r="N311" s="1"/>
  <c r="N333" s="1"/>
  <c r="N127"/>
  <c r="N129" s="1"/>
  <c r="N131" s="1"/>
  <c r="N153" s="1"/>
  <c r="N37"/>
  <c r="N39" s="1"/>
  <c r="N41" s="1"/>
  <c r="N63" s="1"/>
  <c r="N172"/>
  <c r="N174" s="1"/>
  <c r="N176" s="1"/>
  <c r="N198" s="1"/>
  <c r="N200" s="1"/>
  <c r="N201" s="1"/>
  <c r="N217"/>
  <c r="N219" s="1"/>
  <c r="N221" s="1"/>
  <c r="N243" s="1"/>
  <c r="N82"/>
  <c r="N84" s="1"/>
  <c r="N86" s="1"/>
  <c r="N108" s="1"/>
  <c r="I207"/>
  <c r="M110"/>
  <c r="M111" s="1"/>
  <c r="M113" s="1"/>
  <c r="M117" s="1"/>
  <c r="I342"/>
  <c r="N650"/>
  <c r="N651" s="1"/>
  <c r="N653" s="1"/>
  <c r="N657" s="1"/>
  <c r="N1145"/>
  <c r="N1146" s="1"/>
  <c r="N1148" s="1"/>
  <c r="N1152" s="1"/>
  <c r="J837"/>
  <c r="J1197"/>
  <c r="I149" i="37"/>
  <c r="M1235" i="40"/>
  <c r="M1236" s="1"/>
  <c r="M1238" s="1"/>
  <c r="M1242" s="1"/>
  <c r="K383"/>
  <c r="J1242"/>
  <c r="K792"/>
  <c r="I297"/>
  <c r="N965"/>
  <c r="N966" s="1"/>
  <c r="N968" s="1"/>
  <c r="N972" s="1"/>
  <c r="N470"/>
  <c r="N471" s="1"/>
  <c r="N473" s="1"/>
  <c r="N477" s="1"/>
  <c r="M76" i="37"/>
  <c r="M78" s="1"/>
  <c r="M100" s="1"/>
  <c r="M102" s="1"/>
  <c r="M103" s="1"/>
  <c r="M105" s="1"/>
  <c r="M109" s="1"/>
  <c r="M118"/>
  <c r="M120" s="1"/>
  <c r="M122" s="1"/>
  <c r="M144" s="1"/>
  <c r="L290" i="40"/>
  <c r="L291" s="1"/>
  <c r="L293" s="1"/>
  <c r="J158"/>
  <c r="M698"/>
  <c r="K927"/>
  <c r="K968"/>
  <c r="O1206"/>
  <c r="O1207" s="1"/>
  <c r="O1209" s="1"/>
  <c r="O1211" s="1"/>
  <c r="O1071"/>
  <c r="O1072" s="1"/>
  <c r="O1074" s="1"/>
  <c r="O1076" s="1"/>
  <c r="O1026"/>
  <c r="O1027" s="1"/>
  <c r="O1029" s="1"/>
  <c r="O1031" s="1"/>
  <c r="O1053" s="1"/>
  <c r="O1055" s="1"/>
  <c r="O1056" s="1"/>
  <c r="O1058" s="1"/>
  <c r="O1062" s="1"/>
  <c r="O981"/>
  <c r="O982" s="1"/>
  <c r="O984" s="1"/>
  <c r="O986" s="1"/>
  <c r="O846"/>
  <c r="O847" s="1"/>
  <c r="O849" s="1"/>
  <c r="O851" s="1"/>
  <c r="O621"/>
  <c r="O622" s="1"/>
  <c r="O624" s="1"/>
  <c r="O626" s="1"/>
  <c r="O396"/>
  <c r="O397" s="1"/>
  <c r="O399" s="1"/>
  <c r="O401" s="1"/>
  <c r="O261"/>
  <c r="O1251"/>
  <c r="O1252" s="1"/>
  <c r="O1254" s="1"/>
  <c r="O1256" s="1"/>
  <c r="O801"/>
  <c r="O802" s="1"/>
  <c r="O804" s="1"/>
  <c r="O806" s="1"/>
  <c r="O828" s="1"/>
  <c r="O830" s="1"/>
  <c r="O831" s="1"/>
  <c r="O833" s="1"/>
  <c r="O837" s="1"/>
  <c r="O576"/>
  <c r="O577" s="1"/>
  <c r="O579" s="1"/>
  <c r="O581" s="1"/>
  <c r="O306"/>
  <c r="O756"/>
  <c r="O757" s="1"/>
  <c r="O759" s="1"/>
  <c r="O761" s="1"/>
  <c r="O531"/>
  <c r="O532" s="1"/>
  <c r="O534" s="1"/>
  <c r="O536" s="1"/>
  <c r="O558" s="1"/>
  <c r="O441"/>
  <c r="O442" s="1"/>
  <c r="O444" s="1"/>
  <c r="O446" s="1"/>
  <c r="O1296"/>
  <c r="O1297" s="1"/>
  <c r="O1299" s="1"/>
  <c r="O1301" s="1"/>
  <c r="O1323" s="1"/>
  <c r="O1161"/>
  <c r="O1162" s="1"/>
  <c r="O1164" s="1"/>
  <c r="O1166" s="1"/>
  <c r="O1116"/>
  <c r="O1117" s="1"/>
  <c r="O1119" s="1"/>
  <c r="O1121" s="1"/>
  <c r="O936"/>
  <c r="O937" s="1"/>
  <c r="O939" s="1"/>
  <c r="O941" s="1"/>
  <c r="O891"/>
  <c r="O892" s="1"/>
  <c r="O894" s="1"/>
  <c r="O896" s="1"/>
  <c r="O918" s="1"/>
  <c r="O920" s="1"/>
  <c r="O921" s="1"/>
  <c r="O923" s="1"/>
  <c r="O927" s="1"/>
  <c r="O711"/>
  <c r="O712" s="1"/>
  <c r="O714" s="1"/>
  <c r="O716" s="1"/>
  <c r="O666"/>
  <c r="O667" s="1"/>
  <c r="O669" s="1"/>
  <c r="O671" s="1"/>
  <c r="O486"/>
  <c r="O487" s="1"/>
  <c r="O489" s="1"/>
  <c r="O491" s="1"/>
  <c r="O351"/>
  <c r="O171"/>
  <c r="O216"/>
  <c r="O81"/>
  <c r="O126"/>
  <c r="O36"/>
  <c r="M1190"/>
  <c r="M1191" s="1"/>
  <c r="M1193" s="1"/>
  <c r="M1197" s="1"/>
  <c r="J248"/>
  <c r="M290"/>
  <c r="M291" s="1"/>
  <c r="M293" s="1"/>
  <c r="M297" s="1"/>
  <c r="J1107"/>
  <c r="M1325"/>
  <c r="M1326" s="1"/>
  <c r="M1328" s="1"/>
  <c r="J432"/>
  <c r="N1235"/>
  <c r="N1236" s="1"/>
  <c r="N1238" s="1"/>
  <c r="N1242" s="1"/>
  <c r="N1190"/>
  <c r="N1191" s="1"/>
  <c r="N1193" s="1"/>
  <c r="N1197" s="1"/>
  <c r="J68"/>
  <c r="P1267" i="36"/>
  <c r="P1269" s="1"/>
  <c r="P1271" s="1"/>
  <c r="P1286" s="1"/>
  <c r="P1288" s="1"/>
  <c r="P1289" s="1"/>
  <c r="P1291" s="1"/>
  <c r="P1295" s="1"/>
  <c r="P1306" s="1"/>
  <c r="I1304"/>
  <c r="I1306" s="1"/>
  <c r="L1252"/>
  <c r="L1255" s="1"/>
  <c r="L1257" s="1"/>
  <c r="L1301"/>
  <c r="L1304" s="1"/>
  <c r="Q1216"/>
  <c r="Q1265"/>
  <c r="Q1215"/>
  <c r="Q1264"/>
  <c r="L1291"/>
  <c r="J1306"/>
  <c r="O1239"/>
  <c r="O1240" s="1"/>
  <c r="O1242" s="1"/>
  <c r="O1246" s="1"/>
  <c r="O1257" s="1"/>
  <c r="P1168"/>
  <c r="P1169" s="1"/>
  <c r="P1171" s="1"/>
  <c r="P1173" s="1"/>
  <c r="P1188" s="1"/>
  <c r="P1217"/>
  <c r="P1218" s="1"/>
  <c r="P1220" s="1"/>
  <c r="P1222" s="1"/>
  <c r="P1237" s="1"/>
  <c r="I1206"/>
  <c r="I1208" s="1"/>
  <c r="J1206"/>
  <c r="J1208" s="1"/>
  <c r="L1154"/>
  <c r="L1157" s="1"/>
  <c r="L1159" s="1"/>
  <c r="L1203"/>
  <c r="O1190"/>
  <c r="O1191" s="1"/>
  <c r="O1193" s="1"/>
  <c r="O1197" s="1"/>
  <c r="O1208" s="1"/>
  <c r="Q1118"/>
  <c r="Q1167"/>
  <c r="Q1117"/>
  <c r="Q1166"/>
  <c r="M1193"/>
  <c r="O1141"/>
  <c r="O1142" s="1"/>
  <c r="O1144" s="1"/>
  <c r="O1148" s="1"/>
  <c r="O1159" s="1"/>
  <c r="P1070"/>
  <c r="P1071" s="1"/>
  <c r="P1119"/>
  <c r="P1120" s="1"/>
  <c r="P1122" s="1"/>
  <c r="P1124" s="1"/>
  <c r="P1139" s="1"/>
  <c r="I1110"/>
  <c r="J1110"/>
  <c r="M55" i="23"/>
  <c r="L1071" i="36" s="1"/>
  <c r="L1073" s="1"/>
  <c r="L1075" s="1"/>
  <c r="L1090" s="1"/>
  <c r="L1092" s="1"/>
  <c r="L1093" s="1"/>
  <c r="L1095" s="1"/>
  <c r="L1099" s="1"/>
  <c r="L1105"/>
  <c r="L1108" s="1"/>
  <c r="Q1031"/>
  <c r="Q1069"/>
  <c r="P1073"/>
  <c r="P1075" s="1"/>
  <c r="P1090" s="1"/>
  <c r="P1092" s="1"/>
  <c r="P1093" s="1"/>
  <c r="P1095" s="1"/>
  <c r="P1099" s="1"/>
  <c r="P1110" s="1"/>
  <c r="Q1030"/>
  <c r="Q1068"/>
  <c r="H1093"/>
  <c r="H1095" s="1"/>
  <c r="Q80"/>
  <c r="Q194"/>
  <c r="Q232"/>
  <c r="Q346"/>
  <c r="Q384"/>
  <c r="Q498"/>
  <c r="Q536"/>
  <c r="Q612"/>
  <c r="Q726"/>
  <c r="Q42"/>
  <c r="Q650"/>
  <c r="Q878"/>
  <c r="Q118"/>
  <c r="Q156"/>
  <c r="Q270"/>
  <c r="Q308"/>
  <c r="Q422"/>
  <c r="Q460"/>
  <c r="Q574"/>
  <c r="Q688"/>
  <c r="Q764"/>
  <c r="Q916"/>
  <c r="Q992"/>
  <c r="P994"/>
  <c r="P995" s="1"/>
  <c r="P997" s="1"/>
  <c r="P999" s="1"/>
  <c r="P1014" s="1"/>
  <c r="P1016" s="1"/>
  <c r="P1017" s="1"/>
  <c r="P1019" s="1"/>
  <c r="P1023" s="1"/>
  <c r="P1032"/>
  <c r="P1033" s="1"/>
  <c r="P1035" s="1"/>
  <c r="P1037" s="1"/>
  <c r="P1052" s="1"/>
  <c r="P1054" s="1"/>
  <c r="P1055" s="1"/>
  <c r="P1057" s="1"/>
  <c r="P1061" s="1"/>
  <c r="J1054"/>
  <c r="J1055" s="1"/>
  <c r="J1057" s="1"/>
  <c r="J1061" s="1"/>
  <c r="I1054"/>
  <c r="I1055" s="1"/>
  <c r="I1057" s="1"/>
  <c r="I1061" s="1"/>
  <c r="H1052"/>
  <c r="H1054" s="1"/>
  <c r="F1057"/>
  <c r="L995"/>
  <c r="L997" s="1"/>
  <c r="L999" s="1"/>
  <c r="L1014" s="1"/>
  <c r="L1016" s="1"/>
  <c r="L1017" s="1"/>
  <c r="L1019" s="1"/>
  <c r="L1023" s="1"/>
  <c r="L1033"/>
  <c r="L1035" s="1"/>
  <c r="L1037" s="1"/>
  <c r="L1052" s="1"/>
  <c r="Q955"/>
  <c r="Q993"/>
  <c r="H1017"/>
  <c r="F1023"/>
  <c r="I978"/>
  <c r="I979" s="1"/>
  <c r="I981" s="1"/>
  <c r="I985" s="1"/>
  <c r="J978"/>
  <c r="J979" s="1"/>
  <c r="J981" s="1"/>
  <c r="J985" s="1"/>
  <c r="O978"/>
  <c r="O979" s="1"/>
  <c r="O981" s="1"/>
  <c r="O985" s="1"/>
  <c r="P918"/>
  <c r="P919" s="1"/>
  <c r="P921" s="1"/>
  <c r="P923" s="1"/>
  <c r="P938" s="1"/>
  <c r="P940" s="1"/>
  <c r="P941" s="1"/>
  <c r="P943" s="1"/>
  <c r="P947" s="1"/>
  <c r="P956"/>
  <c r="P957" s="1"/>
  <c r="P959" s="1"/>
  <c r="P961" s="1"/>
  <c r="P976" s="1"/>
  <c r="L919"/>
  <c r="L921" s="1"/>
  <c r="L923" s="1"/>
  <c r="L938" s="1"/>
  <c r="L940" s="1"/>
  <c r="L941" s="1"/>
  <c r="L943" s="1"/>
  <c r="L947" s="1"/>
  <c r="L957"/>
  <c r="L959" s="1"/>
  <c r="L961" s="1"/>
  <c r="L976" s="1"/>
  <c r="H976"/>
  <c r="H978" s="1"/>
  <c r="F981"/>
  <c r="Q879"/>
  <c r="Q917"/>
  <c r="H941"/>
  <c r="H943" s="1"/>
  <c r="O902"/>
  <c r="O903" s="1"/>
  <c r="O905" s="1"/>
  <c r="O909" s="1"/>
  <c r="I864"/>
  <c r="I865" s="1"/>
  <c r="I867" s="1"/>
  <c r="I871" s="1"/>
  <c r="J864"/>
  <c r="J865" s="1"/>
  <c r="J867" s="1"/>
  <c r="J871" s="1"/>
  <c r="O864"/>
  <c r="O865" s="1"/>
  <c r="O867" s="1"/>
  <c r="O871" s="1"/>
  <c r="O826"/>
  <c r="O827" s="1"/>
  <c r="O829" s="1"/>
  <c r="O833" s="1"/>
  <c r="I826"/>
  <c r="I827" s="1"/>
  <c r="I829" s="1"/>
  <c r="I833" s="1"/>
  <c r="J826"/>
  <c r="J827" s="1"/>
  <c r="J829" s="1"/>
  <c r="J833" s="1"/>
  <c r="P842"/>
  <c r="P843" s="1"/>
  <c r="P845" s="1"/>
  <c r="P847" s="1"/>
  <c r="P862" s="1"/>
  <c r="P880"/>
  <c r="P881" s="1"/>
  <c r="P883" s="1"/>
  <c r="P885" s="1"/>
  <c r="P900" s="1"/>
  <c r="Q803"/>
  <c r="Q841"/>
  <c r="L805"/>
  <c r="L807" s="1"/>
  <c r="L809" s="1"/>
  <c r="L824" s="1"/>
  <c r="L843"/>
  <c r="L845" s="1"/>
  <c r="L847" s="1"/>
  <c r="L862" s="1"/>
  <c r="H862"/>
  <c r="H864" s="1"/>
  <c r="F867"/>
  <c r="P804"/>
  <c r="P805" s="1"/>
  <c r="P807" s="1"/>
  <c r="P809" s="1"/>
  <c r="P824" s="1"/>
  <c r="H827"/>
  <c r="F833"/>
  <c r="Q20" i="22"/>
  <c r="O34" i="37"/>
  <c r="P34" i="22"/>
  <c r="P39" s="1"/>
  <c r="N74" i="37"/>
  <c r="Q71"/>
  <c r="Q115" s="1"/>
  <c r="Q72"/>
  <c r="Q116" s="1"/>
  <c r="O73"/>
  <c r="O117" s="1"/>
  <c r="I109"/>
  <c r="O15" i="22"/>
  <c r="O17" s="1"/>
  <c r="Q24" i="37"/>
  <c r="N27"/>
  <c r="N29" s="1"/>
  <c r="N31" s="1"/>
  <c r="J55"/>
  <c r="J56" s="1"/>
  <c r="L53"/>
  <c r="M46" i="22"/>
  <c r="M50" s="1"/>
  <c r="N41"/>
  <c r="N43" s="1"/>
  <c r="N44" s="1"/>
  <c r="N46" s="1"/>
  <c r="N50" s="1"/>
  <c r="M53" i="37"/>
  <c r="O26"/>
  <c r="Q12" i="22"/>
  <c r="P13"/>
  <c r="Q25" i="37"/>
  <c r="P166" i="36"/>
  <c r="P171" s="1"/>
  <c r="P176" s="1"/>
  <c r="M315"/>
  <c r="M330" s="1"/>
  <c r="M332" s="1"/>
  <c r="M333" s="1"/>
  <c r="M335" s="1"/>
  <c r="M339" s="1"/>
  <c r="L788"/>
  <c r="L789" s="1"/>
  <c r="L791" s="1"/>
  <c r="L795" s="1"/>
  <c r="N788"/>
  <c r="N789" s="1"/>
  <c r="N791" s="1"/>
  <c r="N795" s="1"/>
  <c r="Q727"/>
  <c r="Q765"/>
  <c r="P728"/>
  <c r="P729" s="1"/>
  <c r="P766"/>
  <c r="P767" s="1"/>
  <c r="J795"/>
  <c r="O731"/>
  <c r="O733" s="1"/>
  <c r="O748" s="1"/>
  <c r="O750" s="1"/>
  <c r="O751" s="1"/>
  <c r="O753" s="1"/>
  <c r="O757" s="1"/>
  <c r="O769"/>
  <c r="O771" s="1"/>
  <c r="O786" s="1"/>
  <c r="Q651"/>
  <c r="Q689"/>
  <c r="O655"/>
  <c r="O657" s="1"/>
  <c r="O672" s="1"/>
  <c r="O674" s="1"/>
  <c r="O675" s="1"/>
  <c r="O677" s="1"/>
  <c r="O681" s="1"/>
  <c r="O693"/>
  <c r="O695" s="1"/>
  <c r="O710" s="1"/>
  <c r="O712" s="1"/>
  <c r="O713" s="1"/>
  <c r="O715" s="1"/>
  <c r="O719" s="1"/>
  <c r="J719"/>
  <c r="L712"/>
  <c r="L713" s="1"/>
  <c r="P652"/>
  <c r="P653" s="1"/>
  <c r="P690"/>
  <c r="P691" s="1"/>
  <c r="L655"/>
  <c r="L657" s="1"/>
  <c r="L672" s="1"/>
  <c r="L674" s="1"/>
  <c r="L675" s="1"/>
  <c r="L677" s="1"/>
  <c r="L681" s="1"/>
  <c r="H675"/>
  <c r="F681"/>
  <c r="J636"/>
  <c r="J637" s="1"/>
  <c r="J639" s="1"/>
  <c r="J643" s="1"/>
  <c r="I636"/>
  <c r="I637" s="1"/>
  <c r="I639" s="1"/>
  <c r="I643" s="1"/>
  <c r="O636"/>
  <c r="O637" s="1"/>
  <c r="O639" s="1"/>
  <c r="O643" s="1"/>
  <c r="J598"/>
  <c r="J599" s="1"/>
  <c r="J601" s="1"/>
  <c r="J605" s="1"/>
  <c r="I598"/>
  <c r="I599" s="1"/>
  <c r="I601" s="1"/>
  <c r="I605" s="1"/>
  <c r="O598"/>
  <c r="O599" s="1"/>
  <c r="O601" s="1"/>
  <c r="O605" s="1"/>
  <c r="J560"/>
  <c r="J561" s="1"/>
  <c r="J563" s="1"/>
  <c r="J567" s="1"/>
  <c r="I560"/>
  <c r="I561" s="1"/>
  <c r="I563" s="1"/>
  <c r="I567" s="1"/>
  <c r="O560"/>
  <c r="O561" s="1"/>
  <c r="O563" s="1"/>
  <c r="O567" s="1"/>
  <c r="J522"/>
  <c r="J523" s="1"/>
  <c r="J525" s="1"/>
  <c r="J529" s="1"/>
  <c r="I522"/>
  <c r="I523" s="1"/>
  <c r="I525" s="1"/>
  <c r="I529" s="1"/>
  <c r="N522"/>
  <c r="N523" s="1"/>
  <c r="N525" s="1"/>
  <c r="N529" s="1"/>
  <c r="J484"/>
  <c r="J485" s="1"/>
  <c r="J487" s="1"/>
  <c r="J491" s="1"/>
  <c r="I484"/>
  <c r="I485" s="1"/>
  <c r="I487" s="1"/>
  <c r="I491" s="1"/>
  <c r="O484"/>
  <c r="O485" s="1"/>
  <c r="O487" s="1"/>
  <c r="O491" s="1"/>
  <c r="O446"/>
  <c r="O447" s="1"/>
  <c r="O449" s="1"/>
  <c r="O453" s="1"/>
  <c r="J446"/>
  <c r="J447" s="1"/>
  <c r="J449" s="1"/>
  <c r="J453" s="1"/>
  <c r="I446"/>
  <c r="I447" s="1"/>
  <c r="I449" s="1"/>
  <c r="I453" s="1"/>
  <c r="P576"/>
  <c r="P577" s="1"/>
  <c r="P579" s="1"/>
  <c r="P581" s="1"/>
  <c r="P596" s="1"/>
  <c r="P614"/>
  <c r="P615" s="1"/>
  <c r="P617" s="1"/>
  <c r="P619" s="1"/>
  <c r="P634" s="1"/>
  <c r="L579"/>
  <c r="L581" s="1"/>
  <c r="L596" s="1"/>
  <c r="L617"/>
  <c r="L619" s="1"/>
  <c r="L634" s="1"/>
  <c r="H634"/>
  <c r="H636" s="1"/>
  <c r="F639"/>
  <c r="F605"/>
  <c r="H599"/>
  <c r="P500"/>
  <c r="P501" s="1"/>
  <c r="P538"/>
  <c r="P539" s="1"/>
  <c r="P541" s="1"/>
  <c r="P543" s="1"/>
  <c r="P558" s="1"/>
  <c r="O503"/>
  <c r="O505" s="1"/>
  <c r="O520" s="1"/>
  <c r="H558"/>
  <c r="H560" s="1"/>
  <c r="F563"/>
  <c r="L503"/>
  <c r="L505" s="1"/>
  <c r="L520" s="1"/>
  <c r="L541"/>
  <c r="L543" s="1"/>
  <c r="L558" s="1"/>
  <c r="Q461"/>
  <c r="H523"/>
  <c r="H525" s="1"/>
  <c r="P424"/>
  <c r="P425" s="1"/>
  <c r="P427" s="1"/>
  <c r="P429" s="1"/>
  <c r="P444" s="1"/>
  <c r="P462"/>
  <c r="P463" s="1"/>
  <c r="P465" s="1"/>
  <c r="P467" s="1"/>
  <c r="P482" s="1"/>
  <c r="L425"/>
  <c r="L427" s="1"/>
  <c r="L429" s="1"/>
  <c r="L444" s="1"/>
  <c r="L463"/>
  <c r="L465" s="1"/>
  <c r="L467" s="1"/>
  <c r="L482" s="1"/>
  <c r="H482"/>
  <c r="H484" s="1"/>
  <c r="F491"/>
  <c r="Q385"/>
  <c r="Q423"/>
  <c r="F453"/>
  <c r="H447"/>
  <c r="P349"/>
  <c r="P351" s="1"/>
  <c r="P353" s="1"/>
  <c r="P368" s="1"/>
  <c r="P370" s="1"/>
  <c r="P371" s="1"/>
  <c r="P373" s="1"/>
  <c r="P377" s="1"/>
  <c r="P386"/>
  <c r="P387" s="1"/>
  <c r="P389" s="1"/>
  <c r="P391" s="1"/>
  <c r="P406" s="1"/>
  <c r="P408" s="1"/>
  <c r="P409" s="1"/>
  <c r="P411" s="1"/>
  <c r="L294"/>
  <c r="L295" s="1"/>
  <c r="L297" s="1"/>
  <c r="L301" s="1"/>
  <c r="L256"/>
  <c r="L257" s="1"/>
  <c r="L259" s="1"/>
  <c r="L263" s="1"/>
  <c r="M377"/>
  <c r="Q309"/>
  <c r="Q347"/>
  <c r="N275"/>
  <c r="N313"/>
  <c r="P272"/>
  <c r="P310"/>
  <c r="O273"/>
  <c r="O311"/>
  <c r="M239"/>
  <c r="M254" s="1"/>
  <c r="M277"/>
  <c r="M292" s="1"/>
  <c r="K295"/>
  <c r="Q233"/>
  <c r="Q271"/>
  <c r="N199"/>
  <c r="N237"/>
  <c r="J259"/>
  <c r="P196"/>
  <c r="P234"/>
  <c r="O197"/>
  <c r="O235"/>
  <c r="L218"/>
  <c r="L219" s="1"/>
  <c r="L221" s="1"/>
  <c r="L225" s="1"/>
  <c r="M163"/>
  <c r="M178" s="1"/>
  <c r="M180" s="1"/>
  <c r="M181" s="1"/>
  <c r="M183" s="1"/>
  <c r="M187" s="1"/>
  <c r="M201"/>
  <c r="M216" s="1"/>
  <c r="K219"/>
  <c r="Q157"/>
  <c r="Q195"/>
  <c r="J183"/>
  <c r="N123"/>
  <c r="N161"/>
  <c r="P120"/>
  <c r="P158"/>
  <c r="O121"/>
  <c r="O159"/>
  <c r="J149"/>
  <c r="L142"/>
  <c r="L143" s="1"/>
  <c r="L145" s="1"/>
  <c r="L149" s="1"/>
  <c r="P90"/>
  <c r="P95" s="1"/>
  <c r="P100" s="1"/>
  <c r="P128"/>
  <c r="P133" s="1"/>
  <c r="P138" s="1"/>
  <c r="M87"/>
  <c r="M102" s="1"/>
  <c r="M104" s="1"/>
  <c r="M105" s="1"/>
  <c r="M107" s="1"/>
  <c r="M111" s="1"/>
  <c r="M125"/>
  <c r="M140" s="1"/>
  <c r="K143"/>
  <c r="Q81"/>
  <c r="Q119"/>
  <c r="J107"/>
  <c r="J111" s="1"/>
  <c r="N47"/>
  <c r="N85"/>
  <c r="R25" i="23"/>
  <c r="R30" s="1"/>
  <c r="P52" i="36"/>
  <c r="P57" s="1"/>
  <c r="P62" s="1"/>
  <c r="Q18" i="23"/>
  <c r="P82" i="36"/>
  <c r="O45"/>
  <c r="O83"/>
  <c r="H46" i="23"/>
  <c r="H57" s="1"/>
  <c r="K42"/>
  <c r="I42"/>
  <c r="G42"/>
  <c r="J42"/>
  <c r="E46"/>
  <c r="F42"/>
  <c r="L40"/>
  <c r="G25" i="9"/>
  <c r="D40" i="23"/>
  <c r="D42" s="1"/>
  <c r="D46" s="1"/>
  <c r="M39"/>
  <c r="N37"/>
  <c r="M49" i="36"/>
  <c r="M64" s="1"/>
  <c r="M66" s="1"/>
  <c r="M67" s="1"/>
  <c r="M69" s="1"/>
  <c r="M73" s="1"/>
  <c r="R17" i="23"/>
  <c r="Q1266" i="36" s="1"/>
  <c r="P44"/>
  <c r="Q43"/>
  <c r="O22" i="23"/>
  <c r="L52"/>
  <c r="K12" i="29"/>
  <c r="I23" i="9"/>
  <c r="I25" s="1"/>
  <c r="I26" s="1"/>
  <c r="R43" i="23"/>
  <c r="R33"/>
  <c r="P35"/>
  <c r="C32"/>
  <c r="M44" s="1"/>
  <c r="L71" i="36" s="1"/>
  <c r="L73" s="1"/>
  <c r="Q33" i="23"/>
  <c r="Q35" s="1"/>
  <c r="Q43"/>
  <c r="P20"/>
  <c r="C26"/>
  <c r="O513" i="40" l="1"/>
  <c r="O515" s="1"/>
  <c r="O516" s="1"/>
  <c r="O518" s="1"/>
  <c r="O522" s="1"/>
  <c r="O963"/>
  <c r="O965" s="1"/>
  <c r="O966" s="1"/>
  <c r="O968" s="1"/>
  <c r="O972" s="1"/>
  <c r="O468"/>
  <c r="O470" s="1"/>
  <c r="O471" s="1"/>
  <c r="O473" s="1"/>
  <c r="O477" s="1"/>
  <c r="O1008"/>
  <c r="O1098"/>
  <c r="O1100" s="1"/>
  <c r="O1101" s="1"/>
  <c r="O1103" s="1"/>
  <c r="O603"/>
  <c r="O605" s="1"/>
  <c r="O606" s="1"/>
  <c r="O608" s="1"/>
  <c r="O612" s="1"/>
  <c r="O423"/>
  <c r="O425" s="1"/>
  <c r="O426" s="1"/>
  <c r="O428" s="1"/>
  <c r="O432" s="1"/>
  <c r="O1188"/>
  <c r="O1190" s="1"/>
  <c r="O1191" s="1"/>
  <c r="O1193" s="1"/>
  <c r="O1197" s="1"/>
  <c r="O46" i="37"/>
  <c r="O51" s="1"/>
  <c r="O125"/>
  <c r="O137" s="1"/>
  <c r="O142" s="1"/>
  <c r="O738" i="40"/>
  <c r="O740" s="1"/>
  <c r="O741" s="1"/>
  <c r="O743" s="1"/>
  <c r="O747" s="1"/>
  <c r="O783"/>
  <c r="O785" s="1"/>
  <c r="O786" s="1"/>
  <c r="O788" s="1"/>
  <c r="O792" s="1"/>
  <c r="O1278"/>
  <c r="O1280" s="1"/>
  <c r="O1281" s="1"/>
  <c r="O1283" s="1"/>
  <c r="O1287" s="1"/>
  <c r="O873"/>
  <c r="O875" s="1"/>
  <c r="O876" s="1"/>
  <c r="O878" s="1"/>
  <c r="O882" s="1"/>
  <c r="O1233"/>
  <c r="O1235" s="1"/>
  <c r="O1236" s="1"/>
  <c r="O1238" s="1"/>
  <c r="O1242" s="1"/>
  <c r="P81" i="37"/>
  <c r="P93" s="1"/>
  <c r="P98" s="1"/>
  <c r="P1214" i="40"/>
  <c r="P1226" s="1"/>
  <c r="P1231" s="1"/>
  <c r="P1304"/>
  <c r="P1316" s="1"/>
  <c r="P1321" s="1"/>
  <c r="P1259"/>
  <c r="P1271" s="1"/>
  <c r="P1276" s="1"/>
  <c r="P1124"/>
  <c r="P1136" s="1"/>
  <c r="P1141" s="1"/>
  <c r="P944"/>
  <c r="P956" s="1"/>
  <c r="P961" s="1"/>
  <c r="P989"/>
  <c r="P1001" s="1"/>
  <c r="P1006" s="1"/>
  <c r="P764"/>
  <c r="P776" s="1"/>
  <c r="P781" s="1"/>
  <c r="P1034"/>
  <c r="P1046" s="1"/>
  <c r="P1051" s="1"/>
  <c r="P854"/>
  <c r="P866" s="1"/>
  <c r="P871" s="1"/>
  <c r="P629"/>
  <c r="P641" s="1"/>
  <c r="P646" s="1"/>
  <c r="P674"/>
  <c r="P686" s="1"/>
  <c r="P691" s="1"/>
  <c r="P494"/>
  <c r="P506" s="1"/>
  <c r="P511" s="1"/>
  <c r="P404"/>
  <c r="P416" s="1"/>
  <c r="P421" s="1"/>
  <c r="P809"/>
  <c r="P821" s="1"/>
  <c r="P826" s="1"/>
  <c r="P719"/>
  <c r="P731" s="1"/>
  <c r="P736" s="1"/>
  <c r="P449"/>
  <c r="P461" s="1"/>
  <c r="P466" s="1"/>
  <c r="P359"/>
  <c r="P371" s="1"/>
  <c r="P376" s="1"/>
  <c r="P269"/>
  <c r="P281" s="1"/>
  <c r="P286" s="1"/>
  <c r="P224"/>
  <c r="P236" s="1"/>
  <c r="P241" s="1"/>
  <c r="P1079"/>
  <c r="P1091" s="1"/>
  <c r="P1096" s="1"/>
  <c r="P899"/>
  <c r="P911" s="1"/>
  <c r="P916" s="1"/>
  <c r="P584"/>
  <c r="P596" s="1"/>
  <c r="P601" s="1"/>
  <c r="P179"/>
  <c r="P191" s="1"/>
  <c r="P196" s="1"/>
  <c r="P134"/>
  <c r="P146" s="1"/>
  <c r="P151" s="1"/>
  <c r="P1169"/>
  <c r="P1181" s="1"/>
  <c r="P1186" s="1"/>
  <c r="P44"/>
  <c r="P56" s="1"/>
  <c r="P61" s="1"/>
  <c r="P314"/>
  <c r="P326" s="1"/>
  <c r="P331" s="1"/>
  <c r="P539"/>
  <c r="P551" s="1"/>
  <c r="P556" s="1"/>
  <c r="P89"/>
  <c r="P101" s="1"/>
  <c r="P106" s="1"/>
  <c r="O693"/>
  <c r="O695" s="1"/>
  <c r="O696" s="1"/>
  <c r="O698" s="1"/>
  <c r="O702" s="1"/>
  <c r="O1143"/>
  <c r="O1145" s="1"/>
  <c r="O1146" s="1"/>
  <c r="O1148" s="1"/>
  <c r="O1152" s="1"/>
  <c r="O648"/>
  <c r="O650" s="1"/>
  <c r="O651" s="1"/>
  <c r="O653" s="1"/>
  <c r="O657" s="1"/>
  <c r="Q1267" i="36"/>
  <c r="Q1269" s="1"/>
  <c r="Q1271" s="1"/>
  <c r="M1332" i="40"/>
  <c r="L297"/>
  <c r="O307"/>
  <c r="O309" s="1"/>
  <c r="O311" s="1"/>
  <c r="O333" s="1"/>
  <c r="O335" s="1"/>
  <c r="O336" s="1"/>
  <c r="O338" s="1"/>
  <c r="O342" s="1"/>
  <c r="O352"/>
  <c r="O354" s="1"/>
  <c r="O356" s="1"/>
  <c r="O378" s="1"/>
  <c r="O380" s="1"/>
  <c r="O381" s="1"/>
  <c r="O383" s="1"/>
  <c r="O387" s="1"/>
  <c r="O262"/>
  <c r="O264" s="1"/>
  <c r="O266" s="1"/>
  <c r="O288" s="1"/>
  <c r="O217"/>
  <c r="O219" s="1"/>
  <c r="O221" s="1"/>
  <c r="O243" s="1"/>
  <c r="O245" s="1"/>
  <c r="O246" s="1"/>
  <c r="O248" s="1"/>
  <c r="O252" s="1"/>
  <c r="O82"/>
  <c r="O84" s="1"/>
  <c r="O86" s="1"/>
  <c r="O108" s="1"/>
  <c r="O127"/>
  <c r="O129" s="1"/>
  <c r="O131" s="1"/>
  <c r="O153" s="1"/>
  <c r="O155" s="1"/>
  <c r="O156" s="1"/>
  <c r="O158" s="1"/>
  <c r="O162" s="1"/>
  <c r="O37"/>
  <c r="O39" s="1"/>
  <c r="O41" s="1"/>
  <c r="O63" s="1"/>
  <c r="O65" s="1"/>
  <c r="O66" s="1"/>
  <c r="O68" s="1"/>
  <c r="O72" s="1"/>
  <c r="O172"/>
  <c r="O174" s="1"/>
  <c r="O176" s="1"/>
  <c r="O198" s="1"/>
  <c r="O200" s="1"/>
  <c r="O201" s="1"/>
  <c r="O203" s="1"/>
  <c r="O207" s="1"/>
  <c r="J72"/>
  <c r="O560"/>
  <c r="O561" s="1"/>
  <c r="O563" s="1"/>
  <c r="O567" s="1"/>
  <c r="N65"/>
  <c r="N66" s="1"/>
  <c r="N68" s="1"/>
  <c r="N72" s="1"/>
  <c r="N380"/>
  <c r="N381" s="1"/>
  <c r="N383" s="1"/>
  <c r="N76" i="37"/>
  <c r="N78" s="1"/>
  <c r="N100" s="1"/>
  <c r="N102" s="1"/>
  <c r="N103" s="1"/>
  <c r="N105" s="1"/>
  <c r="N109" s="1"/>
  <c r="N118"/>
  <c r="N120" s="1"/>
  <c r="N122" s="1"/>
  <c r="N144" s="1"/>
  <c r="N146" s="1"/>
  <c r="N147" s="1"/>
  <c r="N149" s="1"/>
  <c r="N153" s="1"/>
  <c r="J252" i="40"/>
  <c r="K387"/>
  <c r="N203"/>
  <c r="N290"/>
  <c r="N291" s="1"/>
  <c r="N293" s="1"/>
  <c r="N297" s="1"/>
  <c r="O1325"/>
  <c r="O1326" s="1"/>
  <c r="O1328" s="1"/>
  <c r="O1332" s="1"/>
  <c r="O1010"/>
  <c r="O1011" s="1"/>
  <c r="O1013" s="1"/>
  <c r="O1017" s="1"/>
  <c r="K972"/>
  <c r="M702"/>
  <c r="J162"/>
  <c r="N245"/>
  <c r="N246" s="1"/>
  <c r="N335"/>
  <c r="N336" s="1"/>
  <c r="N428"/>
  <c r="P1296"/>
  <c r="P1297" s="1"/>
  <c r="P1299" s="1"/>
  <c r="P1301" s="1"/>
  <c r="P1161"/>
  <c r="P1162" s="1"/>
  <c r="P1164" s="1"/>
  <c r="P1166" s="1"/>
  <c r="P1116"/>
  <c r="P1117" s="1"/>
  <c r="P1119" s="1"/>
  <c r="P1121" s="1"/>
  <c r="P936"/>
  <c r="P937" s="1"/>
  <c r="P939" s="1"/>
  <c r="P941" s="1"/>
  <c r="P891"/>
  <c r="P892" s="1"/>
  <c r="P894" s="1"/>
  <c r="P896" s="1"/>
  <c r="P711"/>
  <c r="P712" s="1"/>
  <c r="P714" s="1"/>
  <c r="P716" s="1"/>
  <c r="P666"/>
  <c r="P667" s="1"/>
  <c r="P669" s="1"/>
  <c r="P671" s="1"/>
  <c r="P486"/>
  <c r="P487" s="1"/>
  <c r="P489" s="1"/>
  <c r="P491" s="1"/>
  <c r="P513" s="1"/>
  <c r="P351"/>
  <c r="P1206"/>
  <c r="P1207" s="1"/>
  <c r="P1209" s="1"/>
  <c r="P1211" s="1"/>
  <c r="P1071"/>
  <c r="P1072" s="1"/>
  <c r="P1074" s="1"/>
  <c r="P1076" s="1"/>
  <c r="P1026"/>
  <c r="P1027" s="1"/>
  <c r="P1029" s="1"/>
  <c r="P1031" s="1"/>
  <c r="P1053" s="1"/>
  <c r="P1055" s="1"/>
  <c r="P1056" s="1"/>
  <c r="P1058" s="1"/>
  <c r="P1062" s="1"/>
  <c r="P981"/>
  <c r="P982" s="1"/>
  <c r="P984" s="1"/>
  <c r="P986" s="1"/>
  <c r="P846"/>
  <c r="P847" s="1"/>
  <c r="P849" s="1"/>
  <c r="P851" s="1"/>
  <c r="P621"/>
  <c r="P622" s="1"/>
  <c r="P624" s="1"/>
  <c r="P626" s="1"/>
  <c r="P396"/>
  <c r="P397" s="1"/>
  <c r="P399" s="1"/>
  <c r="P401" s="1"/>
  <c r="P261"/>
  <c r="P1251"/>
  <c r="P1252" s="1"/>
  <c r="P1254" s="1"/>
  <c r="P1256" s="1"/>
  <c r="P801"/>
  <c r="P802" s="1"/>
  <c r="P804" s="1"/>
  <c r="P806" s="1"/>
  <c r="P576"/>
  <c r="P577" s="1"/>
  <c r="P579" s="1"/>
  <c r="P581" s="1"/>
  <c r="P306"/>
  <c r="P756"/>
  <c r="P757" s="1"/>
  <c r="P759" s="1"/>
  <c r="P761" s="1"/>
  <c r="P531"/>
  <c r="P532" s="1"/>
  <c r="P534" s="1"/>
  <c r="P536" s="1"/>
  <c r="P441"/>
  <c r="P442" s="1"/>
  <c r="P444" s="1"/>
  <c r="P446" s="1"/>
  <c r="P468" s="1"/>
  <c r="P36"/>
  <c r="P171"/>
  <c r="P216"/>
  <c r="P81"/>
  <c r="P126"/>
  <c r="N747"/>
  <c r="N923"/>
  <c r="M146" i="37"/>
  <c r="M147" s="1"/>
  <c r="I153"/>
  <c r="N110" i="40"/>
  <c r="N111" s="1"/>
  <c r="N113" s="1"/>
  <c r="N117" s="1"/>
  <c r="N155"/>
  <c r="N156" s="1"/>
  <c r="N158" s="1"/>
  <c r="K1252" i="36"/>
  <c r="K1255" s="1"/>
  <c r="K1257" s="1"/>
  <c r="K1301"/>
  <c r="L1295"/>
  <c r="P1239"/>
  <c r="P1240" s="1"/>
  <c r="P1242" s="1"/>
  <c r="P1246" s="1"/>
  <c r="P1257" s="1"/>
  <c r="Q1168"/>
  <c r="Q1169" s="1"/>
  <c r="Q1171" s="1"/>
  <c r="Q1217"/>
  <c r="Q1218" s="1"/>
  <c r="Q1220" s="1"/>
  <c r="Q1222" s="1"/>
  <c r="Q1237" s="1"/>
  <c r="Q1239" s="1"/>
  <c r="L1206"/>
  <c r="L1208" s="1"/>
  <c r="K1154"/>
  <c r="K1203"/>
  <c r="P1190"/>
  <c r="P1191" s="1"/>
  <c r="P1193" s="1"/>
  <c r="P1197" s="1"/>
  <c r="P1208" s="1"/>
  <c r="M1197"/>
  <c r="K1157"/>
  <c r="K1159" s="1"/>
  <c r="P1141"/>
  <c r="P1142" s="1"/>
  <c r="P1144" s="1"/>
  <c r="P1148" s="1"/>
  <c r="P1159" s="1"/>
  <c r="Q1070"/>
  <c r="Q1071" s="1"/>
  <c r="Q1073" s="1"/>
  <c r="Q1075" s="1"/>
  <c r="Q1090" s="1"/>
  <c r="Q1092" s="1"/>
  <c r="Q1093" s="1"/>
  <c r="Q1095" s="1"/>
  <c r="Q1099" s="1"/>
  <c r="Q1110" s="1"/>
  <c r="Q1119"/>
  <c r="Q1120" s="1"/>
  <c r="Q1122" s="1"/>
  <c r="Q1124" s="1"/>
  <c r="B1124" s="1"/>
  <c r="L1110"/>
  <c r="L55" i="23"/>
  <c r="K1071" i="36" s="1"/>
  <c r="K1073" s="1"/>
  <c r="K1075" s="1"/>
  <c r="K1090" s="1"/>
  <c r="K1092" s="1"/>
  <c r="K1105"/>
  <c r="K1108" s="1"/>
  <c r="H1099"/>
  <c r="H1110" s="1"/>
  <c r="Q994"/>
  <c r="Q995" s="1"/>
  <c r="Q997" s="1"/>
  <c r="Q999" s="1"/>
  <c r="Q1014" s="1"/>
  <c r="Q1016" s="1"/>
  <c r="Q1017" s="1"/>
  <c r="Q1019" s="1"/>
  <c r="Q1023" s="1"/>
  <c r="Q1032"/>
  <c r="Q1033" s="1"/>
  <c r="Q1035" s="1"/>
  <c r="Q1037" s="1"/>
  <c r="Q1052" s="1"/>
  <c r="L1054"/>
  <c r="L1055" s="1"/>
  <c r="L1057" s="1"/>
  <c r="L1061" s="1"/>
  <c r="F1061"/>
  <c r="H1055"/>
  <c r="H1057" s="1"/>
  <c r="H1061" s="1"/>
  <c r="K995"/>
  <c r="K997" s="1"/>
  <c r="K999" s="1"/>
  <c r="K1014" s="1"/>
  <c r="K1016" s="1"/>
  <c r="K1033"/>
  <c r="K1035" s="1"/>
  <c r="H1019"/>
  <c r="L978"/>
  <c r="L979" s="1"/>
  <c r="L981" s="1"/>
  <c r="L985" s="1"/>
  <c r="P978"/>
  <c r="P979" s="1"/>
  <c r="P981" s="1"/>
  <c r="P985" s="1"/>
  <c r="Q918"/>
  <c r="Q919" s="1"/>
  <c r="Q921" s="1"/>
  <c r="Q923" s="1"/>
  <c r="Q938" s="1"/>
  <c r="Q940" s="1"/>
  <c r="Q941" s="1"/>
  <c r="Q943" s="1"/>
  <c r="Q947" s="1"/>
  <c r="Q956"/>
  <c r="Q957" s="1"/>
  <c r="Q959" s="1"/>
  <c r="Q961" s="1"/>
  <c r="Q976" s="1"/>
  <c r="Q978" s="1"/>
  <c r="K919"/>
  <c r="K921" s="1"/>
  <c r="K923" s="1"/>
  <c r="K938" s="1"/>
  <c r="K940" s="1"/>
  <c r="K957"/>
  <c r="K959" s="1"/>
  <c r="F985"/>
  <c r="H979"/>
  <c r="H947"/>
  <c r="P902"/>
  <c r="P903" s="1"/>
  <c r="P905" s="1"/>
  <c r="P909" s="1"/>
  <c r="L864"/>
  <c r="L865" s="1"/>
  <c r="L867" s="1"/>
  <c r="L871" s="1"/>
  <c r="P864"/>
  <c r="P865" s="1"/>
  <c r="P867" s="1"/>
  <c r="P871" s="1"/>
  <c r="P826"/>
  <c r="P827" s="1"/>
  <c r="P829" s="1"/>
  <c r="P833" s="1"/>
  <c r="L826"/>
  <c r="L827" s="1"/>
  <c r="L829" s="1"/>
  <c r="L833" s="1"/>
  <c r="Q842"/>
  <c r="Q843" s="1"/>
  <c r="Q845" s="1"/>
  <c r="Q847" s="1"/>
  <c r="Q862" s="1"/>
  <c r="Q880"/>
  <c r="Q881" s="1"/>
  <c r="Q883" s="1"/>
  <c r="K805"/>
  <c r="K807" s="1"/>
  <c r="K809" s="1"/>
  <c r="K843"/>
  <c r="K845" s="1"/>
  <c r="F871"/>
  <c r="H865"/>
  <c r="Q804"/>
  <c r="Q805" s="1"/>
  <c r="Q807" s="1"/>
  <c r="Q809" s="1"/>
  <c r="Q824" s="1"/>
  <c r="H829"/>
  <c r="R20" i="22"/>
  <c r="P34" i="37"/>
  <c r="Q34" i="22"/>
  <c r="Q39" s="1"/>
  <c r="O74" i="37"/>
  <c r="P73"/>
  <c r="P117" s="1"/>
  <c r="P15" i="22"/>
  <c r="O27" i="37"/>
  <c r="O29" s="1"/>
  <c r="O31" s="1"/>
  <c r="J58"/>
  <c r="J62" s="1"/>
  <c r="M55"/>
  <c r="M56" s="1"/>
  <c r="M58" s="1"/>
  <c r="M62" s="1"/>
  <c r="L55"/>
  <c r="L56" s="1"/>
  <c r="L58" s="1"/>
  <c r="L62" s="1"/>
  <c r="O41" i="22"/>
  <c r="O43" s="1"/>
  <c r="O44" s="1"/>
  <c r="P26" i="37"/>
  <c r="R12" i="22"/>
  <c r="Q13"/>
  <c r="Q766" i="36"/>
  <c r="Q767" s="1"/>
  <c r="Q166"/>
  <c r="B166" s="1"/>
  <c r="N315"/>
  <c r="N330" s="1"/>
  <c r="N332" s="1"/>
  <c r="N333" s="1"/>
  <c r="N335" s="1"/>
  <c r="N339" s="1"/>
  <c r="O313"/>
  <c r="O788"/>
  <c r="O789" s="1"/>
  <c r="O791" s="1"/>
  <c r="O795" s="1"/>
  <c r="P731"/>
  <c r="P733" s="1"/>
  <c r="P748" s="1"/>
  <c r="P750" s="1"/>
  <c r="P751" s="1"/>
  <c r="P753" s="1"/>
  <c r="P757" s="1"/>
  <c r="P769"/>
  <c r="P771" s="1"/>
  <c r="P786" s="1"/>
  <c r="Q690"/>
  <c r="Q691" s="1"/>
  <c r="Q728"/>
  <c r="Q729" s="1"/>
  <c r="P655"/>
  <c r="P657" s="1"/>
  <c r="P672" s="1"/>
  <c r="P674" s="1"/>
  <c r="P675" s="1"/>
  <c r="P677" s="1"/>
  <c r="P681" s="1"/>
  <c r="P693"/>
  <c r="P695" s="1"/>
  <c r="P710" s="1"/>
  <c r="P712" s="1"/>
  <c r="P713" s="1"/>
  <c r="P715" s="1"/>
  <c r="P719" s="1"/>
  <c r="L715"/>
  <c r="K655"/>
  <c r="K657" s="1"/>
  <c r="K672" s="1"/>
  <c r="K674" s="1"/>
  <c r="Q614"/>
  <c r="Q615" s="1"/>
  <c r="Q617" s="1"/>
  <c r="Q619" s="1"/>
  <c r="Q634" s="1"/>
  <c r="Q636" s="1"/>
  <c r="Q637" s="1"/>
  <c r="Q639" s="1"/>
  <c r="Q643" s="1"/>
  <c r="Q652"/>
  <c r="Q653" s="1"/>
  <c r="H677"/>
  <c r="L636"/>
  <c r="L637" s="1"/>
  <c r="L639" s="1"/>
  <c r="L643" s="1"/>
  <c r="P636"/>
  <c r="P637" s="1"/>
  <c r="P639" s="1"/>
  <c r="P643" s="1"/>
  <c r="L598"/>
  <c r="L599" s="1"/>
  <c r="L601" s="1"/>
  <c r="L605" s="1"/>
  <c r="P598"/>
  <c r="P599" s="1"/>
  <c r="P601" s="1"/>
  <c r="P605" s="1"/>
  <c r="P560"/>
  <c r="P561" s="1"/>
  <c r="P563" s="1"/>
  <c r="P567" s="1"/>
  <c r="L560"/>
  <c r="L561" s="1"/>
  <c r="L563" s="1"/>
  <c r="L567" s="1"/>
  <c r="O522"/>
  <c r="O523" s="1"/>
  <c r="O525" s="1"/>
  <c r="O529" s="1"/>
  <c r="L522"/>
  <c r="L523" s="1"/>
  <c r="L525" s="1"/>
  <c r="L529" s="1"/>
  <c r="P503"/>
  <c r="P505" s="1"/>
  <c r="P520" s="1"/>
  <c r="L484"/>
  <c r="L485" s="1"/>
  <c r="L487" s="1"/>
  <c r="L491" s="1"/>
  <c r="P484"/>
  <c r="P485" s="1"/>
  <c r="P487" s="1"/>
  <c r="P491" s="1"/>
  <c r="P446"/>
  <c r="P447" s="1"/>
  <c r="P449" s="1"/>
  <c r="P453" s="1"/>
  <c r="L446"/>
  <c r="L447" s="1"/>
  <c r="L449" s="1"/>
  <c r="L453" s="1"/>
  <c r="F643"/>
  <c r="H637"/>
  <c r="K579"/>
  <c r="K581" s="1"/>
  <c r="K596" s="1"/>
  <c r="K598" s="1"/>
  <c r="K617"/>
  <c r="Q538"/>
  <c r="Q539" s="1"/>
  <c r="Q541" s="1"/>
  <c r="Q543" s="1"/>
  <c r="Q558" s="1"/>
  <c r="Q576"/>
  <c r="Q577" s="1"/>
  <c r="Q579" s="1"/>
  <c r="Q581" s="1"/>
  <c r="Q596" s="1"/>
  <c r="H601"/>
  <c r="K503"/>
  <c r="K505" s="1"/>
  <c r="K520" s="1"/>
  <c r="K522" s="1"/>
  <c r="K541"/>
  <c r="F567"/>
  <c r="H561"/>
  <c r="Q462"/>
  <c r="Q463" s="1"/>
  <c r="Q465" s="1"/>
  <c r="Q467" s="1"/>
  <c r="Q482" s="1"/>
  <c r="Q500"/>
  <c r="Q501" s="1"/>
  <c r="H529"/>
  <c r="K425"/>
  <c r="K427" s="1"/>
  <c r="K429" s="1"/>
  <c r="K444" s="1"/>
  <c r="K446" s="1"/>
  <c r="K463"/>
  <c r="K465" s="1"/>
  <c r="K467" s="1"/>
  <c r="H485"/>
  <c r="Q386"/>
  <c r="Q387" s="1"/>
  <c r="Q389" s="1"/>
  <c r="B389" s="1"/>
  <c r="Q424"/>
  <c r="Q425" s="1"/>
  <c r="Q427" s="1"/>
  <c r="H449"/>
  <c r="P415"/>
  <c r="M294"/>
  <c r="M295" s="1"/>
  <c r="M297" s="1"/>
  <c r="M301" s="1"/>
  <c r="M256"/>
  <c r="M257" s="1"/>
  <c r="M259" s="1"/>
  <c r="M263" s="1"/>
  <c r="Q349"/>
  <c r="Q272"/>
  <c r="Q310"/>
  <c r="P273"/>
  <c r="P311"/>
  <c r="N239"/>
  <c r="N254" s="1"/>
  <c r="N277"/>
  <c r="N292" s="1"/>
  <c r="K297"/>
  <c r="O237"/>
  <c r="O275"/>
  <c r="J263"/>
  <c r="Q196"/>
  <c r="Q234"/>
  <c r="P197"/>
  <c r="P235"/>
  <c r="M218"/>
  <c r="M219" s="1"/>
  <c r="M221" s="1"/>
  <c r="M225" s="1"/>
  <c r="N163"/>
  <c r="N178" s="1"/>
  <c r="N180" s="1"/>
  <c r="N181" s="1"/>
  <c r="N183" s="1"/>
  <c r="N187" s="1"/>
  <c r="N201"/>
  <c r="N216" s="1"/>
  <c r="N218" s="1"/>
  <c r="O161"/>
  <c r="O199"/>
  <c r="K221"/>
  <c r="J187"/>
  <c r="P121"/>
  <c r="P159"/>
  <c r="Q120"/>
  <c r="Q158"/>
  <c r="M142"/>
  <c r="M143" s="1"/>
  <c r="M145" s="1"/>
  <c r="M149" s="1"/>
  <c r="Q90"/>
  <c r="B90" s="1"/>
  <c r="Q128"/>
  <c r="N87"/>
  <c r="N102" s="1"/>
  <c r="N104" s="1"/>
  <c r="N105" s="1"/>
  <c r="N107" s="1"/>
  <c r="N111" s="1"/>
  <c r="N125"/>
  <c r="N140" s="1"/>
  <c r="N142" s="1"/>
  <c r="K145"/>
  <c r="O85"/>
  <c r="O123"/>
  <c r="Q52"/>
  <c r="C25" i="23"/>
  <c r="P45" i="36"/>
  <c r="P83"/>
  <c r="Q44"/>
  <c r="Q82"/>
  <c r="R18" i="23"/>
  <c r="F46"/>
  <c r="F57" s="1"/>
  <c r="E57"/>
  <c r="J46"/>
  <c r="J57" s="1"/>
  <c r="G46"/>
  <c r="G57" s="1"/>
  <c r="I46"/>
  <c r="I57" s="1"/>
  <c r="K46"/>
  <c r="K57" s="1"/>
  <c r="N39"/>
  <c r="L42"/>
  <c r="M40"/>
  <c r="C30"/>
  <c r="O37"/>
  <c r="N49" i="36"/>
  <c r="N64" s="1"/>
  <c r="N66" s="1"/>
  <c r="N67" s="1"/>
  <c r="N69" s="1"/>
  <c r="N73" s="1"/>
  <c r="P22" i="23"/>
  <c r="O47" i="36"/>
  <c r="C43" i="23"/>
  <c r="B70" i="36" s="1"/>
  <c r="C33" i="23"/>
  <c r="C44"/>
  <c r="B71" i="36" s="1"/>
  <c r="Q20" i="23"/>
  <c r="R35"/>
  <c r="P918" i="40" l="1"/>
  <c r="P920" s="1"/>
  <c r="P921" s="1"/>
  <c r="P923" s="1"/>
  <c r="P927" s="1"/>
  <c r="P873"/>
  <c r="P875" s="1"/>
  <c r="P876" s="1"/>
  <c r="P878" s="1"/>
  <c r="P882" s="1"/>
  <c r="P1233"/>
  <c r="P1235" s="1"/>
  <c r="P1236" s="1"/>
  <c r="P1238" s="1"/>
  <c r="P1242" s="1"/>
  <c r="P1188"/>
  <c r="P1190" s="1"/>
  <c r="P1191" s="1"/>
  <c r="P1193" s="1"/>
  <c r="P1197" s="1"/>
  <c r="P423"/>
  <c r="P425" s="1"/>
  <c r="P426" s="1"/>
  <c r="P428" s="1"/>
  <c r="P432" s="1"/>
  <c r="P963"/>
  <c r="P965" s="1"/>
  <c r="P966" s="1"/>
  <c r="P968" s="1"/>
  <c r="P972" s="1"/>
  <c r="P1008"/>
  <c r="P1010" s="1"/>
  <c r="P1011" s="1"/>
  <c r="P1013" s="1"/>
  <c r="P1017" s="1"/>
  <c r="P1323"/>
  <c r="P1325" s="1"/>
  <c r="P1326" s="1"/>
  <c r="P1328" s="1"/>
  <c r="P1332" s="1"/>
  <c r="P558"/>
  <c r="P560" s="1"/>
  <c r="P561" s="1"/>
  <c r="P563" s="1"/>
  <c r="P567" s="1"/>
  <c r="P1098"/>
  <c r="P1100" s="1"/>
  <c r="P1101" s="1"/>
  <c r="P1103" s="1"/>
  <c r="P1107" s="1"/>
  <c r="P1143"/>
  <c r="P1145" s="1"/>
  <c r="P1146" s="1"/>
  <c r="P1148" s="1"/>
  <c r="P1152" s="1"/>
  <c r="P783"/>
  <c r="P785" s="1"/>
  <c r="P786" s="1"/>
  <c r="P788" s="1"/>
  <c r="P792" s="1"/>
  <c r="P1278"/>
  <c r="P1280" s="1"/>
  <c r="P1281" s="1"/>
  <c r="P1283" s="1"/>
  <c r="P1287" s="1"/>
  <c r="P738"/>
  <c r="P740" s="1"/>
  <c r="P741" s="1"/>
  <c r="P743" s="1"/>
  <c r="P747" s="1"/>
  <c r="Q81" i="37"/>
  <c r="Q1304" i="40"/>
  <c r="Q1169"/>
  <c r="Q1259"/>
  <c r="Q1214"/>
  <c r="Q1079"/>
  <c r="Q989"/>
  <c r="Q1124"/>
  <c r="Q944"/>
  <c r="Q899"/>
  <c r="Q809"/>
  <c r="Q764"/>
  <c r="Q719"/>
  <c r="Q1034"/>
  <c r="Q854"/>
  <c r="Q629"/>
  <c r="Q359"/>
  <c r="Q584"/>
  <c r="Q179"/>
  <c r="Q134"/>
  <c r="Q539"/>
  <c r="Q494"/>
  <c r="Q89"/>
  <c r="Q44"/>
  <c r="Q404"/>
  <c r="Q449"/>
  <c r="Q674"/>
  <c r="Q224"/>
  <c r="Q314"/>
  <c r="Q269"/>
  <c r="P828"/>
  <c r="P830" s="1"/>
  <c r="P831" s="1"/>
  <c r="P833" s="1"/>
  <c r="P837" s="1"/>
  <c r="P648"/>
  <c r="P650" s="1"/>
  <c r="P651" s="1"/>
  <c r="P653" s="1"/>
  <c r="P657" s="1"/>
  <c r="P693"/>
  <c r="P695" s="1"/>
  <c r="P696" s="1"/>
  <c r="P698" s="1"/>
  <c r="P702" s="1"/>
  <c r="P46" i="37"/>
  <c r="P51" s="1"/>
  <c r="P125"/>
  <c r="P137" s="1"/>
  <c r="P142" s="1"/>
  <c r="P603" i="40"/>
  <c r="P605" s="1"/>
  <c r="P606" s="1"/>
  <c r="P608" s="1"/>
  <c r="P612" s="1"/>
  <c r="N162"/>
  <c r="N387"/>
  <c r="O1107"/>
  <c r="O76" i="37"/>
  <c r="O78" s="1"/>
  <c r="O100" s="1"/>
  <c r="O102" s="1"/>
  <c r="O103" s="1"/>
  <c r="O105" s="1"/>
  <c r="O109" s="1"/>
  <c r="O118"/>
  <c r="O120" s="1"/>
  <c r="O122" s="1"/>
  <c r="O144" s="1"/>
  <c r="N927" i="40"/>
  <c r="P470"/>
  <c r="P471" s="1"/>
  <c r="P473" s="1"/>
  <c r="P477" s="1"/>
  <c r="P515"/>
  <c r="P516" s="1"/>
  <c r="P518" s="1"/>
  <c r="P522" s="1"/>
  <c r="N248"/>
  <c r="N207"/>
  <c r="O290"/>
  <c r="O291" s="1"/>
  <c r="O293" s="1"/>
  <c r="O297" s="1"/>
  <c r="Q756"/>
  <c r="Q757" s="1"/>
  <c r="Q759" s="1"/>
  <c r="Q531"/>
  <c r="Q532" s="1"/>
  <c r="Q534" s="1"/>
  <c r="Q441"/>
  <c r="Q442" s="1"/>
  <c r="Q444" s="1"/>
  <c r="Q1296"/>
  <c r="Q1297" s="1"/>
  <c r="Q1299" s="1"/>
  <c r="Q1161"/>
  <c r="Q1162" s="1"/>
  <c r="Q1164" s="1"/>
  <c r="Q1116"/>
  <c r="Q1117" s="1"/>
  <c r="Q1119" s="1"/>
  <c r="Q936"/>
  <c r="Q937" s="1"/>
  <c r="Q939" s="1"/>
  <c r="Q891"/>
  <c r="Q892" s="1"/>
  <c r="Q894" s="1"/>
  <c r="Q711"/>
  <c r="Q712" s="1"/>
  <c r="Q714" s="1"/>
  <c r="Q666"/>
  <c r="Q667" s="1"/>
  <c r="Q669" s="1"/>
  <c r="Q486"/>
  <c r="Q487" s="1"/>
  <c r="Q489" s="1"/>
  <c r="Q351"/>
  <c r="Q1206"/>
  <c r="Q1207" s="1"/>
  <c r="Q1209" s="1"/>
  <c r="Q1071"/>
  <c r="Q1072" s="1"/>
  <c r="Q1074" s="1"/>
  <c r="Q1026"/>
  <c r="Q1027" s="1"/>
  <c r="Q1029" s="1"/>
  <c r="Q981"/>
  <c r="Q982" s="1"/>
  <c r="Q984" s="1"/>
  <c r="Q846"/>
  <c r="Q847" s="1"/>
  <c r="Q849" s="1"/>
  <c r="Q621"/>
  <c r="Q622" s="1"/>
  <c r="Q624" s="1"/>
  <c r="Q396"/>
  <c r="Q397" s="1"/>
  <c r="Q399" s="1"/>
  <c r="Q261"/>
  <c r="Q1251"/>
  <c r="Q1252" s="1"/>
  <c r="Q1254" s="1"/>
  <c r="Q801"/>
  <c r="Q802" s="1"/>
  <c r="Q804" s="1"/>
  <c r="Q576"/>
  <c r="Q577" s="1"/>
  <c r="Q579" s="1"/>
  <c r="Q306"/>
  <c r="Q126"/>
  <c r="Q36"/>
  <c r="Q171"/>
  <c r="Q216"/>
  <c r="Q81"/>
  <c r="P262"/>
  <c r="P264" s="1"/>
  <c r="P266" s="1"/>
  <c r="P288" s="1"/>
  <c r="P307"/>
  <c r="P309" s="1"/>
  <c r="P311" s="1"/>
  <c r="P333" s="1"/>
  <c r="P335" s="1"/>
  <c r="P336" s="1"/>
  <c r="P338" s="1"/>
  <c r="P342" s="1"/>
  <c r="P352"/>
  <c r="P354" s="1"/>
  <c r="P356" s="1"/>
  <c r="P378" s="1"/>
  <c r="P380" s="1"/>
  <c r="P381" s="1"/>
  <c r="P383" s="1"/>
  <c r="P387" s="1"/>
  <c r="P172"/>
  <c r="P174" s="1"/>
  <c r="P176" s="1"/>
  <c r="P198" s="1"/>
  <c r="P217"/>
  <c r="P219" s="1"/>
  <c r="P221" s="1"/>
  <c r="P243" s="1"/>
  <c r="P245" s="1"/>
  <c r="P246" s="1"/>
  <c r="P248" s="1"/>
  <c r="P252" s="1"/>
  <c r="P82"/>
  <c r="P84" s="1"/>
  <c r="P86" s="1"/>
  <c r="P108" s="1"/>
  <c r="P127"/>
  <c r="P129" s="1"/>
  <c r="P131" s="1"/>
  <c r="P153" s="1"/>
  <c r="P155" s="1"/>
  <c r="P156" s="1"/>
  <c r="P158" s="1"/>
  <c r="P162" s="1"/>
  <c r="P37"/>
  <c r="P39" s="1"/>
  <c r="P41" s="1"/>
  <c r="P63" s="1"/>
  <c r="P65" s="1"/>
  <c r="P66" s="1"/>
  <c r="P68" s="1"/>
  <c r="P72" s="1"/>
  <c r="M149" i="37"/>
  <c r="N432" i="40"/>
  <c r="N338"/>
  <c r="O110"/>
  <c r="O111" s="1"/>
  <c r="O113" s="1"/>
  <c r="O117" s="1"/>
  <c r="B1171" i="36"/>
  <c r="Q1173"/>
  <c r="Q1188" s="1"/>
  <c r="Q1190" s="1"/>
  <c r="B921"/>
  <c r="K1304"/>
  <c r="K1306" s="1"/>
  <c r="B1269"/>
  <c r="L1306"/>
  <c r="Q1286"/>
  <c r="Q1288" s="1"/>
  <c r="B1271"/>
  <c r="B1222"/>
  <c r="B1220"/>
  <c r="Q1240"/>
  <c r="B1240" s="1"/>
  <c r="B1237"/>
  <c r="K1206"/>
  <c r="K1208" s="1"/>
  <c r="M1208"/>
  <c r="Q1139"/>
  <c r="Q1141" s="1"/>
  <c r="Q1142" s="1"/>
  <c r="B1142" s="1"/>
  <c r="B1122"/>
  <c r="B1073"/>
  <c r="B1075"/>
  <c r="K1093"/>
  <c r="B1090"/>
  <c r="B997"/>
  <c r="Q1054"/>
  <c r="Q1055" s="1"/>
  <c r="Q1057" s="1"/>
  <c r="Q1061" s="1"/>
  <c r="B999"/>
  <c r="K1037"/>
  <c r="B1035"/>
  <c r="H1023"/>
  <c r="K1017"/>
  <c r="B1014"/>
  <c r="B923"/>
  <c r="Q979"/>
  <c r="Q981" s="1"/>
  <c r="Q985" s="1"/>
  <c r="H981"/>
  <c r="K961"/>
  <c r="B959"/>
  <c r="K941"/>
  <c r="B938"/>
  <c r="Q864"/>
  <c r="Q865" s="1"/>
  <c r="Q867" s="1"/>
  <c r="Q871" s="1"/>
  <c r="Q826"/>
  <c r="Q827" s="1"/>
  <c r="Q829" s="1"/>
  <c r="Q833" s="1"/>
  <c r="Q885"/>
  <c r="B883"/>
  <c r="B807"/>
  <c r="H867"/>
  <c r="K847"/>
  <c r="B845"/>
  <c r="H833"/>
  <c r="K824"/>
  <c r="K826" s="1"/>
  <c r="B809"/>
  <c r="Q34" i="37"/>
  <c r="R34" i="22"/>
  <c r="C20"/>
  <c r="P74" i="37"/>
  <c r="Q73"/>
  <c r="Q117" s="1"/>
  <c r="Q15" i="22"/>
  <c r="Q17" s="1"/>
  <c r="P27" i="37"/>
  <c r="P29" s="1"/>
  <c r="P31" s="1"/>
  <c r="P17" i="22"/>
  <c r="O53" i="37" s="1"/>
  <c r="N53"/>
  <c r="O46" i="22"/>
  <c r="O50" s="1"/>
  <c r="Q171" i="36"/>
  <c r="B171" s="1"/>
  <c r="Q26" i="37"/>
  <c r="R13" i="22"/>
  <c r="P313" i="36"/>
  <c r="P788"/>
  <c r="P789" s="1"/>
  <c r="P791" s="1"/>
  <c r="P795" s="1"/>
  <c r="Q731"/>
  <c r="B731" s="1"/>
  <c r="Q769"/>
  <c r="Q655"/>
  <c r="Q657" s="1"/>
  <c r="Q672" s="1"/>
  <c r="Q674" s="1"/>
  <c r="Q675" s="1"/>
  <c r="Q677" s="1"/>
  <c r="Q681" s="1"/>
  <c r="Q693"/>
  <c r="L719"/>
  <c r="H681"/>
  <c r="K675"/>
  <c r="Q598"/>
  <c r="Q599" s="1"/>
  <c r="Q601" s="1"/>
  <c r="Q605" s="1"/>
  <c r="Q560"/>
  <c r="Q561" s="1"/>
  <c r="Q563" s="1"/>
  <c r="Q567" s="1"/>
  <c r="P522"/>
  <c r="P523" s="1"/>
  <c r="P525" s="1"/>
  <c r="P529" s="1"/>
  <c r="Q503"/>
  <c r="Q505" s="1"/>
  <c r="Q484"/>
  <c r="Q485" s="1"/>
  <c r="Q487" s="1"/>
  <c r="Q491" s="1"/>
  <c r="B581"/>
  <c r="H639"/>
  <c r="K619"/>
  <c r="B617"/>
  <c r="B579"/>
  <c r="H605"/>
  <c r="K599"/>
  <c r="B596"/>
  <c r="H563"/>
  <c r="K543"/>
  <c r="B541"/>
  <c r="K523"/>
  <c r="K482"/>
  <c r="K484" s="1"/>
  <c r="B467"/>
  <c r="H487"/>
  <c r="B465"/>
  <c r="Q391"/>
  <c r="Q406" s="1"/>
  <c r="Q429"/>
  <c r="B427"/>
  <c r="H453"/>
  <c r="K447"/>
  <c r="N294"/>
  <c r="N295" s="1"/>
  <c r="N297" s="1"/>
  <c r="N301" s="1"/>
  <c r="N256"/>
  <c r="N257" s="1"/>
  <c r="N259" s="1"/>
  <c r="N263" s="1"/>
  <c r="Q351"/>
  <c r="O277"/>
  <c r="O292" s="1"/>
  <c r="O315"/>
  <c r="O330" s="1"/>
  <c r="Q273"/>
  <c r="Q311"/>
  <c r="P237"/>
  <c r="P275"/>
  <c r="K301"/>
  <c r="O201"/>
  <c r="O216" s="1"/>
  <c r="O218" s="1"/>
  <c r="O219" s="1"/>
  <c r="O221" s="1"/>
  <c r="O225" s="1"/>
  <c r="O239"/>
  <c r="O254" s="1"/>
  <c r="Q197"/>
  <c r="Q235"/>
  <c r="K225"/>
  <c r="P161"/>
  <c r="P199"/>
  <c r="N219"/>
  <c r="O125"/>
  <c r="O140" s="1"/>
  <c r="O142" s="1"/>
  <c r="O143" s="1"/>
  <c r="O145" s="1"/>
  <c r="O149" s="1"/>
  <c r="O163"/>
  <c r="O178" s="1"/>
  <c r="O180" s="1"/>
  <c r="O181" s="1"/>
  <c r="O183" s="1"/>
  <c r="Q121"/>
  <c r="Q159"/>
  <c r="Q95"/>
  <c r="B95" s="1"/>
  <c r="K149"/>
  <c r="Q133"/>
  <c r="B128"/>
  <c r="N143"/>
  <c r="N145" s="1"/>
  <c r="N149" s="1"/>
  <c r="P85"/>
  <c r="P123"/>
  <c r="B52"/>
  <c r="Q57"/>
  <c r="O49"/>
  <c r="O64" s="1"/>
  <c r="O66" s="1"/>
  <c r="O67" s="1"/>
  <c r="O69" s="1"/>
  <c r="O73" s="1"/>
  <c r="O87"/>
  <c r="O102" s="1"/>
  <c r="Q45"/>
  <c r="Q83"/>
  <c r="R20" i="23"/>
  <c r="N40"/>
  <c r="N42" s="1"/>
  <c r="L46"/>
  <c r="L57" s="1"/>
  <c r="P37"/>
  <c r="P39" s="1"/>
  <c r="D57"/>
  <c r="M42"/>
  <c r="O39"/>
  <c r="Q22"/>
  <c r="P47" i="36"/>
  <c r="C35" i="23"/>
  <c r="P41" i="22" l="1"/>
  <c r="P43" s="1"/>
  <c r="P44" s="1"/>
  <c r="P46" s="1"/>
  <c r="P50" s="1"/>
  <c r="B674" i="40"/>
  <c r="Q686"/>
  <c r="Q691" s="1"/>
  <c r="B691" s="1"/>
  <c r="B89"/>
  <c r="Q101"/>
  <c r="Q106" s="1"/>
  <c r="B106" s="1"/>
  <c r="Q191"/>
  <c r="Q196" s="1"/>
  <c r="B196" s="1"/>
  <c r="B179"/>
  <c r="B854"/>
  <c r="Q866"/>
  <c r="Q871" s="1"/>
  <c r="B871" s="1"/>
  <c r="B809"/>
  <c r="Q821"/>
  <c r="Q826" s="1"/>
  <c r="B826" s="1"/>
  <c r="B1169"/>
  <c r="Q1181"/>
  <c r="Q1186" s="1"/>
  <c r="B1186" s="1"/>
  <c r="B449"/>
  <c r="Q461"/>
  <c r="Q466" s="1"/>
  <c r="B466" s="1"/>
  <c r="B494"/>
  <c r="Q506"/>
  <c r="Q511" s="1"/>
  <c r="B511" s="1"/>
  <c r="B1034"/>
  <c r="Q1046"/>
  <c r="Q1051" s="1"/>
  <c r="B1051" s="1"/>
  <c r="B899"/>
  <c r="Q911"/>
  <c r="Q916" s="1"/>
  <c r="B916" s="1"/>
  <c r="B1304"/>
  <c r="Q1316"/>
  <c r="Q1321" s="1"/>
  <c r="B1321" s="1"/>
  <c r="Q46" i="37"/>
  <c r="Q51" s="1"/>
  <c r="Q125"/>
  <c r="B224" i="40"/>
  <c r="Q236"/>
  <c r="Q241" s="1"/>
  <c r="B241" s="1"/>
  <c r="B44"/>
  <c r="Q56"/>
  <c r="Q61" s="1"/>
  <c r="B61" s="1"/>
  <c r="B134"/>
  <c r="Q146"/>
  <c r="Q151" s="1"/>
  <c r="B151" s="1"/>
  <c r="B629"/>
  <c r="Q641"/>
  <c r="Q646" s="1"/>
  <c r="B646" s="1"/>
  <c r="B764"/>
  <c r="Q776"/>
  <c r="Q781" s="1"/>
  <c r="B781" s="1"/>
  <c r="B1124"/>
  <c r="Q1136"/>
  <c r="Q1141" s="1"/>
  <c r="B1141" s="1"/>
  <c r="B1259"/>
  <c r="Q1271"/>
  <c r="Q1276" s="1"/>
  <c r="B1276" s="1"/>
  <c r="B989"/>
  <c r="Q1001"/>
  <c r="Q1006" s="1"/>
  <c r="B1006" s="1"/>
  <c r="B269"/>
  <c r="Q281"/>
  <c r="Q286" s="1"/>
  <c r="B286" s="1"/>
  <c r="B584"/>
  <c r="Q596"/>
  <c r="Q601" s="1"/>
  <c r="B601" s="1"/>
  <c r="B1079"/>
  <c r="Q1091"/>
  <c r="Q1096" s="1"/>
  <c r="B1096" s="1"/>
  <c r="B314"/>
  <c r="Q326"/>
  <c r="Q331" s="1"/>
  <c r="B331" s="1"/>
  <c r="B404"/>
  <c r="Q416"/>
  <c r="Q421" s="1"/>
  <c r="B421" s="1"/>
  <c r="B539"/>
  <c r="Q551"/>
  <c r="Q556" s="1"/>
  <c r="B556" s="1"/>
  <c r="B359"/>
  <c r="Q371"/>
  <c r="Q376" s="1"/>
  <c r="B376" s="1"/>
  <c r="B719"/>
  <c r="Q731"/>
  <c r="Q736" s="1"/>
  <c r="B736" s="1"/>
  <c r="B944"/>
  <c r="Q956"/>
  <c r="Q961" s="1"/>
  <c r="B961" s="1"/>
  <c r="B1214"/>
  <c r="Q1226"/>
  <c r="Q1231" s="1"/>
  <c r="B1231" s="1"/>
  <c r="P76" i="37"/>
  <c r="P78" s="1"/>
  <c r="P100" s="1"/>
  <c r="P102" s="1"/>
  <c r="P103" s="1"/>
  <c r="P105" s="1"/>
  <c r="P109" s="1"/>
  <c r="P118"/>
  <c r="P120" s="1"/>
  <c r="P122" s="1"/>
  <c r="P144" s="1"/>
  <c r="P146" s="1"/>
  <c r="P147" s="1"/>
  <c r="P149" s="1"/>
  <c r="P153" s="1"/>
  <c r="N342" i="40"/>
  <c r="Q986"/>
  <c r="B984"/>
  <c r="Q896"/>
  <c r="B894"/>
  <c r="Q1301"/>
  <c r="B1299"/>
  <c r="N252"/>
  <c r="P200"/>
  <c r="P201" s="1"/>
  <c r="P203" s="1"/>
  <c r="Q1256"/>
  <c r="B1254"/>
  <c r="Q851"/>
  <c r="B849"/>
  <c r="Q1211"/>
  <c r="B1209"/>
  <c r="Q716"/>
  <c r="B714"/>
  <c r="Q1166"/>
  <c r="B1164"/>
  <c r="Q761"/>
  <c r="B759"/>
  <c r="Q352"/>
  <c r="Q354" s="1"/>
  <c r="Q262"/>
  <c r="Q264" s="1"/>
  <c r="Q307"/>
  <c r="Q309" s="1"/>
  <c r="Q37"/>
  <c r="Q39" s="1"/>
  <c r="Q172"/>
  <c r="Q174" s="1"/>
  <c r="Q217"/>
  <c r="Q219" s="1"/>
  <c r="Q82"/>
  <c r="Q84" s="1"/>
  <c r="Q127"/>
  <c r="Q129" s="1"/>
  <c r="M153" i="37"/>
  <c r="P290" i="40"/>
  <c r="P291" s="1"/>
  <c r="P293" s="1"/>
  <c r="P297" s="1"/>
  <c r="Q806"/>
  <c r="B804"/>
  <c r="Q626"/>
  <c r="B624"/>
  <c r="Q1076"/>
  <c r="B1074"/>
  <c r="Q671"/>
  <c r="B669"/>
  <c r="Q1121"/>
  <c r="B1119"/>
  <c r="Q536"/>
  <c r="B534"/>
  <c r="P110"/>
  <c r="P111" s="1"/>
  <c r="P113" s="1"/>
  <c r="P117" s="1"/>
  <c r="Q581"/>
  <c r="B579"/>
  <c r="Q401"/>
  <c r="B399"/>
  <c r="Q1031"/>
  <c r="B1029"/>
  <c r="Q491"/>
  <c r="B489"/>
  <c r="Q941"/>
  <c r="B939"/>
  <c r="Q446"/>
  <c r="B444"/>
  <c r="O146" i="37"/>
  <c r="O147" s="1"/>
  <c r="O149" s="1"/>
  <c r="O153" s="1"/>
  <c r="B34"/>
  <c r="B1173" i="36"/>
  <c r="Q1289"/>
  <c r="B1289" s="1"/>
  <c r="B1286"/>
  <c r="Q1242"/>
  <c r="Q1246" s="1"/>
  <c r="B1248" s="1"/>
  <c r="Q1191"/>
  <c r="B1191" s="1"/>
  <c r="B1188"/>
  <c r="B1139"/>
  <c r="Q1144"/>
  <c r="Q1148" s="1"/>
  <c r="B1150" s="1"/>
  <c r="K1095"/>
  <c r="B1093"/>
  <c r="K1052"/>
  <c r="K1054" s="1"/>
  <c r="B1037"/>
  <c r="K1019"/>
  <c r="B1017"/>
  <c r="K976"/>
  <c r="K978" s="1"/>
  <c r="B961"/>
  <c r="H985"/>
  <c r="K943"/>
  <c r="B941"/>
  <c r="Q900"/>
  <c r="Q902" s="1"/>
  <c r="B885"/>
  <c r="K862"/>
  <c r="K864" s="1"/>
  <c r="B847"/>
  <c r="H871"/>
  <c r="K827"/>
  <c r="B824"/>
  <c r="P53" i="37"/>
  <c r="P55" s="1"/>
  <c r="P56" s="1"/>
  <c r="P58" s="1"/>
  <c r="P62" s="1"/>
  <c r="B81"/>
  <c r="Q93"/>
  <c r="Q98" s="1"/>
  <c r="B98" s="1"/>
  <c r="R39" i="22"/>
  <c r="C39" s="1"/>
  <c r="C34"/>
  <c r="Q74" i="37"/>
  <c r="R15" i="22"/>
  <c r="O55" i="37"/>
  <c r="O56" s="1"/>
  <c r="O58" s="1"/>
  <c r="O62" s="1"/>
  <c r="N55"/>
  <c r="N56" s="1"/>
  <c r="Q176" i="36"/>
  <c r="B176" s="1"/>
  <c r="Q733"/>
  <c r="Q748" s="1"/>
  <c r="Q27" i="37"/>
  <c r="Q29" s="1"/>
  <c r="Q31" s="1"/>
  <c r="P315" i="36"/>
  <c r="P330" s="1"/>
  <c r="P332" s="1"/>
  <c r="P333" s="1"/>
  <c r="P335" s="1"/>
  <c r="P339" s="1"/>
  <c r="Q771"/>
  <c r="B769"/>
  <c r="B672"/>
  <c r="B657"/>
  <c r="B655"/>
  <c r="Q695"/>
  <c r="B693"/>
  <c r="K677"/>
  <c r="B675"/>
  <c r="B503"/>
  <c r="K634"/>
  <c r="K636" s="1"/>
  <c r="B619"/>
  <c r="H643"/>
  <c r="K601"/>
  <c r="B599"/>
  <c r="K558"/>
  <c r="K560" s="1"/>
  <c r="B543"/>
  <c r="H567"/>
  <c r="Q520"/>
  <c r="Q522" s="1"/>
  <c r="B505"/>
  <c r="K525"/>
  <c r="B391"/>
  <c r="H491"/>
  <c r="K485"/>
  <c r="B485" s="1"/>
  <c r="B482"/>
  <c r="Q444"/>
  <c r="Q446" s="1"/>
  <c r="B429"/>
  <c r="K449"/>
  <c r="Q408"/>
  <c r="Q409" s="1"/>
  <c r="B406"/>
  <c r="O332"/>
  <c r="O333" s="1"/>
  <c r="O335" s="1"/>
  <c r="O339" s="1"/>
  <c r="O294"/>
  <c r="O295" s="1"/>
  <c r="O297" s="1"/>
  <c r="O301" s="1"/>
  <c r="O256"/>
  <c r="O257" s="1"/>
  <c r="O259" s="1"/>
  <c r="O263" s="1"/>
  <c r="B351"/>
  <c r="Q353"/>
  <c r="Q275"/>
  <c r="B275" s="1"/>
  <c r="Q313"/>
  <c r="B313" s="1"/>
  <c r="P239"/>
  <c r="P254" s="1"/>
  <c r="P277"/>
  <c r="P292" s="1"/>
  <c r="Q199"/>
  <c r="B199" s="1"/>
  <c r="Q237"/>
  <c r="B237" s="1"/>
  <c r="Q100"/>
  <c r="B100" s="1"/>
  <c r="P163"/>
  <c r="P178" s="1"/>
  <c r="P180" s="1"/>
  <c r="P181" s="1"/>
  <c r="P183" s="1"/>
  <c r="P187" s="1"/>
  <c r="P201"/>
  <c r="P216" s="1"/>
  <c r="N221"/>
  <c r="Q123"/>
  <c r="B123" s="1"/>
  <c r="Q161"/>
  <c r="B161" s="1"/>
  <c r="O187"/>
  <c r="Q138"/>
  <c r="B138" s="1"/>
  <c r="B133"/>
  <c r="P87"/>
  <c r="P102" s="1"/>
  <c r="P104" s="1"/>
  <c r="P105" s="1"/>
  <c r="P107" s="1"/>
  <c r="P111" s="1"/>
  <c r="P125"/>
  <c r="P140" s="1"/>
  <c r="O104"/>
  <c r="O105" s="1"/>
  <c r="O107" s="1"/>
  <c r="O111" s="1"/>
  <c r="B57"/>
  <c r="Q62"/>
  <c r="B62" s="1"/>
  <c r="R22" i="23"/>
  <c r="C22" s="1"/>
  <c r="Q85" i="36"/>
  <c r="B85" s="1"/>
  <c r="Q47"/>
  <c r="C20" i="23"/>
  <c r="N46"/>
  <c r="N57" s="1"/>
  <c r="M46"/>
  <c r="M57" s="1"/>
  <c r="O40"/>
  <c r="P40"/>
  <c r="Q37"/>
  <c r="P49" i="36"/>
  <c r="P64" s="1"/>
  <c r="Q41" i="22"/>
  <c r="Q43" s="1"/>
  <c r="Q44" s="1"/>
  <c r="Q46" s="1"/>
  <c r="Q50" s="1"/>
  <c r="B125" i="37" l="1"/>
  <c r="Q137"/>
  <c r="Q142" s="1"/>
  <c r="B142" s="1"/>
  <c r="P207" i="40"/>
  <c r="Q963"/>
  <c r="B941"/>
  <c r="Q1053"/>
  <c r="B1031"/>
  <c r="Q603"/>
  <c r="B581"/>
  <c r="Q221"/>
  <c r="B219"/>
  <c r="Q266"/>
  <c r="B264"/>
  <c r="Q1323"/>
  <c r="B1301"/>
  <c r="Q1008"/>
  <c r="B986"/>
  <c r="Q1143"/>
  <c r="B1121"/>
  <c r="Q1098"/>
  <c r="B1076"/>
  <c r="Q828"/>
  <c r="B806"/>
  <c r="Q86"/>
  <c r="B84"/>
  <c r="Q311"/>
  <c r="B309"/>
  <c r="Q1188"/>
  <c r="B1166"/>
  <c r="Q1233"/>
  <c r="B1211"/>
  <c r="Q1278"/>
  <c r="B1256"/>
  <c r="Q76" i="37"/>
  <c r="B76" s="1"/>
  <c r="Q118"/>
  <c r="Q120" s="1"/>
  <c r="Q468" i="40"/>
  <c r="B446"/>
  <c r="Q513"/>
  <c r="B491"/>
  <c r="Q423"/>
  <c r="B401"/>
  <c r="Q131"/>
  <c r="B129"/>
  <c r="Q41"/>
  <c r="B39"/>
  <c r="Q918"/>
  <c r="B896"/>
  <c r="Q558"/>
  <c r="B536"/>
  <c r="Q693"/>
  <c r="B671"/>
  <c r="Q648"/>
  <c r="B626"/>
  <c r="Q176"/>
  <c r="B174"/>
  <c r="Q356"/>
  <c r="B354"/>
  <c r="Q783"/>
  <c r="B761"/>
  <c r="Q738"/>
  <c r="B716"/>
  <c r="Q873"/>
  <c r="B851"/>
  <c r="Q1291" i="36"/>
  <c r="Q1295" s="1"/>
  <c r="B1297" s="1"/>
  <c r="B1242"/>
  <c r="Q1257"/>
  <c r="B1259" s="1"/>
  <c r="F31" s="1"/>
  <c r="B1247"/>
  <c r="Q1193"/>
  <c r="Q1197" s="1"/>
  <c r="B1199" s="1"/>
  <c r="B1144"/>
  <c r="Q1159"/>
  <c r="B1161" s="1"/>
  <c r="D31" s="1"/>
  <c r="B1149"/>
  <c r="K1099"/>
  <c r="B1095"/>
  <c r="K1055"/>
  <c r="B1052"/>
  <c r="K1023"/>
  <c r="B1025" s="1"/>
  <c r="F37" s="1"/>
  <c r="B1019"/>
  <c r="K979"/>
  <c r="B976"/>
  <c r="K947"/>
  <c r="B949" s="1"/>
  <c r="D37" s="1"/>
  <c r="B943"/>
  <c r="Q903"/>
  <c r="B903" s="1"/>
  <c r="B900"/>
  <c r="K865"/>
  <c r="B862"/>
  <c r="K829"/>
  <c r="B827"/>
  <c r="B29" i="37"/>
  <c r="N58"/>
  <c r="N62" s="1"/>
  <c r="B733" i="36"/>
  <c r="R17" i="22"/>
  <c r="Q53" i="37" s="1"/>
  <c r="C15" i="22"/>
  <c r="Q786" i="36"/>
  <c r="Q788" s="1"/>
  <c r="B771"/>
  <c r="Q750"/>
  <c r="Q751" s="1"/>
  <c r="B751" s="1"/>
  <c r="B748"/>
  <c r="Q710"/>
  <c r="B695"/>
  <c r="K681"/>
  <c r="B683" s="1"/>
  <c r="B28" s="1"/>
  <c r="B677"/>
  <c r="K637"/>
  <c r="B634"/>
  <c r="K605"/>
  <c r="B607" s="1"/>
  <c r="E27" s="1"/>
  <c r="B601"/>
  <c r="K561"/>
  <c r="B558"/>
  <c r="Q523"/>
  <c r="B520"/>
  <c r="K529"/>
  <c r="K487"/>
  <c r="K491" s="1"/>
  <c r="B493" s="1"/>
  <c r="F26" s="1"/>
  <c r="Q447"/>
  <c r="B444"/>
  <c r="K453"/>
  <c r="Q411"/>
  <c r="B409"/>
  <c r="P294"/>
  <c r="P295" s="1"/>
  <c r="P297" s="1"/>
  <c r="P301" s="1"/>
  <c r="P256"/>
  <c r="P257" s="1"/>
  <c r="P259" s="1"/>
  <c r="P263" s="1"/>
  <c r="Q368"/>
  <c r="Q370" s="1"/>
  <c r="B353"/>
  <c r="Q277"/>
  <c r="B277" s="1"/>
  <c r="Q315"/>
  <c r="Q201"/>
  <c r="B201" s="1"/>
  <c r="Q239"/>
  <c r="N225"/>
  <c r="P218"/>
  <c r="P219" s="1"/>
  <c r="P221" s="1"/>
  <c r="P225" s="1"/>
  <c r="Q125"/>
  <c r="Q140" s="1"/>
  <c r="Q142" s="1"/>
  <c r="Q163"/>
  <c r="P142"/>
  <c r="P143" s="1"/>
  <c r="P145" s="1"/>
  <c r="P149" s="1"/>
  <c r="Q49"/>
  <c r="Q64" s="1"/>
  <c r="Q66" s="1"/>
  <c r="Q67" s="1"/>
  <c r="Q69" s="1"/>
  <c r="Q73" s="1"/>
  <c r="Q87"/>
  <c r="R37" i="23"/>
  <c r="R39" s="1"/>
  <c r="B47" i="36"/>
  <c r="P66"/>
  <c r="P67" s="1"/>
  <c r="P42" i="23"/>
  <c r="O42"/>
  <c r="Q39"/>
  <c r="Q78" i="37" l="1"/>
  <c r="B78" s="1"/>
  <c r="Q153" i="40"/>
  <c r="B131"/>
  <c r="Q515"/>
  <c r="Q516" s="1"/>
  <c r="B516" s="1"/>
  <c r="B513"/>
  <c r="Q1235"/>
  <c r="Q1236" s="1"/>
  <c r="B1236" s="1"/>
  <c r="B1233"/>
  <c r="Q333"/>
  <c r="B311"/>
  <c r="Q1100"/>
  <c r="Q1101" s="1"/>
  <c r="B1101" s="1"/>
  <c r="B1098"/>
  <c r="Q1010"/>
  <c r="Q1011" s="1"/>
  <c r="B1011" s="1"/>
  <c r="B1008"/>
  <c r="Q288"/>
  <c r="B266"/>
  <c r="Q605"/>
  <c r="Q606" s="1"/>
  <c r="B603"/>
  <c r="Q965"/>
  <c r="Q966" s="1"/>
  <c r="B963"/>
  <c r="Q875"/>
  <c r="Q876" s="1"/>
  <c r="B876" s="1"/>
  <c r="B873"/>
  <c r="Q785"/>
  <c r="Q786" s="1"/>
  <c r="B786" s="1"/>
  <c r="B783"/>
  <c r="Q198"/>
  <c r="B176"/>
  <c r="Q695"/>
  <c r="Q696" s="1"/>
  <c r="B693"/>
  <c r="Q122" i="37"/>
  <c r="B120"/>
  <c r="Q920" i="40"/>
  <c r="Q921" s="1"/>
  <c r="B918"/>
  <c r="Q63"/>
  <c r="B41"/>
  <c r="Q425"/>
  <c r="Q426" s="1"/>
  <c r="B426" s="1"/>
  <c r="B423"/>
  <c r="Q470"/>
  <c r="Q471" s="1"/>
  <c r="B471" s="1"/>
  <c r="B468"/>
  <c r="Q1280"/>
  <c r="Q1281" s="1"/>
  <c r="B1278"/>
  <c r="Q1190"/>
  <c r="Q1191" s="1"/>
  <c r="B1191" s="1"/>
  <c r="B1188"/>
  <c r="Q108"/>
  <c r="B86"/>
  <c r="Q830"/>
  <c r="Q831" s="1"/>
  <c r="B828"/>
  <c r="Q1145"/>
  <c r="Q1146" s="1"/>
  <c r="B1146" s="1"/>
  <c r="B1143"/>
  <c r="Q1325"/>
  <c r="Q1326" s="1"/>
  <c r="B1326" s="1"/>
  <c r="B1323"/>
  <c r="Q243"/>
  <c r="B221"/>
  <c r="Q1055"/>
  <c r="Q1056" s="1"/>
  <c r="B1053"/>
  <c r="Q740"/>
  <c r="Q741" s="1"/>
  <c r="B741" s="1"/>
  <c r="B738"/>
  <c r="Q378"/>
  <c r="B356"/>
  <c r="Q650"/>
  <c r="Q651" s="1"/>
  <c r="B651" s="1"/>
  <c r="B648"/>
  <c r="Q560"/>
  <c r="Q561" s="1"/>
  <c r="B561" s="1"/>
  <c r="B558"/>
  <c r="B1291" i="36"/>
  <c r="Q1306"/>
  <c r="B1308" s="1"/>
  <c r="G31" s="1"/>
  <c r="B1296"/>
  <c r="B1258"/>
  <c r="F14" s="1"/>
  <c r="B1193"/>
  <c r="Q1208"/>
  <c r="B1210" s="1"/>
  <c r="E31" s="1"/>
  <c r="B1198"/>
  <c r="B1160"/>
  <c r="D14" s="1"/>
  <c r="B1101"/>
  <c r="K1110"/>
  <c r="B1112" s="1"/>
  <c r="C31" s="1"/>
  <c r="B1100"/>
  <c r="B49"/>
  <c r="K1057"/>
  <c r="B1055"/>
  <c r="B1024"/>
  <c r="F20" s="1"/>
  <c r="K981"/>
  <c r="B979"/>
  <c r="B948"/>
  <c r="D20" s="1"/>
  <c r="Q905"/>
  <c r="Q909" s="1"/>
  <c r="B911" s="1"/>
  <c r="B37" s="1"/>
  <c r="K867"/>
  <c r="B865"/>
  <c r="K833"/>
  <c r="B829"/>
  <c r="Q100" i="37"/>
  <c r="Q102" s="1"/>
  <c r="Q55"/>
  <c r="Q56" s="1"/>
  <c r="B53"/>
  <c r="R41" i="22"/>
  <c r="C17"/>
  <c r="B31" i="37"/>
  <c r="Q789" i="36"/>
  <c r="B789" s="1"/>
  <c r="B786"/>
  <c r="Q753"/>
  <c r="Q757" s="1"/>
  <c r="B759" s="1"/>
  <c r="E28" s="1"/>
  <c r="Q712"/>
  <c r="Q713" s="1"/>
  <c r="B713" s="1"/>
  <c r="B710"/>
  <c r="B682"/>
  <c r="B11" s="1"/>
  <c r="K639"/>
  <c r="B637"/>
  <c r="B606"/>
  <c r="E10" s="1"/>
  <c r="K563"/>
  <c r="B561"/>
  <c r="Q525"/>
  <c r="B523"/>
  <c r="B492"/>
  <c r="F9" s="1"/>
  <c r="B487"/>
  <c r="Q216"/>
  <c r="Q218" s="1"/>
  <c r="Q219" s="1"/>
  <c r="B219" s="1"/>
  <c r="Q449"/>
  <c r="B447"/>
  <c r="Q415"/>
  <c r="B417" s="1"/>
  <c r="C26" s="1"/>
  <c r="B411"/>
  <c r="Q292"/>
  <c r="Q294" s="1"/>
  <c r="Q295" s="1"/>
  <c r="B295" s="1"/>
  <c r="Q371"/>
  <c r="B371" s="1"/>
  <c r="B368"/>
  <c r="Q330"/>
  <c r="Q332" s="1"/>
  <c r="B315"/>
  <c r="Q254"/>
  <c r="Q256" s="1"/>
  <c r="B239"/>
  <c r="B125"/>
  <c r="Q178"/>
  <c r="B163"/>
  <c r="Q143"/>
  <c r="B140"/>
  <c r="Q102"/>
  <c r="Q104" s="1"/>
  <c r="B87"/>
  <c r="B64"/>
  <c r="C37" i="23"/>
  <c r="B67" i="36"/>
  <c r="P69"/>
  <c r="P73" s="1"/>
  <c r="B75" s="1"/>
  <c r="B24" s="1"/>
  <c r="O46" i="23"/>
  <c r="O57" s="1"/>
  <c r="P46"/>
  <c r="P57" s="1"/>
  <c r="Q40"/>
  <c r="R40"/>
  <c r="Q1103" i="40" l="1"/>
  <c r="B1103" s="1"/>
  <c r="Q653"/>
  <c r="Q657" s="1"/>
  <c r="Q1328"/>
  <c r="B1328" s="1"/>
  <c r="Q878"/>
  <c r="B878" s="1"/>
  <c r="Q380"/>
  <c r="Q381" s="1"/>
  <c r="B378"/>
  <c r="Q1283"/>
  <c r="B1281"/>
  <c r="Q65"/>
  <c r="Q66" s="1"/>
  <c r="B63"/>
  <c r="Q144" i="37"/>
  <c r="B122"/>
  <c r="Q200" i="40"/>
  <c r="Q201" s="1"/>
  <c r="B201" s="1"/>
  <c r="B198"/>
  <c r="Q968"/>
  <c r="B966"/>
  <c r="Q290"/>
  <c r="Q291" s="1"/>
  <c r="B291" s="1"/>
  <c r="B288"/>
  <c r="Q335"/>
  <c r="Q336" s="1"/>
  <c r="B333"/>
  <c r="Q155"/>
  <c r="Q156" s="1"/>
  <c r="B153"/>
  <c r="Q1058"/>
  <c r="B1056"/>
  <c r="Q110"/>
  <c r="Q111" s="1"/>
  <c r="B111" s="1"/>
  <c r="B108"/>
  <c r="Q923"/>
  <c r="B921"/>
  <c r="Q698"/>
  <c r="B696"/>
  <c r="Q608"/>
  <c r="B606"/>
  <c r="Q563"/>
  <c r="Q743"/>
  <c r="Q1148"/>
  <c r="Q473"/>
  <c r="Q788"/>
  <c r="Q1013"/>
  <c r="Q1238"/>
  <c r="Q518"/>
  <c r="Q245"/>
  <c r="Q246" s="1"/>
  <c r="B243"/>
  <c r="Q833"/>
  <c r="B831"/>
  <c r="Q1107"/>
  <c r="Q1193"/>
  <c r="Q428"/>
  <c r="B1307" i="36"/>
  <c r="G14" s="1"/>
  <c r="B1209"/>
  <c r="E14" s="1"/>
  <c r="B1111"/>
  <c r="C14" s="1"/>
  <c r="K1061"/>
  <c r="B1063" s="1"/>
  <c r="G37" s="1"/>
  <c r="B1057"/>
  <c r="K985"/>
  <c r="B987" s="1"/>
  <c r="E37" s="1"/>
  <c r="B981"/>
  <c r="B905"/>
  <c r="B910"/>
  <c r="B20" s="1"/>
  <c r="K871"/>
  <c r="B873" s="1"/>
  <c r="C34" s="1"/>
  <c r="B867"/>
  <c r="B834"/>
  <c r="B17" s="1"/>
  <c r="B835"/>
  <c r="B34" s="1"/>
  <c r="Q103" i="37"/>
  <c r="B100"/>
  <c r="B56"/>
  <c r="Q58"/>
  <c r="R43" i="22"/>
  <c r="R44" s="1"/>
  <c r="C44" s="1"/>
  <c r="C41"/>
  <c r="B51" i="37"/>
  <c r="B48"/>
  <c r="Q791" i="36"/>
  <c r="Q795" s="1"/>
  <c r="B797" s="1"/>
  <c r="F28" s="1"/>
  <c r="B753"/>
  <c r="B758"/>
  <c r="E11" s="1"/>
  <c r="Q715"/>
  <c r="Q719" s="1"/>
  <c r="B721" s="1"/>
  <c r="C28" s="1"/>
  <c r="K643"/>
  <c r="B645" s="1"/>
  <c r="F27" s="1"/>
  <c r="B639"/>
  <c r="K567"/>
  <c r="B569" s="1"/>
  <c r="C27" s="1"/>
  <c r="B563"/>
  <c r="Q529"/>
  <c r="B531" s="1"/>
  <c r="B27" s="1"/>
  <c r="B525"/>
  <c r="B216"/>
  <c r="Q453"/>
  <c r="B455" s="1"/>
  <c r="E26" s="1"/>
  <c r="B449"/>
  <c r="B416"/>
  <c r="C9" s="1"/>
  <c r="B292"/>
  <c r="Q373"/>
  <c r="Q377" s="1"/>
  <c r="Q333"/>
  <c r="B333" s="1"/>
  <c r="B330"/>
  <c r="Q297"/>
  <c r="Q301" s="1"/>
  <c r="Q257"/>
  <c r="B257" s="1"/>
  <c r="B254"/>
  <c r="Q221"/>
  <c r="Q180"/>
  <c r="Q181" s="1"/>
  <c r="B178"/>
  <c r="Q145"/>
  <c r="B143"/>
  <c r="Q105"/>
  <c r="B102"/>
  <c r="B74"/>
  <c r="B7" s="1"/>
  <c r="C40" i="23"/>
  <c r="Q42"/>
  <c r="R42"/>
  <c r="R46" s="1"/>
  <c r="B653" i="40" l="1"/>
  <c r="Q882"/>
  <c r="B883" s="1"/>
  <c r="E12" s="1"/>
  <c r="Q1332"/>
  <c r="Q113"/>
  <c r="B113" s="1"/>
  <c r="Q432"/>
  <c r="B428"/>
  <c r="Q522"/>
  <c r="B518"/>
  <c r="Q477"/>
  <c r="B473"/>
  <c r="Q1062"/>
  <c r="B1058"/>
  <c r="Q338"/>
  <c r="B336"/>
  <c r="Q68"/>
  <c r="B66"/>
  <c r="Q383"/>
  <c r="B381"/>
  <c r="Q203"/>
  <c r="B1109"/>
  <c r="F26" s="1"/>
  <c r="B1108"/>
  <c r="F13" s="1"/>
  <c r="Q837"/>
  <c r="B833"/>
  <c r="B658"/>
  <c r="C11" s="1"/>
  <c r="B659"/>
  <c r="C24" s="1"/>
  <c r="Q792"/>
  <c r="B788"/>
  <c r="Q567"/>
  <c r="B563"/>
  <c r="Q702"/>
  <c r="B698"/>
  <c r="Q117"/>
  <c r="Q1017"/>
  <c r="B1013"/>
  <c r="Q747"/>
  <c r="B743"/>
  <c r="Q158"/>
  <c r="B156"/>
  <c r="Q146" i="37"/>
  <c r="Q147" s="1"/>
  <c r="B144"/>
  <c r="Q1287" i="40"/>
  <c r="B1283"/>
  <c r="Q293"/>
  <c r="Q1197"/>
  <c r="B1193"/>
  <c r="Q248"/>
  <c r="B246"/>
  <c r="Q1242"/>
  <c r="B1238"/>
  <c r="Q1152"/>
  <c r="B1148"/>
  <c r="Q612"/>
  <c r="B608"/>
  <c r="Q927"/>
  <c r="B923"/>
  <c r="Q972"/>
  <c r="B968"/>
  <c r="B1062" i="36"/>
  <c r="G20" s="1"/>
  <c r="B986"/>
  <c r="E20" s="1"/>
  <c r="B872"/>
  <c r="C17" s="1"/>
  <c r="Q105" i="37"/>
  <c r="B103"/>
  <c r="B58"/>
  <c r="Q62"/>
  <c r="B64" s="1"/>
  <c r="R46" i="22"/>
  <c r="B791" i="36"/>
  <c r="B796"/>
  <c r="F11" s="1"/>
  <c r="B715"/>
  <c r="B720"/>
  <c r="C11" s="1"/>
  <c r="B644"/>
  <c r="F10" s="1"/>
  <c r="B568"/>
  <c r="C10" s="1"/>
  <c r="B530"/>
  <c r="B10" s="1"/>
  <c r="B454"/>
  <c r="E9" s="1"/>
  <c r="B378"/>
  <c r="B9" s="1"/>
  <c r="B379"/>
  <c r="B26" s="1"/>
  <c r="B373"/>
  <c r="Q335"/>
  <c r="Q339" s="1"/>
  <c r="B302"/>
  <c r="E8" s="1"/>
  <c r="B303"/>
  <c r="E25" s="1"/>
  <c r="B297"/>
  <c r="Q259"/>
  <c r="Q263" s="1"/>
  <c r="Q225"/>
  <c r="B221"/>
  <c r="Q183"/>
  <c r="B181"/>
  <c r="Q149"/>
  <c r="B145"/>
  <c r="Q107"/>
  <c r="B105"/>
  <c r="C42" i="23"/>
  <c r="Q46"/>
  <c r="Q57" s="1"/>
  <c r="R57"/>
  <c r="B1333" i="40" l="1"/>
  <c r="G16" s="1"/>
  <c r="B1334"/>
  <c r="G29" s="1"/>
  <c r="B884"/>
  <c r="E25" s="1"/>
  <c r="B928"/>
  <c r="F12" s="1"/>
  <c r="B929"/>
  <c r="F25" s="1"/>
  <c r="B1153"/>
  <c r="B16" s="1"/>
  <c r="B1154"/>
  <c r="B29" s="1"/>
  <c r="Q252"/>
  <c r="B248"/>
  <c r="B1198"/>
  <c r="D16" s="1"/>
  <c r="B1199"/>
  <c r="D29" s="1"/>
  <c r="Q387"/>
  <c r="B383"/>
  <c r="Q342"/>
  <c r="B338"/>
  <c r="B478"/>
  <c r="C10" s="1"/>
  <c r="B479"/>
  <c r="C23" s="1"/>
  <c r="B433"/>
  <c r="B10" s="1"/>
  <c r="B434"/>
  <c r="B23" s="1"/>
  <c r="B1289"/>
  <c r="F29" s="1"/>
  <c r="B1288"/>
  <c r="F16" s="1"/>
  <c r="Q162"/>
  <c r="B158"/>
  <c r="B1019"/>
  <c r="C26" s="1"/>
  <c r="B1018"/>
  <c r="C13" s="1"/>
  <c r="B703"/>
  <c r="E11" s="1"/>
  <c r="B704"/>
  <c r="E24" s="1"/>
  <c r="B793"/>
  <c r="B12" s="1"/>
  <c r="B794"/>
  <c r="B25" s="1"/>
  <c r="B838"/>
  <c r="C12" s="1"/>
  <c r="B839"/>
  <c r="C25" s="1"/>
  <c r="B973"/>
  <c r="B13" s="1"/>
  <c r="B974"/>
  <c r="B26" s="1"/>
  <c r="B614"/>
  <c r="B24" s="1"/>
  <c r="B613"/>
  <c r="B11" s="1"/>
  <c r="B1244"/>
  <c r="E29" s="1"/>
  <c r="B1243"/>
  <c r="E16" s="1"/>
  <c r="Q207"/>
  <c r="B203"/>
  <c r="Q72"/>
  <c r="B68"/>
  <c r="B1063"/>
  <c r="E13" s="1"/>
  <c r="B1064"/>
  <c r="E26" s="1"/>
  <c r="B523"/>
  <c r="E10" s="1"/>
  <c r="B524"/>
  <c r="E23" s="1"/>
  <c r="Q297"/>
  <c r="B293"/>
  <c r="Q149" i="37"/>
  <c r="B147"/>
  <c r="B748" i="40"/>
  <c r="F11" s="1"/>
  <c r="B749"/>
  <c r="F24" s="1"/>
  <c r="B119"/>
  <c r="C21" s="1"/>
  <c r="B118"/>
  <c r="C8" s="1"/>
  <c r="B569"/>
  <c r="F23" s="1"/>
  <c r="B568"/>
  <c r="F10" s="1"/>
  <c r="C48" i="23"/>
  <c r="E8" i="37" s="1"/>
  <c r="Q109"/>
  <c r="B105"/>
  <c r="B63"/>
  <c r="C8" s="1"/>
  <c r="R50" i="22"/>
  <c r="C46"/>
  <c r="B69" i="36"/>
  <c r="B341"/>
  <c r="F25" s="1"/>
  <c r="B335"/>
  <c r="B340"/>
  <c r="F8" s="1"/>
  <c r="B265"/>
  <c r="C25" s="1"/>
  <c r="B227"/>
  <c r="B25" s="1"/>
  <c r="B264"/>
  <c r="B259"/>
  <c r="B226"/>
  <c r="B8" s="1"/>
  <c r="B151"/>
  <c r="E24" s="1"/>
  <c r="Q187"/>
  <c r="B183"/>
  <c r="B150"/>
  <c r="E7" s="1"/>
  <c r="Q111"/>
  <c r="B112" s="1"/>
  <c r="C7" s="1"/>
  <c r="B107"/>
  <c r="C47" i="23"/>
  <c r="C59"/>
  <c r="C58"/>
  <c r="B111" i="37" l="1"/>
  <c r="E9" s="1"/>
  <c r="B110"/>
  <c r="C9" s="1"/>
  <c r="B31" i="36"/>
  <c r="I11" i="37"/>
  <c r="I14"/>
  <c r="I12"/>
  <c r="I13"/>
  <c r="Q153"/>
  <c r="B149"/>
  <c r="B74" i="40"/>
  <c r="B21" s="1"/>
  <c r="B73"/>
  <c r="B8" s="1"/>
  <c r="B388"/>
  <c r="F9" s="1"/>
  <c r="B389"/>
  <c r="F22" s="1"/>
  <c r="B253"/>
  <c r="B9" s="1"/>
  <c r="B254"/>
  <c r="B22" s="1"/>
  <c r="B164"/>
  <c r="E21" s="1"/>
  <c r="B163"/>
  <c r="E8" s="1"/>
  <c r="B344"/>
  <c r="E22" s="1"/>
  <c r="B343"/>
  <c r="E9" s="1"/>
  <c r="B298"/>
  <c r="C9" s="1"/>
  <c r="B299"/>
  <c r="C22" s="1"/>
  <c r="B209"/>
  <c r="F21" s="1"/>
  <c r="B208"/>
  <c r="F8" s="1"/>
  <c r="B14" i="36"/>
  <c r="D8" i="37"/>
  <c r="D9" s="1"/>
  <c r="D10" s="1"/>
  <c r="D27" i="36"/>
  <c r="D28"/>
  <c r="C37" s="1"/>
  <c r="D10"/>
  <c r="D11"/>
  <c r="D8"/>
  <c r="D9"/>
  <c r="D25"/>
  <c r="D26"/>
  <c r="C8"/>
  <c r="D24"/>
  <c r="D7"/>
  <c r="C52" i="22"/>
  <c r="J11" i="37" s="1"/>
  <c r="C51" i="22"/>
  <c r="B188" i="36"/>
  <c r="F7" s="1"/>
  <c r="B189"/>
  <c r="F24" s="1"/>
  <c r="B113"/>
  <c r="C24" s="1"/>
  <c r="H19" i="29"/>
  <c r="H18"/>
  <c r="H11" i="37" l="1"/>
  <c r="H13"/>
  <c r="H14"/>
  <c r="H12"/>
  <c r="J12"/>
  <c r="J13"/>
  <c r="J14"/>
  <c r="C29" i="40"/>
  <c r="D23"/>
  <c r="D24"/>
  <c r="D25"/>
  <c r="D21"/>
  <c r="D26"/>
  <c r="D22"/>
  <c r="B155" i="37"/>
  <c r="E10" s="1"/>
  <c r="B154"/>
  <c r="C10" s="1"/>
  <c r="D13" i="40"/>
  <c r="D9"/>
  <c r="C16"/>
  <c r="D10"/>
  <c r="D11"/>
  <c r="D12"/>
  <c r="D8"/>
  <c r="C20" i="36"/>
  <c r="H17" i="29"/>
</calcChain>
</file>

<file path=xl/comments1.xml><?xml version="1.0" encoding="utf-8"?>
<comments xmlns="http://schemas.openxmlformats.org/spreadsheetml/2006/main">
  <authors>
    <author>CO2 Solutions</author>
  </authors>
  <commentList>
    <comment ref="E90" authorId="0">
      <text>
        <r>
          <rPr>
            <sz val="8"/>
            <color indexed="81"/>
            <rFont val="Tahoma"/>
            <family val="2"/>
          </rPr>
          <t xml:space="preserve">Since PEMEX PEP is already operating a similar system in TMDB for light crude oil, the same personnel is able to handle the supplementary kilns. </t>
        </r>
      </text>
    </comment>
  </commentList>
</comments>
</file>

<file path=xl/comments2.xml><?xml version="1.0" encoding="utf-8"?>
<comments xmlns="http://schemas.openxmlformats.org/spreadsheetml/2006/main">
  <authors>
    <author>Carlos Fernando González Vázquez</author>
  </authors>
  <commentList>
    <comment ref="A28" authorId="0">
      <text>
        <r>
          <rPr>
            <b/>
            <sz val="8"/>
            <color indexed="81"/>
            <rFont val="Tahoma"/>
            <family val="2"/>
          </rPr>
          <t xml:space="preserve">Note: </t>
        </r>
        <r>
          <rPr>
            <sz val="8"/>
            <color indexed="81"/>
            <rFont val="Tahoma"/>
            <family val="2"/>
          </rPr>
          <t>All the boilers use Natural gas</t>
        </r>
      </text>
    </comment>
    <comment ref="A29" authorId="0">
      <text>
        <r>
          <rPr>
            <b/>
            <sz val="8"/>
            <color indexed="81"/>
            <rFont val="Tahoma"/>
            <family val="2"/>
          </rPr>
          <t>efficiency of boiler</t>
        </r>
        <r>
          <rPr>
            <b/>
            <i/>
            <sz val="8"/>
            <color indexed="81"/>
            <rFont val="Tahoma"/>
            <family val="2"/>
          </rPr>
          <t>i</t>
        </r>
        <r>
          <rPr>
            <b/>
            <sz val="8"/>
            <color indexed="81"/>
            <rFont val="Tahoma"/>
            <family val="2"/>
          </rPr>
          <t>th</t>
        </r>
      </text>
    </comment>
    <comment ref="A30" authorId="0">
      <text>
        <r>
          <rPr>
            <b/>
            <sz val="8"/>
            <color indexed="81"/>
            <rFont val="Tahoma"/>
            <family val="2"/>
          </rPr>
          <t>efficiency of boiler</t>
        </r>
        <r>
          <rPr>
            <b/>
            <i/>
            <sz val="8"/>
            <color indexed="81"/>
            <rFont val="Tahoma"/>
            <family val="2"/>
          </rPr>
          <t>i</t>
        </r>
        <r>
          <rPr>
            <b/>
            <sz val="8"/>
            <color indexed="81"/>
            <rFont val="Tahoma"/>
            <family val="2"/>
          </rPr>
          <t>th</t>
        </r>
      </text>
    </comment>
    <comment ref="A31" authorId="0">
      <text>
        <r>
          <rPr>
            <b/>
            <sz val="8"/>
            <color indexed="81"/>
            <rFont val="Tahoma"/>
            <family val="2"/>
          </rPr>
          <t>efficiency of boiler</t>
        </r>
        <r>
          <rPr>
            <b/>
            <i/>
            <sz val="8"/>
            <color indexed="81"/>
            <rFont val="Tahoma"/>
            <family val="2"/>
          </rPr>
          <t>i</t>
        </r>
        <r>
          <rPr>
            <b/>
            <sz val="8"/>
            <color indexed="81"/>
            <rFont val="Tahoma"/>
            <family val="2"/>
          </rPr>
          <t>th</t>
        </r>
      </text>
    </comment>
    <comment ref="A32" authorId="0">
      <text>
        <r>
          <rPr>
            <b/>
            <sz val="8"/>
            <color indexed="81"/>
            <rFont val="Tahoma"/>
            <family val="2"/>
          </rPr>
          <t>efficiency of boiler</t>
        </r>
        <r>
          <rPr>
            <b/>
            <i/>
            <sz val="8"/>
            <color indexed="81"/>
            <rFont val="Tahoma"/>
            <family val="2"/>
          </rPr>
          <t>i</t>
        </r>
        <r>
          <rPr>
            <b/>
            <sz val="8"/>
            <color indexed="81"/>
            <rFont val="Tahoma"/>
            <family val="2"/>
          </rPr>
          <t>th</t>
        </r>
      </text>
    </comment>
    <comment ref="A33" authorId="0">
      <text>
        <r>
          <rPr>
            <sz val="8"/>
            <color indexed="81"/>
            <rFont val="Tahoma"/>
            <family val="2"/>
          </rPr>
          <t xml:space="preserve">Fraction of total heat that is used by the recipient plant </t>
        </r>
        <r>
          <rPr>
            <i/>
            <sz val="8"/>
            <color indexed="81"/>
            <rFont val="Tahoma"/>
            <family val="2"/>
          </rPr>
          <t xml:space="preserve">j </t>
        </r>
        <r>
          <rPr>
            <sz val="8"/>
            <color indexed="81"/>
            <rFont val="Tahoma"/>
            <family val="2"/>
          </rPr>
          <t>in the absence of the project  would have been given by</t>
        </r>
        <r>
          <rPr>
            <i/>
            <sz val="8"/>
            <color indexed="81"/>
            <rFont val="Tahoma"/>
            <family val="2"/>
          </rPr>
          <t xml:space="preserve"> i </t>
        </r>
        <r>
          <rPr>
            <sz val="8"/>
            <color indexed="81"/>
            <rFont val="Tahoma"/>
            <family val="2"/>
          </rPr>
          <t>boiler</t>
        </r>
      </text>
    </comment>
    <comment ref="A46" authorId="0">
      <text>
        <r>
          <rPr>
            <b/>
            <sz val="8"/>
            <color indexed="81"/>
            <rFont val="Tahoma"/>
            <family val="2"/>
          </rPr>
          <t xml:space="preserve">Ratio is 1 if the waste gas generated in project year </t>
        </r>
        <r>
          <rPr>
            <i/>
            <sz val="8"/>
            <color indexed="81"/>
            <rFont val="Tahoma"/>
            <family val="2"/>
          </rPr>
          <t>y</t>
        </r>
        <r>
          <rPr>
            <sz val="8"/>
            <color indexed="81"/>
            <rFont val="Tahoma"/>
            <family val="2"/>
          </rPr>
          <t xml:space="preserve"> </t>
        </r>
        <r>
          <rPr>
            <b/>
            <sz val="8"/>
            <color indexed="81"/>
            <rFont val="Tahoma"/>
            <family val="2"/>
          </rPr>
          <t>IS SAME OR LESS then that generated in base year</t>
        </r>
      </text>
    </comment>
    <comment ref="A61" authorId="0">
      <text>
        <r>
          <rPr>
            <b/>
            <sz val="8"/>
            <color indexed="81"/>
            <rFont val="Tahoma"/>
            <family val="2"/>
          </rPr>
          <t xml:space="preserve">Quantity of WECM used for energy generation during year </t>
        </r>
        <r>
          <rPr>
            <b/>
            <i/>
            <sz val="8"/>
            <color indexed="81"/>
            <rFont val="Tahoma"/>
            <family val="2"/>
          </rPr>
          <t>y</t>
        </r>
      </text>
    </comment>
  </commentList>
</comments>
</file>

<file path=xl/comments3.xml><?xml version="1.0" encoding="utf-8"?>
<comments xmlns="http://schemas.openxmlformats.org/spreadsheetml/2006/main">
  <authors>
    <author>Carlos Fernando González Vázquez</author>
  </authors>
  <commentList>
    <comment ref="B27" authorId="0">
      <text>
        <r>
          <rPr>
            <sz val="11"/>
            <color indexed="81"/>
            <rFont val="Tahoma"/>
            <family val="2"/>
          </rPr>
          <t xml:space="preserve">Dollar per Thousand cubic feet </t>
        </r>
      </text>
    </comment>
  </commentList>
</comments>
</file>

<file path=xl/sharedStrings.xml><?xml version="1.0" encoding="utf-8"?>
<sst xmlns="http://schemas.openxmlformats.org/spreadsheetml/2006/main" count="22819" uniqueCount="447">
  <si>
    <t>Carbon dioxide Emissions Calculation --- ACM0012</t>
  </si>
  <si>
    <t>Baseline Emissions from Thermal Energy</t>
  </si>
  <si>
    <t>Year 1</t>
  </si>
  <si>
    <t>Year 2</t>
  </si>
  <si>
    <t>Year 3</t>
  </si>
  <si>
    <t>Year 4</t>
  </si>
  <si>
    <t>Year 5</t>
  </si>
  <si>
    <t>Year 6</t>
  </si>
  <si>
    <t>Year 7</t>
  </si>
  <si>
    <t>Year 8</t>
  </si>
  <si>
    <t>Year 9</t>
  </si>
  <si>
    <t>Year 10</t>
  </si>
  <si>
    <t>TOTAL</t>
  </si>
  <si>
    <r>
      <t xml:space="preserve">EFheat,y </t>
    </r>
    <r>
      <rPr>
        <sz val="10"/>
        <color indexed="9"/>
        <rFont val="Arial"/>
        <family val="2"/>
      </rPr>
      <t>(tCO2/TJ)</t>
    </r>
  </si>
  <si>
    <r>
      <t>HG</t>
    </r>
    <r>
      <rPr>
        <b/>
        <vertAlign val="subscript"/>
        <sz val="10"/>
        <color indexed="9"/>
        <rFont val="Arial"/>
        <family val="2"/>
      </rPr>
      <t xml:space="preserve">j,y    </t>
    </r>
    <r>
      <rPr>
        <sz val="10"/>
        <color indexed="9"/>
        <rFont val="Arial"/>
        <family val="2"/>
      </rPr>
      <t>(TJ/yr)</t>
    </r>
  </si>
  <si>
    <t>"Yes" or "No"</t>
  </si>
  <si>
    <r>
      <t>f</t>
    </r>
    <r>
      <rPr>
        <b/>
        <sz val="7"/>
        <color indexed="13"/>
        <rFont val="Arial"/>
        <family val="2"/>
      </rPr>
      <t>cap</t>
    </r>
    <r>
      <rPr>
        <b/>
        <sz val="10"/>
        <color indexed="9"/>
        <rFont val="Arial"/>
        <family val="2"/>
      </rPr>
      <t xml:space="preserve"> - energy that would have been produced in project year y using waste heat generated in base year</t>
    </r>
  </si>
  <si>
    <r>
      <t xml:space="preserve">ws </t>
    </r>
    <r>
      <rPr>
        <sz val="9"/>
        <color indexed="9"/>
        <rFont val="Arial"/>
        <family val="2"/>
      </rPr>
      <t>(joined)</t>
    </r>
  </si>
  <si>
    <t>General technical Input data</t>
  </si>
  <si>
    <t>Operating hours per year</t>
  </si>
  <si>
    <t>hours / year</t>
  </si>
  <si>
    <t>Operating hours FIRST year</t>
  </si>
  <si>
    <t>Operating hours LAST year</t>
  </si>
  <si>
    <r>
      <t>NCV</t>
    </r>
    <r>
      <rPr>
        <sz val="8"/>
        <color indexed="9"/>
        <rFont val="Arial"/>
        <family val="2"/>
      </rPr>
      <t>Natural Gas</t>
    </r>
  </si>
  <si>
    <r>
      <t>EF</t>
    </r>
    <r>
      <rPr>
        <sz val="8"/>
        <color indexed="9"/>
        <rFont val="Arial"/>
        <family val="2"/>
      </rPr>
      <t>Natural Gas</t>
    </r>
  </si>
  <si>
    <t>tCO2 / TJ</t>
  </si>
  <si>
    <t>Year 11</t>
  </si>
  <si>
    <r>
      <t>f</t>
    </r>
    <r>
      <rPr>
        <b/>
        <sz val="6"/>
        <color indexed="9"/>
        <rFont val="Arial"/>
        <family val="2"/>
      </rPr>
      <t>WCM</t>
    </r>
    <r>
      <rPr>
        <b/>
        <sz val="10"/>
        <color indexed="9"/>
        <rFont val="Arial"/>
        <family val="2"/>
      </rPr>
      <t xml:space="preserve"> </t>
    </r>
    <r>
      <rPr>
        <sz val="10"/>
        <color indexed="9"/>
        <rFont val="Arial"/>
        <family val="2"/>
      </rPr>
      <t>(fraction)</t>
    </r>
  </si>
  <si>
    <t>RESUME</t>
  </si>
  <si>
    <r>
      <t>f</t>
    </r>
    <r>
      <rPr>
        <b/>
        <sz val="8"/>
        <color indexed="9"/>
        <rFont val="Arial"/>
        <family val="2"/>
      </rPr>
      <t>cap</t>
    </r>
    <r>
      <rPr>
        <b/>
        <sz val="10"/>
        <color indexed="9"/>
        <rFont val="Arial"/>
        <family val="2"/>
      </rPr>
      <t xml:space="preserve"> </t>
    </r>
    <r>
      <rPr>
        <sz val="10"/>
        <color indexed="9"/>
        <rFont val="Arial"/>
        <family val="2"/>
      </rPr>
      <t>(fraction)</t>
    </r>
  </si>
  <si>
    <r>
      <t>f</t>
    </r>
    <r>
      <rPr>
        <b/>
        <sz val="8"/>
        <color indexed="13"/>
        <rFont val="Arial"/>
        <family val="2"/>
      </rPr>
      <t>cap</t>
    </r>
    <r>
      <rPr>
        <b/>
        <sz val="10"/>
        <color indexed="13"/>
        <rFont val="Arial"/>
        <family val="2"/>
      </rPr>
      <t xml:space="preserve"> </t>
    </r>
    <r>
      <rPr>
        <sz val="10"/>
        <color indexed="13"/>
        <rFont val="Arial"/>
        <family val="2"/>
      </rPr>
      <t>(fraction)</t>
    </r>
  </si>
  <si>
    <t>Project Emissions from Thermal Energy</t>
  </si>
  <si>
    <r>
      <t>PE</t>
    </r>
    <r>
      <rPr>
        <b/>
        <sz val="7"/>
        <color indexed="9"/>
        <rFont val="Arial"/>
        <family val="2"/>
      </rPr>
      <t xml:space="preserve">EL,y  </t>
    </r>
    <r>
      <rPr>
        <sz val="10"/>
        <color indexed="9"/>
        <rFont val="Arial"/>
        <family val="2"/>
      </rPr>
      <t xml:space="preserve"> (tCO2/yr)</t>
    </r>
  </si>
  <si>
    <r>
      <t>PE</t>
    </r>
    <r>
      <rPr>
        <b/>
        <sz val="7"/>
        <color indexed="9"/>
        <rFont val="Arial"/>
        <family val="2"/>
      </rPr>
      <t xml:space="preserve">EL,Import,y  </t>
    </r>
    <r>
      <rPr>
        <sz val="10"/>
        <color indexed="9"/>
        <rFont val="Arial"/>
        <family val="2"/>
      </rPr>
      <t xml:space="preserve"> (tCO2/yr)</t>
    </r>
  </si>
  <si>
    <r>
      <t>PE</t>
    </r>
    <r>
      <rPr>
        <b/>
        <sz val="7"/>
        <color indexed="9"/>
        <rFont val="Arial"/>
        <family val="2"/>
      </rPr>
      <t xml:space="preserve">AF,y  </t>
    </r>
    <r>
      <rPr>
        <sz val="10"/>
        <color indexed="9"/>
        <rFont val="Arial"/>
        <family val="2"/>
      </rPr>
      <t xml:space="preserve"> (tCO2/yr)</t>
    </r>
  </si>
  <si>
    <t>Total</t>
  </si>
  <si>
    <t>%</t>
  </si>
  <si>
    <t>Components for electric consumption</t>
  </si>
  <si>
    <t xml:space="preserve"> …. (+ add)</t>
  </si>
  <si>
    <t>PEy</t>
  </si>
  <si>
    <t>Baseline emissions</t>
  </si>
  <si>
    <t>Project emissions</t>
  </si>
  <si>
    <t>Emissions Reductions</t>
  </si>
  <si>
    <t>Emissions reductions in 10 years</t>
  </si>
  <si>
    <t>tCO2e</t>
  </si>
  <si>
    <t>Emissions reductions per year</t>
  </si>
  <si>
    <t>tCO2e / year</t>
  </si>
  <si>
    <t>YES</t>
  </si>
  <si>
    <t>CERs</t>
  </si>
  <si>
    <t xml:space="preserve">BEy </t>
  </si>
  <si>
    <t xml:space="preserve">PEy </t>
  </si>
  <si>
    <t>IRR</t>
  </si>
  <si>
    <t>Year 12</t>
  </si>
  <si>
    <t>Year 13</t>
  </si>
  <si>
    <t>Year 14</t>
  </si>
  <si>
    <t>Year 15</t>
  </si>
  <si>
    <t>Totales</t>
  </si>
  <si>
    <t>Site conditioning</t>
  </si>
  <si>
    <t>Engineering</t>
  </si>
  <si>
    <t>Total Investment</t>
  </si>
  <si>
    <t>000 MXP$</t>
  </si>
  <si>
    <t>MXP/USD</t>
  </si>
  <si>
    <t>Maya Oil Production</t>
  </si>
  <si>
    <t>BTU/ft3</t>
  </si>
  <si>
    <t>Energy Savings</t>
  </si>
  <si>
    <t>TJ/year</t>
  </si>
  <si>
    <t>Unitary Cost of Natural Gas</t>
  </si>
  <si>
    <t>Total Incomes/Savings</t>
  </si>
  <si>
    <t>Fixed Costs</t>
  </si>
  <si>
    <t>Operation</t>
  </si>
  <si>
    <t>Maintenance</t>
  </si>
  <si>
    <t>Variable Costs</t>
  </si>
  <si>
    <t>Total Operating/ Debit Costs</t>
  </si>
  <si>
    <t>Depreciation</t>
  </si>
  <si>
    <t>Total Other Costs</t>
  </si>
  <si>
    <t>Total Expenses</t>
  </si>
  <si>
    <t>EBIT</t>
  </si>
  <si>
    <t xml:space="preserve">Total Taxes          </t>
  </si>
  <si>
    <t>Net Profit</t>
  </si>
  <si>
    <r>
      <t xml:space="preserve"> + </t>
    </r>
    <r>
      <rPr>
        <sz val="10"/>
        <rFont val="Arial"/>
        <family val="2"/>
      </rPr>
      <t>Depreciation</t>
    </r>
  </si>
  <si>
    <r>
      <t xml:space="preserve"> + </t>
    </r>
    <r>
      <rPr>
        <sz val="10"/>
        <rFont val="Arial"/>
        <family val="2"/>
      </rPr>
      <t>Rescue of Actives</t>
    </r>
  </si>
  <si>
    <t>USD/1000 Barrel</t>
  </si>
  <si>
    <t>1000 Barrels/year</t>
  </si>
  <si>
    <t>Penalty Savings</t>
  </si>
  <si>
    <r>
      <t>BEy</t>
    </r>
    <r>
      <rPr>
        <b/>
        <sz val="10"/>
        <color indexed="9"/>
        <rFont val="Arial"/>
        <family val="2"/>
      </rPr>
      <t xml:space="preserve"> = BETher,y</t>
    </r>
  </si>
  <si>
    <r>
      <t>EF</t>
    </r>
    <r>
      <rPr>
        <b/>
        <vertAlign val="subscript"/>
        <sz val="10"/>
        <color indexed="9"/>
        <rFont val="Arial"/>
        <family val="2"/>
      </rPr>
      <t>heat,j,y</t>
    </r>
    <r>
      <rPr>
        <b/>
        <sz val="10"/>
        <color indexed="9"/>
        <rFont val="Arial"/>
        <family val="2"/>
      </rPr>
      <t xml:space="preserve"> - Emission Factor of element suplying heat in the absence opf project activity</t>
    </r>
  </si>
  <si>
    <r>
      <t>HG</t>
    </r>
    <r>
      <rPr>
        <b/>
        <vertAlign val="subscript"/>
        <sz val="10"/>
        <color indexed="9"/>
        <rFont val="Arial"/>
        <family val="2"/>
      </rPr>
      <t>j,y</t>
    </r>
    <r>
      <rPr>
        <b/>
        <sz val="10"/>
        <color indexed="9"/>
        <rFont val="Arial"/>
        <family val="2"/>
      </rPr>
      <t xml:space="preserve"> - Net quantity of heat supplied (enthalpy steam - enthalpy of condensated returned)</t>
    </r>
  </si>
  <si>
    <r>
      <t>EF</t>
    </r>
    <r>
      <rPr>
        <b/>
        <sz val="8"/>
        <color indexed="9"/>
        <rFont val="Arial"/>
        <family val="2"/>
      </rPr>
      <t>CO2,i,j</t>
    </r>
    <r>
      <rPr>
        <sz val="8"/>
        <color indexed="9"/>
        <rFont val="Arial"/>
        <family val="2"/>
      </rPr>
      <t xml:space="preserve"> Natural Gas  (tCO2 / TJ)</t>
    </r>
  </si>
  <si>
    <r>
      <t>PE</t>
    </r>
    <r>
      <rPr>
        <b/>
        <vertAlign val="subscript"/>
        <sz val="11"/>
        <color indexed="9"/>
        <rFont val="Arial"/>
        <family val="2"/>
      </rPr>
      <t>AF,y</t>
    </r>
    <r>
      <rPr>
        <b/>
        <sz val="11"/>
        <color indexed="9"/>
        <rFont val="Arial"/>
        <family val="2"/>
      </rPr>
      <t xml:space="preserve"> - Emissions from on-site consumption of suplementary fossil fuels or other reason</t>
    </r>
  </si>
  <si>
    <r>
      <t>PE</t>
    </r>
    <r>
      <rPr>
        <b/>
        <vertAlign val="subscript"/>
        <sz val="11"/>
        <color indexed="9"/>
        <rFont val="Arial"/>
        <family val="2"/>
      </rPr>
      <t>EL,y</t>
    </r>
    <r>
      <rPr>
        <b/>
        <sz val="11"/>
        <color indexed="9"/>
        <rFont val="Arial"/>
        <family val="2"/>
      </rPr>
      <t xml:space="preserve"> - Emissions from on-site consumption of suplementary electricity</t>
    </r>
  </si>
  <si>
    <r>
      <t>¿Specify data for PE</t>
    </r>
    <r>
      <rPr>
        <b/>
        <sz val="8"/>
        <color indexed="9"/>
        <rFont val="Arial"/>
        <family val="2"/>
      </rPr>
      <t>EL,y</t>
    </r>
    <r>
      <rPr>
        <b/>
        <sz val="10"/>
        <color indexed="9"/>
        <rFont val="Arial"/>
        <family val="2"/>
      </rPr>
      <t xml:space="preserve">  ?</t>
    </r>
  </si>
  <si>
    <t>Quantity</t>
  </si>
  <si>
    <t>GA-702A/R</t>
  </si>
  <si>
    <t>GA-701A</t>
  </si>
  <si>
    <t>Operational Hours</t>
  </si>
  <si>
    <r>
      <t xml:space="preserve">Hot Oil Pumping </t>
    </r>
    <r>
      <rPr>
        <sz val="8"/>
        <color indexed="9"/>
        <rFont val="Arial"/>
        <family val="2"/>
      </rPr>
      <t>(MWh/yr)</t>
    </r>
  </si>
  <si>
    <r>
      <t xml:space="preserve">Cooler Pump  </t>
    </r>
    <r>
      <rPr>
        <sz val="8"/>
        <color indexed="9"/>
        <rFont val="Arial"/>
        <family val="2"/>
      </rPr>
      <t>(MWh/yr)</t>
    </r>
  </si>
  <si>
    <r>
      <t xml:space="preserve">Hot Oil Reposition Pump </t>
    </r>
    <r>
      <rPr>
        <sz val="8"/>
        <color indexed="9"/>
        <rFont val="Arial"/>
        <family val="2"/>
      </rPr>
      <t>(MWh/yr)</t>
    </r>
  </si>
  <si>
    <r>
      <t xml:space="preserve">Others </t>
    </r>
    <r>
      <rPr>
        <sz val="8"/>
        <color indexed="9"/>
        <rFont val="Arial"/>
        <family val="2"/>
      </rPr>
      <t>(MWh/yr)</t>
    </r>
  </si>
  <si>
    <t>lb/1000 Barrels</t>
  </si>
  <si>
    <t>USD/lb</t>
  </si>
  <si>
    <t>Total Variable Cost</t>
  </si>
  <si>
    <t>Natural Gas Consumption Cost</t>
  </si>
  <si>
    <t>WITH CDM</t>
  </si>
  <si>
    <t>CERs Price</t>
  </si>
  <si>
    <t>Ton CO2/year</t>
  </si>
  <si>
    <t>USD/Ton CO2</t>
  </si>
  <si>
    <t>CERs Income</t>
  </si>
  <si>
    <t>Kiln Efficiency</t>
  </si>
  <si>
    <t>000 USD$</t>
  </si>
  <si>
    <t>Net Cash Flow      000 USD$</t>
  </si>
  <si>
    <r>
      <t>h</t>
    </r>
    <r>
      <rPr>
        <b/>
        <sz val="10"/>
        <color indexed="9"/>
        <rFont val="Arial"/>
        <family val="2"/>
      </rPr>
      <t xml:space="preserve">EP </t>
    </r>
    <r>
      <rPr>
        <sz val="9"/>
        <color indexed="9"/>
        <rFont val="Arial"/>
        <family val="2"/>
      </rPr>
      <t>(kiln efficiency) -- 1</t>
    </r>
  </si>
  <si>
    <r>
      <t>h</t>
    </r>
    <r>
      <rPr>
        <b/>
        <sz val="10"/>
        <color indexed="9"/>
        <rFont val="Arial"/>
        <family val="2"/>
      </rPr>
      <t xml:space="preserve">EP </t>
    </r>
    <r>
      <rPr>
        <sz val="9"/>
        <color indexed="9"/>
        <rFont val="Arial"/>
        <family val="2"/>
      </rPr>
      <t>(kiln efficiency) -- 2</t>
    </r>
  </si>
  <si>
    <r>
      <t>h</t>
    </r>
    <r>
      <rPr>
        <b/>
        <sz val="10"/>
        <color indexed="9"/>
        <rFont val="Arial"/>
        <family val="2"/>
      </rPr>
      <t xml:space="preserve">EP </t>
    </r>
    <r>
      <rPr>
        <sz val="9"/>
        <color indexed="9"/>
        <rFont val="Arial"/>
        <family val="2"/>
      </rPr>
      <t>(kiln efficiency) -- 3</t>
    </r>
  </si>
  <si>
    <r>
      <t>h</t>
    </r>
    <r>
      <rPr>
        <b/>
        <sz val="10"/>
        <color indexed="9"/>
        <rFont val="Arial"/>
        <family val="2"/>
      </rPr>
      <t xml:space="preserve">EP </t>
    </r>
    <r>
      <rPr>
        <sz val="9"/>
        <color indexed="9"/>
        <rFont val="Arial"/>
        <family val="2"/>
      </rPr>
      <t>(kiln efficiency) -- 4</t>
    </r>
  </si>
  <si>
    <t>Penalty savings</t>
  </si>
  <si>
    <t xml:space="preserve">Salt content reduction </t>
  </si>
  <si>
    <t xml:space="preserve">Unitary Cost </t>
  </si>
  <si>
    <t>Salt Content Reduction</t>
  </si>
  <si>
    <t>Unitary Cost</t>
  </si>
  <si>
    <t>Inputs</t>
  </si>
  <si>
    <t>Units</t>
  </si>
  <si>
    <t>Source</t>
  </si>
  <si>
    <t>IPCC</t>
  </si>
  <si>
    <t>EFCO2 (Natural Gas)</t>
  </si>
  <si>
    <r>
      <t>h</t>
    </r>
    <r>
      <rPr>
        <b/>
        <sz val="10"/>
        <color indexed="9"/>
        <rFont val="Arial"/>
        <family val="2"/>
      </rPr>
      <t>EP</t>
    </r>
  </si>
  <si>
    <t>Fraction of heat in BL</t>
  </si>
  <si>
    <t>wsi,j</t>
  </si>
  <si>
    <t>Baseline Analysis</t>
  </si>
  <si>
    <t>kcal/hr</t>
  </si>
  <si>
    <t>Conversion of units</t>
  </si>
  <si>
    <t>kJ/kcal</t>
  </si>
  <si>
    <t xml:space="preserve">Conversion from kcal to kJ </t>
  </si>
  <si>
    <t>Fraction of heat obtained from waste gas</t>
  </si>
  <si>
    <r>
      <t>f</t>
    </r>
    <r>
      <rPr>
        <b/>
        <sz val="6"/>
        <color indexed="9"/>
        <rFont val="Arial"/>
        <family val="2"/>
      </rPr>
      <t>WCM</t>
    </r>
    <r>
      <rPr>
        <b/>
        <sz val="10"/>
        <color indexed="9"/>
        <rFont val="Arial"/>
        <family val="2"/>
      </rPr>
      <t xml:space="preserve"> </t>
    </r>
  </si>
  <si>
    <t>fraction</t>
  </si>
  <si>
    <t>T.G. No. 1</t>
  </si>
  <si>
    <t>T.G. No. 2</t>
  </si>
  <si>
    <t>T.G. No. 3</t>
  </si>
  <si>
    <t>T.G. No. 4</t>
  </si>
  <si>
    <t>TR-01</t>
  </si>
  <si>
    <t>TR-02</t>
  </si>
  <si>
    <t>TOTAL PEMEX (Mw-Hr)</t>
  </si>
  <si>
    <t>TOTAL C.F.E. (Mw-Hr)</t>
  </si>
  <si>
    <t>GAS (F13)</t>
  </si>
  <si>
    <t>Conversion from TJ to MMBTU</t>
  </si>
  <si>
    <t>MMBTU/TJ</t>
  </si>
  <si>
    <t>MWh</t>
  </si>
  <si>
    <t>ft3</t>
  </si>
  <si>
    <t>Conversión from ft^3 to m^3</t>
  </si>
  <si>
    <t>m^3/ft^3</t>
  </si>
  <si>
    <t>kcal</t>
  </si>
  <si>
    <t>TJ</t>
  </si>
  <si>
    <t xml:space="preserve">tCO2 </t>
  </si>
  <si>
    <r>
      <t>NCV</t>
    </r>
    <r>
      <rPr>
        <sz val="8"/>
        <color indexed="9"/>
        <rFont val="Arial"/>
        <family val="2"/>
      </rPr>
      <t>Diesel</t>
    </r>
  </si>
  <si>
    <r>
      <t>EF</t>
    </r>
    <r>
      <rPr>
        <sz val="8"/>
        <color indexed="9"/>
        <rFont val="Arial"/>
        <family val="2"/>
      </rPr>
      <t>Diesel</t>
    </r>
  </si>
  <si>
    <t>tCO2/MWh</t>
  </si>
  <si>
    <t>MMBTU</t>
  </si>
  <si>
    <t>Pumps Electrical Consumption</t>
  </si>
  <si>
    <t>GA-700 A/B/R</t>
  </si>
  <si>
    <t>TAG</t>
  </si>
  <si>
    <t xml:space="preserve">Power </t>
  </si>
  <si>
    <t>HP</t>
  </si>
  <si>
    <t xml:space="preserve">Conversion from HP to kW </t>
  </si>
  <si>
    <t xml:space="preserve">kW/hP </t>
  </si>
  <si>
    <t>Power (hP)</t>
  </si>
  <si>
    <t xml:space="preserve">Power (kW) </t>
  </si>
  <si>
    <t xml:space="preserve">Power Consumption (MWh) </t>
  </si>
  <si>
    <t>Hot oil pumping</t>
  </si>
  <si>
    <t>Cooler pump</t>
  </si>
  <si>
    <t>Hot oil Reposition pump</t>
  </si>
  <si>
    <t>Baseline Costs</t>
  </si>
  <si>
    <t>Cost</t>
  </si>
  <si>
    <t>Currency</t>
  </si>
  <si>
    <t>MXP</t>
  </si>
  <si>
    <t>N/A</t>
  </si>
  <si>
    <t>Operation &amp; Maintenance</t>
  </si>
  <si>
    <t>Year</t>
  </si>
  <si>
    <t>USD/MMBTU</t>
  </si>
  <si>
    <t>US$ / MMBTU</t>
  </si>
  <si>
    <t>MMBTU/year</t>
  </si>
  <si>
    <t>Operational Data</t>
  </si>
  <si>
    <t>Salt content in the exit of TMDB with the current system</t>
  </si>
  <si>
    <t>pounds/MB</t>
  </si>
  <si>
    <t>Presentation from the Subdirection of comercialitation and distribution</t>
  </si>
  <si>
    <t>Maximum Salt content allowable</t>
  </si>
  <si>
    <t>Contract PEMEX PEP-PEMEX PR</t>
  </si>
  <si>
    <t>Penalty per salt content (Unitary Cost)</t>
  </si>
  <si>
    <t>Rate of Exchange</t>
  </si>
  <si>
    <t>Rate of Exchange USD to MXP</t>
  </si>
  <si>
    <t>WHRS Costs</t>
  </si>
  <si>
    <t>Equipment:</t>
  </si>
  <si>
    <t>USD</t>
  </si>
  <si>
    <t>Operation (Manpower), costs per year:</t>
  </si>
  <si>
    <t>EUR</t>
  </si>
  <si>
    <t>Rate of Exchange EUR to MXP</t>
  </si>
  <si>
    <t>MXP/EUR</t>
  </si>
  <si>
    <t>Baseline Emissions</t>
  </si>
  <si>
    <t>tCO2 / year</t>
  </si>
  <si>
    <t>Project Emissions</t>
  </si>
  <si>
    <t>Financial Analysis</t>
  </si>
  <si>
    <t>Baseline IRR</t>
  </si>
  <si>
    <t>Project IRR without CERs</t>
  </si>
  <si>
    <t>Project IRR with CERs</t>
  </si>
  <si>
    <t>Gas Cromatography</t>
  </si>
  <si>
    <t>Natural Gas Costs (Premisas 2008)</t>
  </si>
  <si>
    <t>Sensitivity Analysis</t>
  </si>
  <si>
    <t>Price ($/tCO2)</t>
  </si>
  <si>
    <t>Maya Oil treated in the dewatering system</t>
  </si>
  <si>
    <t>MBPD</t>
  </si>
  <si>
    <t>CERs price</t>
  </si>
  <si>
    <t>Platts Emissions Daily October 10, 2008</t>
  </si>
  <si>
    <t/>
  </si>
  <si>
    <t>Conv lt to barrels</t>
  </si>
  <si>
    <t>Emission Factor</t>
  </si>
  <si>
    <t>Electricity Generation</t>
  </si>
  <si>
    <t>Natural Gas Emission Factor</t>
  </si>
  <si>
    <t>Diesel Consumption</t>
  </si>
  <si>
    <t>Diesel Emission Factor</t>
  </si>
  <si>
    <t>Heat supplied in each heat exchanger to the oil (waste gas/oil)</t>
  </si>
  <si>
    <t>Natural Gas consumption</t>
  </si>
  <si>
    <r>
      <t>EF</t>
    </r>
    <r>
      <rPr>
        <sz val="8"/>
        <color indexed="9"/>
        <rFont val="Arial"/>
        <family val="2"/>
      </rPr>
      <t xml:space="preserve">CO2,EL,y = </t>
    </r>
    <r>
      <rPr>
        <b/>
        <sz val="10"/>
        <color indexed="9"/>
        <rFont val="Arial"/>
        <family val="2"/>
      </rPr>
      <t>EF</t>
    </r>
    <r>
      <rPr>
        <sz val="8"/>
        <color indexed="9"/>
        <rFont val="Arial"/>
        <family val="2"/>
      </rPr>
      <t>CP    (tCO2/MWh)</t>
    </r>
  </si>
  <si>
    <t>Tax  --  [IRP]                      (000 USD$)</t>
  </si>
  <si>
    <t>MXP/lb</t>
  </si>
  <si>
    <t>Petrol Income Tax</t>
  </si>
  <si>
    <t>IRP</t>
  </si>
  <si>
    <t>Taxes &amp; Depreciation</t>
  </si>
  <si>
    <t>Highest of the efficiency figure provided by natural gas kilns manufacturers</t>
  </si>
  <si>
    <t>Technical Analysis by WHRS manufacturer</t>
  </si>
  <si>
    <t>Technical diagram TD700D103B</t>
  </si>
  <si>
    <t>Technical diagram TD700D103A</t>
  </si>
  <si>
    <t>Technical diagram TD700D102A</t>
  </si>
  <si>
    <t>Maintanance costs for the light crude heating system</t>
  </si>
  <si>
    <t>ANEX C WHRS CONTRACT 420848811</t>
  </si>
  <si>
    <t>PEP Human Resources system</t>
  </si>
  <si>
    <t xml:space="preserve"> LETTER REFERING TO CONTRACT 420848811</t>
  </si>
  <si>
    <t>PEMEX Premises</t>
  </si>
  <si>
    <t>Mexican Tax Law</t>
  </si>
  <si>
    <t xml:space="preserve">    Economizer (8) </t>
  </si>
  <si>
    <t xml:space="preserve">    Water Heater (2)</t>
  </si>
  <si>
    <t xml:space="preserve">    Heat Exchange (2)</t>
  </si>
  <si>
    <t xml:space="preserve">    Crude oil Pump (2) para 300 MBD c/u</t>
  </si>
  <si>
    <t xml:space="preserve">    Vapor Recovery (2) para 5 MMPCD c/u</t>
  </si>
  <si>
    <t xml:space="preserve">    Waste Heat Recovery System</t>
  </si>
  <si>
    <t xml:space="preserve">    Security System</t>
  </si>
  <si>
    <t xml:space="preserve">    Equipment Integration</t>
  </si>
  <si>
    <t xml:space="preserve">    Site Conditioning</t>
  </si>
  <si>
    <t xml:space="preserve">    Pipe Supporting</t>
  </si>
  <si>
    <t xml:space="preserve">    Helper (4)</t>
  </si>
  <si>
    <t xml:space="preserve">    Operator (4)</t>
  </si>
  <si>
    <t xml:space="preserve">    Shift Engineer (4)</t>
  </si>
  <si>
    <t xml:space="preserve">    Operation Engineer (1)</t>
  </si>
  <si>
    <t xml:space="preserve">    Spare parts (for one year)</t>
  </si>
  <si>
    <t>Project IRR</t>
  </si>
  <si>
    <t xml:space="preserve">IPCC </t>
  </si>
  <si>
    <t>Method 3</t>
  </si>
  <si>
    <t>Qoe,bl (TJ,yr)</t>
  </si>
  <si>
    <r>
      <t>Q</t>
    </r>
    <r>
      <rPr>
        <b/>
        <sz val="7"/>
        <color indexed="9"/>
        <rFont val="Arial"/>
        <family val="2"/>
      </rPr>
      <t>OE</t>
    </r>
    <r>
      <rPr>
        <b/>
        <sz val="8"/>
        <color indexed="9"/>
        <rFont val="Arial"/>
        <family val="2"/>
      </rPr>
      <t>,y</t>
    </r>
    <r>
      <rPr>
        <b/>
        <sz val="10"/>
        <color indexed="9"/>
        <rFont val="Arial"/>
        <family val="2"/>
      </rPr>
      <t xml:space="preserve">    </t>
    </r>
    <r>
      <rPr>
        <sz val="10"/>
        <color indexed="9"/>
        <rFont val="Arial"/>
        <family val="2"/>
      </rPr>
      <t xml:space="preserve"> (TJ,yr)</t>
    </r>
  </si>
  <si>
    <t>Industrial cost report</t>
  </si>
  <si>
    <t>Diesel Density</t>
  </si>
  <si>
    <t>kg/l</t>
  </si>
  <si>
    <t>kcal/kg</t>
  </si>
  <si>
    <t>liters</t>
  </si>
  <si>
    <t>kg</t>
  </si>
  <si>
    <t>Units and conversions fact sheet</t>
  </si>
  <si>
    <t>Banco de Mexico. Average rate exchange from 2008</t>
  </si>
  <si>
    <t>Year 0</t>
  </si>
  <si>
    <t>NPV</t>
  </si>
  <si>
    <t>Project NPV</t>
  </si>
  <si>
    <t>Inflation</t>
  </si>
  <si>
    <t>Rate of Discount</t>
  </si>
  <si>
    <t>Ref</t>
  </si>
  <si>
    <t>Title (*)</t>
  </si>
  <si>
    <t>Date of issuance</t>
  </si>
  <si>
    <t>CERs issued</t>
  </si>
  <si>
    <t>Verified period</t>
  </si>
  <si>
    <t>Host Parties</t>
  </si>
  <si>
    <t>Other Parties</t>
  </si>
  <si>
    <t>Año exp</t>
  </si>
  <si>
    <t>Mes exp</t>
  </si>
  <si>
    <t>Países</t>
  </si>
  <si>
    <t>Project heat source failure</t>
  </si>
  <si>
    <t>TG failure index</t>
  </si>
  <si>
    <t>Average for the last five years taxes paid by PEMEX</t>
  </si>
  <si>
    <t>Avg (2004, 2005,2006, 2007 &amp; 2008) ftp://ftp.bls.gov/pub/special.requests/cpi/cpiai.txt</t>
  </si>
  <si>
    <t>Operation hours, PEMEX control system</t>
  </si>
  <si>
    <t>Investment</t>
  </si>
  <si>
    <t>O&amp;M</t>
  </si>
  <si>
    <t>Investment (-10%)</t>
  </si>
  <si>
    <t>Investment Sensitivity Analysis (WHRS Project Scenario)</t>
  </si>
  <si>
    <t>Maya Oil Production (1000 Barrels/year)</t>
  </si>
  <si>
    <t>Salt Content Reduction (lb/1000 Barrels)</t>
  </si>
  <si>
    <t>Unitary Cost (USD/lb)</t>
  </si>
  <si>
    <t>Penalty savings (USD/1000 Barrel)</t>
  </si>
  <si>
    <t>Total Penalty Savings (000 USD$)</t>
  </si>
  <si>
    <t>Total Incomes/Savings (000 USD$)</t>
  </si>
  <si>
    <t>Operation (000 USD$)</t>
  </si>
  <si>
    <t>Maintenance (000 USD$)</t>
  </si>
  <si>
    <t>Total Operating/ Debit Costs (000 USD$)</t>
  </si>
  <si>
    <t>Depreciation (000 USD$)</t>
  </si>
  <si>
    <t>Total Other Costs (000 USD$)</t>
  </si>
  <si>
    <t>Total Expenses (000 USD$)</t>
  </si>
  <si>
    <t>EBIT (000 USD$)</t>
  </si>
  <si>
    <t>Total Taxes  (000 USD$)</t>
  </si>
  <si>
    <t>Net Profit (000 USD$)</t>
  </si>
  <si>
    <t xml:space="preserve"> + Depreciation (000 USD$)</t>
  </si>
  <si>
    <t xml:space="preserve"> + Rescue of Actives (000 USD$)</t>
  </si>
  <si>
    <t>Investment (-5%)</t>
  </si>
  <si>
    <t>Investment (5%)</t>
  </si>
  <si>
    <t>Investment (10%)</t>
  </si>
  <si>
    <t>O&amp;M Sensitivity Analysis (WHRS Project Scenario)</t>
  </si>
  <si>
    <t>O&amp;M (-10%)</t>
  </si>
  <si>
    <t>O&amp;M (-5%)</t>
  </si>
  <si>
    <t>O&amp;M (+5%)</t>
  </si>
  <si>
    <t>O&amp;M (+10%)</t>
  </si>
  <si>
    <t>Penalty costs Sensitivity Analysis (WHRS Project Scenario)</t>
  </si>
  <si>
    <t>Penalty costs (-10%)</t>
  </si>
  <si>
    <t>Penalty costs (-5%)</t>
  </si>
  <si>
    <t>Penalty costs (+5%)</t>
  </si>
  <si>
    <t>Penalty costs (+10%)</t>
  </si>
  <si>
    <t>Salt content Sensitivity Analysis (WHRS Project Scenario)</t>
  </si>
  <si>
    <t>Salt content (-5%)</t>
  </si>
  <si>
    <t>Salt content (5%)</t>
  </si>
  <si>
    <t>Salt content (10%)</t>
  </si>
  <si>
    <t>Production Sensitivity Analysis (WHRS Project Scenario)</t>
  </si>
  <si>
    <t>Production (-10%)</t>
  </si>
  <si>
    <t>Production (-5%)</t>
  </si>
  <si>
    <t>Production (+5%)</t>
  </si>
  <si>
    <t>Production (+10%)</t>
  </si>
  <si>
    <t>Investment Sensitivity Analysis (Baseline_Natural Gas  Scenario)</t>
  </si>
  <si>
    <t>Operation &amp; Maintenance (000 USD$)</t>
  </si>
  <si>
    <r>
      <t xml:space="preserve"> + </t>
    </r>
    <r>
      <rPr>
        <sz val="10"/>
        <color theme="0"/>
        <rFont val="Arial"/>
        <family val="2"/>
      </rPr>
      <t>Depreciation</t>
    </r>
  </si>
  <si>
    <r>
      <t xml:space="preserve"> + </t>
    </r>
    <r>
      <rPr>
        <sz val="10"/>
        <color theme="0"/>
        <rFont val="Arial"/>
        <family val="2"/>
      </rPr>
      <t>Rescue of Actives</t>
    </r>
  </si>
  <si>
    <t>Investment (+5%)</t>
  </si>
  <si>
    <t>Investment (+10%)</t>
  </si>
  <si>
    <t>O&amp;M Sensitivity Analysis (Baseline_Natural Gas  Scenario)</t>
  </si>
  <si>
    <t>Penalty costs Sensitivity Analysis (Baseline_Natural Gas  Scenario)</t>
  </si>
  <si>
    <t>Salt content Sensitivity Analysis (Baseline_Natural Gas  Scenario)</t>
  </si>
  <si>
    <t>Salt content (-10%)</t>
  </si>
  <si>
    <t>Salt content (+5%)</t>
  </si>
  <si>
    <t>Salt content (+10%)</t>
  </si>
  <si>
    <t>Production Sensitivity Analysis (Baseline_Natural Gas  Scenario)</t>
  </si>
  <si>
    <t>NG costs Sensitivity Analysis (Baseline_Natural Gas  Scenario)</t>
  </si>
  <si>
    <t>Natural Gas costs (+10%)</t>
  </si>
  <si>
    <t>Natural Gas costs (-10%)</t>
  </si>
  <si>
    <t>Natural Gas Consumption</t>
  </si>
  <si>
    <t>Natural Gas Consumption (MMBTU/year)</t>
  </si>
  <si>
    <t>Natural Gas costs (-5%)</t>
  </si>
  <si>
    <t>Natural Gas costs (+5%)</t>
  </si>
  <si>
    <t>Petrol Income tax Sensitivity Analysis (Baseline_Natural Gas  Scenario)</t>
  </si>
  <si>
    <t>TG Failure Index  (WHRS Project Scenario)</t>
  </si>
  <si>
    <t>TG Failure Index (3%)</t>
  </si>
  <si>
    <t>TG Failure Index (0%)</t>
  </si>
  <si>
    <t>Petrol Income Tax Sensitivity Analysis (WHRS Project Scenario)</t>
  </si>
  <si>
    <t>Petrol Income Tax (80%)</t>
  </si>
  <si>
    <t>Petrol Income Tax (60%)</t>
  </si>
  <si>
    <t>Petrol Income Tax (50%)</t>
  </si>
  <si>
    <t>Petrol Income Tax (40%)</t>
  </si>
  <si>
    <t>Petrol Income Tax (30%)</t>
  </si>
  <si>
    <t>IRR Results</t>
  </si>
  <si>
    <t>NPV Results</t>
  </si>
  <si>
    <t>CERs Sales Sensitivity Analysis (WHRS Project Scenario)</t>
  </si>
  <si>
    <t xml:space="preserve">Price (5 $/tCO2) </t>
  </si>
  <si>
    <t>Emissions Reductions (tCO2/year)</t>
  </si>
  <si>
    <t>CERs Price (USD/tCO2)</t>
  </si>
  <si>
    <t>CERs Income (000 USD)</t>
  </si>
  <si>
    <t xml:space="preserve">Price (10 $/tCO2) </t>
  </si>
  <si>
    <t xml:space="preserve">Price (15 $/tCO2) </t>
  </si>
  <si>
    <t xml:space="preserve">Price (20 $/tCO2) </t>
  </si>
  <si>
    <t xml:space="preserve">Price (25$/tCO2) </t>
  </si>
  <si>
    <t>Penalty Costs</t>
  </si>
  <si>
    <t>Penalty costs</t>
  </si>
  <si>
    <t>Salt content</t>
  </si>
  <si>
    <t>Production</t>
  </si>
  <si>
    <t>Salt Content</t>
  </si>
  <si>
    <t>Natural Gas Costs</t>
  </si>
  <si>
    <t>1/01/2012-31/12/2012</t>
  </si>
  <si>
    <t>1/01/2013-31/12/2013</t>
  </si>
  <si>
    <t>1/01/2014-31/12/2014</t>
  </si>
  <si>
    <t>1/01/2015-31/12/2015</t>
  </si>
  <si>
    <t>1/01/2016-31/12/2016</t>
  </si>
  <si>
    <t>1/01/2017-31/12/2017</t>
  </si>
  <si>
    <t>1/01/2018-31/12/2018</t>
  </si>
  <si>
    <t>1/01/2019-31/12/2019</t>
  </si>
  <si>
    <t>1/01/2020-31/12/2020</t>
  </si>
  <si>
    <t>1/01/2021-31/12/2021</t>
  </si>
  <si>
    <t xml:space="preserve">TRANSPORTATION MANAGEMENT AND DISTRIBUTION OF HYDROCARBONS </t>
  </si>
  <si>
    <t>COORDINATION OF TRANSP. AND OIL DISTRIBUTION</t>
  </si>
  <si>
    <t>ELECTRIC PLANT T.M.D.B.</t>
  </si>
  <si>
    <t>Generation (Mw-Hr)</t>
  </si>
  <si>
    <t>Consumption (Mw-Hr)</t>
  </si>
  <si>
    <t>ELECTRIC CONSUMPTION AT T.M.D.B. C.F.E.</t>
  </si>
  <si>
    <t>ELECTRIC GENERATION AT T.M.D.B. PEMEX</t>
  </si>
  <si>
    <t>GRAND TOTAL PEMEX + CFE</t>
  </si>
  <si>
    <t>DIESEL (LITRES)</t>
  </si>
  <si>
    <t>FUEL CONSUMPTION</t>
  </si>
  <si>
    <t>Accumulated</t>
  </si>
  <si>
    <t>Average</t>
  </si>
  <si>
    <t>Maximum</t>
  </si>
  <si>
    <t>Minimum</t>
  </si>
  <si>
    <t>Barrels of Diesel Consumed</t>
  </si>
  <si>
    <t>Date</t>
  </si>
  <si>
    <t xml:space="preserve">GRAND TOTAL PEMEX + CFE </t>
  </si>
  <si>
    <t>ELECTRIC COMSUMPTION AT T.M.D.B. C.F.E.</t>
  </si>
  <si>
    <t xml:space="preserve"> (Hrs/day)</t>
  </si>
  <si>
    <t>Breakeven Analysis</t>
  </si>
  <si>
    <t>Project results</t>
  </si>
  <si>
    <t>1/06/2012-31/05/2013</t>
  </si>
  <si>
    <t>1/06/2013-31/05/2014</t>
  </si>
  <si>
    <t>1/06/2014-31/05/2015</t>
  </si>
  <si>
    <t>1/06/2015-31/05/2016</t>
  </si>
  <si>
    <t>1/06/2016-31/05/2017</t>
  </si>
  <si>
    <t>1/06/2017-31/05/2018</t>
  </si>
  <si>
    <t>1/06/2018-31/05/2019</t>
  </si>
  <si>
    <t>1/06/2019-31/05/2020</t>
  </si>
  <si>
    <t>1/06/2020-31/05/2021</t>
  </si>
  <si>
    <t>1/06/2021-31/05/2022</t>
  </si>
  <si>
    <t>1/06/2022-31/05/2023</t>
  </si>
  <si>
    <t>1/06/2023-31/05/2024</t>
  </si>
  <si>
    <t>1/06/2024-31/05/2025</t>
  </si>
  <si>
    <t>1/06/2025-31/05/2026</t>
  </si>
  <si>
    <t>1/06/2026-31/05/2027</t>
  </si>
  <si>
    <t>Simulator</t>
  </si>
  <si>
    <t>BL IRR</t>
  </si>
  <si>
    <t>Baseline results</t>
  </si>
  <si>
    <t>NPV % diff</t>
  </si>
  <si>
    <t>NG Cost (Baseline_Natural Gas  Scenario)</t>
  </si>
  <si>
    <t>This simulator had to be used for parameters influencing both scenarios</t>
  </si>
  <si>
    <t>Increase %</t>
  </si>
  <si>
    <t>Variation (100% + Incr %)</t>
  </si>
  <si>
    <t>Common Costs (Baseline and project)</t>
  </si>
  <si>
    <t>Heating systems (baseline) proposal</t>
  </si>
  <si>
    <t>Equipment integration</t>
  </si>
  <si>
    <t>Electrical Connections</t>
  </si>
  <si>
    <t>Total common costs</t>
  </si>
  <si>
    <t>Total WHRS scenario equipment costs</t>
  </si>
  <si>
    <t xml:space="preserve">kilns system equipment </t>
  </si>
  <si>
    <t>Baseline Investment</t>
  </si>
  <si>
    <t>Baseline O&amp;M</t>
  </si>
  <si>
    <t>Breakeven analysis for the first three parameters (baseline investment, baseline O&amp;M and Natural Gas Costs) was made by using the excel tool "goal seek". As an example, the value of the baseline investment increase in cell "B8" is the value in which IRR value on cell "B63" reaches the project IRR. Simulations can be made by changing the values in cells "B8" to "B10". For the case of the next four parameters (penalty costs, salt content, production and petrol income tax) the simulator from cell "G11" to "G14" had to be used, since those variables have a direct impact in both scenarios and iterations had to be made manually. Values in "Initial Data" sheet are linked to cells "G11" to "G14". The obtained reults were then copied in cells "C11" to "C14". For example: if the value in cell "G14" were changed to 142.85% (100% + 42.85%) the values in cells "H14" to "J14" would be the same as those in cells "C14" to "E14". It is important that at the end of the use of the simulator, values in cells "G11" to "G14" are back in the 100% values, otherwise the calculations model could present erroneous values.</t>
  </si>
  <si>
    <t>Heating system with natural gas kilns (which includes kilns, structural steel, platforms, chimneys, insulation, coil to radiation, pipe supporting, intermediate supports, drum heads, crossovers, doors, fittings, damper for chimneys, expansion joints, forced draft fans, ducts, four pumps with electric motor , expansion tank, storage tank, oil filter, control panel, instrumentation, interconnecting piping, auxiliary structure, brackets and clips for shipment, installation assistance, 186kg of nitrogen for each package)</t>
  </si>
  <si>
    <t>Hot Oil and crude oil system</t>
  </si>
  <si>
    <t>Common costs</t>
  </si>
  <si>
    <t>WHR equipment</t>
  </si>
  <si>
    <t>Pipe supporting</t>
  </si>
  <si>
    <t>Total operation costs</t>
  </si>
  <si>
    <t>Total maintenance costs</t>
  </si>
</sst>
</file>

<file path=xl/styles.xml><?xml version="1.0" encoding="utf-8"?>
<styleSheet xmlns="http://schemas.openxmlformats.org/spreadsheetml/2006/main">
  <numFmts count="30">
    <numFmt numFmtId="8" formatCode="&quot;$&quot;#,##0.00;[Red]\-&quot;$&quot;#,##0.00"/>
    <numFmt numFmtId="43" formatCode="_-* #,##0.00_-;\-* #,##0.00_-;_-* &quot;-&quot;??_-;_-@_-"/>
    <numFmt numFmtId="164" formatCode="_(* #,##0.00_);_(* \(#,##0.00\);_(* &quot;-&quot;??_);_(@_)"/>
    <numFmt numFmtId="165" formatCode="0.000"/>
    <numFmt numFmtId="166" formatCode="0.0%"/>
    <numFmt numFmtId="167" formatCode="#,##0.0"/>
    <numFmt numFmtId="168" formatCode="#,##0_ ;\-#,##0\ "/>
    <numFmt numFmtId="169" formatCode="0.000E+00"/>
    <numFmt numFmtId="170" formatCode="_-* #,##0.00\ [$€]_-;\-* #,##0.00\ [$€]_-;_-* &quot;-&quot;??\ [$€]_-;_-@_-"/>
    <numFmt numFmtId="171" formatCode="_-* #,##0_-;\-* #,##0_-;_-* &quot;-&quot;??_-;_-@_-"/>
    <numFmt numFmtId="172" formatCode="General_)"/>
    <numFmt numFmtId="173" formatCode="_-* #,##0.00\ _€_-;\-* #,##0.00\ _€_-;_-* &quot;-&quot;??\ _€_-;_-@_-"/>
    <numFmt numFmtId="174" formatCode="_(* #,##0_);_(* \(#,##0\);_(* &quot;-&quot;??_);_(@_)"/>
    <numFmt numFmtId="175" formatCode="_-* #,##0\ _€_-;\-* #,##0\ _€_-;_-* &quot;-&quot;??\ _€_-;_-@_-"/>
    <numFmt numFmtId="176" formatCode="_-* #,##0.0\ _€_-;\-* #,##0.0\ _€_-;_-* &quot;-&quot;??\ _€_-;_-@_-"/>
    <numFmt numFmtId="177" formatCode="#,##0.00_ ;\-#,##0.00\ "/>
    <numFmt numFmtId="178" formatCode="#,##0.000"/>
    <numFmt numFmtId="179" formatCode="[$-101080A]dd/mm/yyyy"/>
    <numFmt numFmtId="180" formatCode="[$-101080A]##0.000"/>
    <numFmt numFmtId="181" formatCode="[$-101080A]##0.00"/>
    <numFmt numFmtId="182" formatCode="[$-101080A]000.000"/>
    <numFmt numFmtId="183" formatCode="[$-101080A]###,###"/>
    <numFmt numFmtId="184" formatCode="[$-101080A]###,##0"/>
    <numFmt numFmtId="185" formatCode="[$-101080A]General"/>
    <numFmt numFmtId="186" formatCode="_-* #,##0.0_-;\-* #,##0.0_-;_-* &quot;-&quot;??_-;_-@_-"/>
    <numFmt numFmtId="187" formatCode="[$-101080A]##,###,##0"/>
    <numFmt numFmtId="188" formatCode="[$-101080A]##,###.###"/>
    <numFmt numFmtId="189" formatCode="[$-101080A]###,##0.00"/>
    <numFmt numFmtId="190" formatCode="0.0000"/>
    <numFmt numFmtId="191" formatCode="_-* #,##0.0000_-;\-* #,##0.0000_-;_-* &quot;-&quot;??_-;_-@_-"/>
  </numFmts>
  <fonts count="92">
    <font>
      <sz val="10"/>
      <name val="Arial"/>
    </font>
    <font>
      <sz val="10"/>
      <name val="Arial"/>
      <family val="2"/>
    </font>
    <font>
      <b/>
      <sz val="10"/>
      <name val="Arial"/>
      <family val="2"/>
    </font>
    <font>
      <sz val="8"/>
      <name val="Arial"/>
      <family val="2"/>
    </font>
    <font>
      <sz val="10"/>
      <name val="Arial"/>
      <family val="2"/>
    </font>
    <font>
      <b/>
      <sz val="10"/>
      <color indexed="10"/>
      <name val="Arial"/>
      <family val="2"/>
    </font>
    <font>
      <sz val="10"/>
      <color indexed="9"/>
      <name val="Arial"/>
      <family val="2"/>
    </font>
    <font>
      <sz val="10"/>
      <color indexed="10"/>
      <name val="Arial"/>
      <family val="2"/>
    </font>
    <font>
      <b/>
      <sz val="10"/>
      <color indexed="9"/>
      <name val="Arial"/>
      <family val="2"/>
    </font>
    <font>
      <i/>
      <sz val="10"/>
      <name val="Arial"/>
      <family val="2"/>
    </font>
    <font>
      <b/>
      <sz val="8"/>
      <color indexed="9"/>
      <name val="Arial"/>
      <family val="2"/>
    </font>
    <font>
      <sz val="10"/>
      <color indexed="9"/>
      <name val="Arial"/>
      <family val="2"/>
    </font>
    <font>
      <sz val="9"/>
      <color indexed="9"/>
      <name val="Arial"/>
      <family val="2"/>
    </font>
    <font>
      <sz val="8"/>
      <color indexed="9"/>
      <name val="Arial"/>
      <family val="2"/>
    </font>
    <font>
      <b/>
      <sz val="10"/>
      <color indexed="13"/>
      <name val="Arial"/>
      <family val="2"/>
    </font>
    <font>
      <b/>
      <vertAlign val="subscript"/>
      <sz val="10"/>
      <color indexed="9"/>
      <name val="Arial"/>
      <family val="2"/>
    </font>
    <font>
      <b/>
      <sz val="10"/>
      <color indexed="9"/>
      <name val="Symbol"/>
      <family val="1"/>
      <charset val="2"/>
    </font>
    <font>
      <b/>
      <sz val="7"/>
      <color indexed="9"/>
      <name val="Arial"/>
      <family val="2"/>
    </font>
    <font>
      <sz val="8"/>
      <color indexed="81"/>
      <name val="Tahoma"/>
      <family val="2"/>
    </font>
    <font>
      <i/>
      <sz val="8"/>
      <color indexed="81"/>
      <name val="Tahoma"/>
      <family val="2"/>
    </font>
    <font>
      <b/>
      <sz val="6"/>
      <color indexed="9"/>
      <name val="Arial"/>
      <family val="2"/>
    </font>
    <font>
      <b/>
      <sz val="8"/>
      <color indexed="81"/>
      <name val="Tahoma"/>
      <family val="2"/>
    </font>
    <font>
      <b/>
      <sz val="7.5"/>
      <color indexed="9"/>
      <name val="Arial"/>
      <family val="2"/>
    </font>
    <font>
      <sz val="10"/>
      <color indexed="13"/>
      <name val="Arial"/>
      <family val="2"/>
    </font>
    <font>
      <b/>
      <sz val="7"/>
      <color indexed="13"/>
      <name val="Arial"/>
      <family val="2"/>
    </font>
    <font>
      <b/>
      <i/>
      <sz val="8"/>
      <color indexed="81"/>
      <name val="Tahoma"/>
      <family val="2"/>
    </font>
    <font>
      <b/>
      <i/>
      <sz val="10"/>
      <name val="Arial"/>
      <family val="2"/>
    </font>
    <font>
      <sz val="9"/>
      <name val="Arial"/>
      <family val="2"/>
    </font>
    <font>
      <b/>
      <sz val="8"/>
      <color indexed="13"/>
      <name val="Arial"/>
      <family val="2"/>
    </font>
    <font>
      <b/>
      <sz val="10"/>
      <name val="Arial"/>
      <family val="2"/>
    </font>
    <font>
      <b/>
      <sz val="11"/>
      <color indexed="9"/>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b/>
      <i/>
      <sz val="10"/>
      <color indexed="8"/>
      <name val="Arial"/>
      <family val="2"/>
    </font>
    <font>
      <b/>
      <i/>
      <sz val="10"/>
      <color indexed="11"/>
      <name val="Arial"/>
      <family val="2"/>
    </font>
    <font>
      <sz val="10"/>
      <color indexed="23"/>
      <name val="Arial"/>
      <family val="2"/>
    </font>
    <font>
      <b/>
      <sz val="10"/>
      <color indexed="8"/>
      <name val="Arial"/>
      <family val="2"/>
    </font>
    <font>
      <sz val="10"/>
      <color indexed="8"/>
      <name val="Arial"/>
      <family val="2"/>
    </font>
    <font>
      <sz val="10"/>
      <name val="Arial"/>
      <family val="2"/>
    </font>
    <font>
      <sz val="10"/>
      <color indexed="22"/>
      <name val="Arial"/>
      <family val="2"/>
    </font>
    <font>
      <b/>
      <sz val="10"/>
      <color indexed="22"/>
      <name val="Arial"/>
      <family val="2"/>
    </font>
    <font>
      <sz val="10"/>
      <name val="Courier"/>
      <family val="3"/>
    </font>
    <font>
      <sz val="10"/>
      <color indexed="8"/>
      <name val="Arial"/>
      <family val="2"/>
    </font>
    <font>
      <sz val="12"/>
      <name val="Arial"/>
      <family val="2"/>
    </font>
    <font>
      <b/>
      <sz val="12"/>
      <name val="Arial"/>
      <family val="2"/>
    </font>
    <font>
      <b/>
      <sz val="12"/>
      <color indexed="13"/>
      <name val="Arial"/>
      <family val="2"/>
    </font>
    <font>
      <sz val="11"/>
      <color indexed="81"/>
      <name val="Tahoma"/>
      <family val="2"/>
    </font>
    <font>
      <b/>
      <u/>
      <sz val="10"/>
      <color indexed="9"/>
      <name val="Arial"/>
      <family val="2"/>
    </font>
    <font>
      <sz val="10"/>
      <color indexed="63"/>
      <name val="Arial"/>
      <family val="2"/>
    </font>
    <font>
      <b/>
      <vertAlign val="subscript"/>
      <sz val="11"/>
      <color indexed="9"/>
      <name val="Arial"/>
      <family val="2"/>
    </font>
    <font>
      <b/>
      <sz val="12"/>
      <color indexed="8"/>
      <name val="Arial"/>
      <family val="2"/>
    </font>
    <font>
      <b/>
      <sz val="8"/>
      <color indexed="8"/>
      <name val="Arial"/>
      <family val="2"/>
    </font>
    <font>
      <b/>
      <sz val="6.95"/>
      <color indexed="9"/>
      <name val="Arial"/>
      <family val="2"/>
    </font>
    <font>
      <sz val="6.95"/>
      <color indexed="8"/>
      <name val="Arial"/>
      <family val="2"/>
    </font>
    <font>
      <sz val="7.5"/>
      <color indexed="8"/>
      <name val="Arial"/>
      <family val="2"/>
    </font>
    <font>
      <sz val="7.5"/>
      <color indexed="9"/>
      <name val="Arial"/>
      <family val="2"/>
    </font>
    <font>
      <sz val="8"/>
      <color indexed="8"/>
      <name val="Arial"/>
      <family val="2"/>
    </font>
    <font>
      <b/>
      <sz val="10"/>
      <color indexed="9"/>
      <name val="Arial"/>
      <family val="2"/>
    </font>
    <font>
      <sz val="10"/>
      <color indexed="8"/>
      <name val="Arial"/>
      <family val="2"/>
    </font>
    <font>
      <b/>
      <sz val="7"/>
      <color indexed="9"/>
      <name val="Arial"/>
      <family val="2"/>
    </font>
    <font>
      <sz val="7"/>
      <color indexed="8"/>
      <name val="Arial"/>
      <family val="2"/>
    </font>
    <font>
      <b/>
      <sz val="7.5"/>
      <color indexed="9"/>
      <name val="Arial"/>
      <family val="2"/>
    </font>
    <font>
      <sz val="7.5"/>
      <color indexed="8"/>
      <name val="Arial"/>
      <family val="2"/>
    </font>
    <font>
      <b/>
      <sz val="6"/>
      <color indexed="9"/>
      <name val="Arial"/>
      <family val="2"/>
    </font>
    <font>
      <sz val="7.5"/>
      <color indexed="9"/>
      <name val="Arial"/>
      <family val="2"/>
    </font>
    <font>
      <sz val="7.5"/>
      <name val="Arial"/>
      <family val="2"/>
    </font>
    <font>
      <sz val="8"/>
      <name val="Arial"/>
      <family val="2"/>
    </font>
    <font>
      <sz val="11"/>
      <color theme="1"/>
      <name val="Calibri"/>
      <family val="2"/>
      <scheme val="minor"/>
    </font>
    <font>
      <b/>
      <sz val="9"/>
      <color rgb="FF666666"/>
      <name val="Arial"/>
      <family val="2"/>
    </font>
    <font>
      <b/>
      <sz val="9"/>
      <color indexed="9"/>
      <name val="Arial"/>
      <family val="2"/>
    </font>
    <font>
      <b/>
      <sz val="11"/>
      <name val="Calibri"/>
      <family val="2"/>
      <scheme val="minor"/>
    </font>
    <font>
      <sz val="11"/>
      <name val="Calibri"/>
      <family val="2"/>
      <scheme val="minor"/>
    </font>
    <font>
      <b/>
      <sz val="11"/>
      <color theme="0"/>
      <name val="Calibri"/>
      <family val="2"/>
      <scheme val="minor"/>
    </font>
    <font>
      <b/>
      <sz val="11"/>
      <color indexed="9"/>
      <name val="Calibri"/>
      <family val="2"/>
      <scheme val="minor"/>
    </font>
    <font>
      <sz val="11"/>
      <color indexed="23"/>
      <name val="Calibri"/>
      <family val="2"/>
      <scheme val="minor"/>
    </font>
    <font>
      <b/>
      <sz val="11"/>
      <color rgb="FFFF0000"/>
      <name val="Calibri"/>
      <family val="2"/>
      <scheme val="minor"/>
    </font>
    <font>
      <sz val="10"/>
      <color theme="0"/>
      <name val="Arial"/>
      <family val="2"/>
    </font>
  </fonts>
  <fills count="4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indexed="10"/>
        <bgColor indexed="64"/>
      </patternFill>
    </fill>
    <fill>
      <patternFill patternType="solid">
        <fgColor indexed="9"/>
        <bgColor indexed="64"/>
      </patternFill>
    </fill>
    <fill>
      <patternFill patternType="solid">
        <fgColor indexed="22"/>
        <bgColor indexed="64"/>
      </patternFill>
    </fill>
    <fill>
      <patternFill patternType="solid">
        <fgColor indexed="43"/>
        <bgColor indexed="64"/>
      </patternFill>
    </fill>
    <fill>
      <patternFill patternType="solid">
        <fgColor indexed="23"/>
        <bgColor indexed="64"/>
      </patternFill>
    </fill>
    <fill>
      <patternFill patternType="solid">
        <fgColor indexed="55"/>
        <bgColor indexed="64"/>
      </patternFill>
    </fill>
    <fill>
      <patternFill patternType="lightGray">
        <fgColor indexed="9"/>
        <bgColor indexed="44"/>
      </patternFill>
    </fill>
    <fill>
      <patternFill patternType="solid">
        <fgColor indexed="13"/>
        <bgColor indexed="64"/>
      </patternFill>
    </fill>
    <fill>
      <patternFill patternType="solid">
        <fgColor indexed="47"/>
        <bgColor indexed="64"/>
      </patternFill>
    </fill>
    <fill>
      <patternFill patternType="solid">
        <fgColor indexed="49"/>
        <bgColor indexed="64"/>
      </patternFill>
    </fill>
    <fill>
      <patternFill patternType="solid">
        <fgColor indexed="54"/>
      </patternFill>
    </fill>
    <fill>
      <patternFill patternType="solid">
        <fgColor indexed="9"/>
      </patternFill>
    </fill>
    <fill>
      <patternFill patternType="solid">
        <fgColor theme="0"/>
        <bgColor indexed="64"/>
      </patternFill>
    </fill>
    <fill>
      <patternFill patternType="lightGray">
        <fgColor indexed="9"/>
        <bgColor theme="0"/>
      </patternFill>
    </fill>
    <fill>
      <patternFill patternType="solid">
        <fgColor theme="0" tint="-0.499984740745262"/>
        <bgColor indexed="64"/>
      </patternFill>
    </fill>
    <fill>
      <patternFill patternType="solid">
        <fgColor rgb="FFF3F3F3"/>
        <bgColor indexed="64"/>
      </patternFill>
    </fill>
    <fill>
      <patternFill patternType="solid">
        <fgColor theme="0" tint="-0.249977111117893"/>
        <bgColor indexed="64"/>
      </patternFill>
    </fill>
    <fill>
      <patternFill patternType="solid">
        <fgColor rgb="FFFF0000"/>
        <bgColor indexed="64"/>
      </patternFill>
    </fill>
    <fill>
      <patternFill patternType="solid">
        <fgColor theme="3" tint="0.39997558519241921"/>
        <bgColor indexed="64"/>
      </patternFill>
    </fill>
    <fill>
      <patternFill patternType="solid">
        <fgColor theme="0" tint="-0.34998626667073579"/>
        <bgColor indexed="64"/>
      </patternFill>
    </fill>
  </fills>
  <borders count="3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9"/>
      </left>
      <right style="thin">
        <color indexed="9"/>
      </right>
      <top style="thin">
        <color indexed="9"/>
      </top>
      <bottom style="thin">
        <color indexed="9"/>
      </bottom>
      <diagonal/>
    </border>
    <border>
      <left style="thin">
        <color indexed="9"/>
      </left>
      <right/>
      <top style="thin">
        <color indexed="9"/>
      </top>
      <bottom style="thin">
        <color indexed="9"/>
      </bottom>
      <diagonal/>
    </border>
    <border>
      <left style="thin">
        <color indexed="9"/>
      </left>
      <right/>
      <top/>
      <bottom style="thin">
        <color indexed="9"/>
      </bottom>
      <diagonal/>
    </border>
    <border>
      <left/>
      <right/>
      <top/>
      <bottom style="thin">
        <color indexed="9"/>
      </bottom>
      <diagonal/>
    </border>
    <border>
      <left style="thin">
        <color indexed="9"/>
      </left>
      <right style="thin">
        <color indexed="9"/>
      </right>
      <top style="thin">
        <color indexed="9"/>
      </top>
      <bottom/>
      <diagonal/>
    </border>
    <border>
      <left style="thin">
        <color indexed="9"/>
      </left>
      <right style="thin">
        <color indexed="9"/>
      </right>
      <top style="double">
        <color indexed="9"/>
      </top>
      <bottom style="thin">
        <color indexed="9"/>
      </bottom>
      <diagonal/>
    </border>
    <border>
      <left style="thin">
        <color indexed="9"/>
      </left>
      <right/>
      <top style="double">
        <color indexed="9"/>
      </top>
      <bottom style="thin">
        <color indexed="9"/>
      </bottom>
      <diagonal/>
    </border>
    <border>
      <left style="thin">
        <color indexed="9"/>
      </left>
      <right style="thin">
        <color indexed="9"/>
      </right>
      <top/>
      <bottom/>
      <diagonal/>
    </border>
    <border>
      <left style="thin">
        <color indexed="64"/>
      </left>
      <right style="thin">
        <color indexed="64"/>
      </right>
      <top style="thin">
        <color indexed="64"/>
      </top>
      <bottom style="thin">
        <color indexed="64"/>
      </bottom>
      <diagonal/>
    </border>
    <border>
      <left/>
      <right style="thin">
        <color indexed="9"/>
      </right>
      <top/>
      <bottom style="thin">
        <color indexed="9"/>
      </bottom>
      <diagonal/>
    </border>
    <border>
      <left style="thin">
        <color indexed="9"/>
      </left>
      <right style="thin">
        <color indexed="9"/>
      </right>
      <top/>
      <bottom style="thin">
        <color indexed="9"/>
      </bottom>
      <diagonal/>
    </border>
    <border>
      <left/>
      <right style="thin">
        <color indexed="9"/>
      </right>
      <top style="thin">
        <color indexed="9"/>
      </top>
      <bottom style="thin">
        <color indexed="9"/>
      </bottom>
      <diagonal/>
    </border>
    <border>
      <left style="thin">
        <color indexed="9"/>
      </left>
      <right style="thin">
        <color indexed="9"/>
      </right>
      <top style="thin">
        <color indexed="64"/>
      </top>
      <bottom style="double">
        <color indexed="64"/>
      </bottom>
      <diagonal/>
    </border>
    <border>
      <left style="thin">
        <color indexed="9"/>
      </left>
      <right/>
      <top style="thin">
        <color indexed="9"/>
      </top>
      <bottom/>
      <diagonal/>
    </border>
    <border>
      <left style="thin">
        <color indexed="9"/>
      </left>
      <right style="thin">
        <color indexed="9"/>
      </right>
      <top style="thin">
        <color indexed="9"/>
      </top>
      <bottom style="double">
        <color indexed="64"/>
      </bottom>
      <diagonal/>
    </border>
    <border>
      <left/>
      <right style="thin">
        <color indexed="9"/>
      </right>
      <top style="thin">
        <color indexed="9"/>
      </top>
      <bottom/>
      <diagonal/>
    </border>
    <border>
      <left/>
      <right/>
      <top style="thin">
        <color indexed="9"/>
      </top>
      <bottom style="thin">
        <color indexed="9"/>
      </bottom>
      <diagonal/>
    </border>
    <border>
      <left style="thin">
        <color indexed="9"/>
      </left>
      <right/>
      <top/>
      <bottom/>
      <diagonal/>
    </border>
    <border>
      <left/>
      <right style="thin">
        <color indexed="9"/>
      </right>
      <top/>
      <bottom/>
      <diagonal/>
    </border>
    <border>
      <left/>
      <right/>
      <top style="thin">
        <color indexed="9"/>
      </top>
      <bottom/>
      <diagonal/>
    </border>
    <border>
      <left/>
      <right/>
      <top style="medium">
        <color indexed="8"/>
      </top>
      <bottom/>
      <diagonal/>
    </border>
    <border>
      <left style="thin">
        <color theme="0"/>
      </left>
      <right style="thin">
        <color theme="0"/>
      </right>
      <top style="thin">
        <color theme="0"/>
      </top>
      <bottom style="thin">
        <color theme="0"/>
      </bottom>
      <diagonal/>
    </border>
    <border>
      <left style="medium">
        <color rgb="FFCCCCCC"/>
      </left>
      <right/>
      <top style="medium">
        <color rgb="FFCCCCCC"/>
      </top>
      <bottom/>
      <diagonal/>
    </border>
    <border>
      <left style="medium">
        <color rgb="FFCCCCCC"/>
      </left>
      <right style="medium">
        <color rgb="FFCCCCCC"/>
      </right>
      <top style="medium">
        <color rgb="FFCCCCCC"/>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s>
  <cellStyleXfs count="59">
    <xf numFmtId="0" fontId="0" fillId="0" borderId="0"/>
    <xf numFmtId="172" fontId="56" fillId="0" borderId="0"/>
    <xf numFmtId="0" fontId="31" fillId="2" borderId="0" applyNumberFormat="0" applyBorder="0" applyAlignment="0" applyProtection="0"/>
    <xf numFmtId="0" fontId="31" fillId="3" borderId="0" applyNumberFormat="0" applyBorder="0" applyAlignment="0" applyProtection="0"/>
    <xf numFmtId="0" fontId="31" fillId="4" borderId="0" applyNumberFormat="0" applyBorder="0" applyAlignment="0" applyProtection="0"/>
    <xf numFmtId="0" fontId="31" fillId="5" borderId="0" applyNumberFormat="0" applyBorder="0" applyAlignment="0" applyProtection="0"/>
    <xf numFmtId="0" fontId="31" fillId="6" borderId="0" applyNumberFormat="0" applyBorder="0" applyAlignment="0" applyProtection="0"/>
    <xf numFmtId="0" fontId="31" fillId="7"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10" borderId="0" applyNumberFormat="0" applyBorder="0" applyAlignment="0" applyProtection="0"/>
    <xf numFmtId="0" fontId="31" fillId="5" borderId="0" applyNumberFormat="0" applyBorder="0" applyAlignment="0" applyProtection="0"/>
    <xf numFmtId="0" fontId="31" fillId="8" borderId="0" applyNumberFormat="0" applyBorder="0" applyAlignment="0" applyProtection="0"/>
    <xf numFmtId="0" fontId="31" fillId="11" borderId="0" applyNumberFormat="0" applyBorder="0" applyAlignment="0" applyProtection="0"/>
    <xf numFmtId="0" fontId="32" fillId="12" borderId="0" applyNumberFormat="0" applyBorder="0" applyAlignment="0" applyProtection="0"/>
    <xf numFmtId="0" fontId="32" fillId="9" borderId="0" applyNumberFormat="0" applyBorder="0" applyAlignment="0" applyProtection="0"/>
    <xf numFmtId="0" fontId="32" fillId="10" borderId="0" applyNumberFormat="0" applyBorder="0" applyAlignment="0" applyProtection="0"/>
    <xf numFmtId="0" fontId="32" fillId="13" borderId="0" applyNumberFormat="0" applyBorder="0" applyAlignment="0" applyProtection="0"/>
    <xf numFmtId="0" fontId="32" fillId="14" borderId="0" applyNumberFormat="0" applyBorder="0" applyAlignment="0" applyProtection="0"/>
    <xf numFmtId="0" fontId="32" fillId="15" borderId="0" applyNumberFormat="0" applyBorder="0" applyAlignment="0" applyProtection="0"/>
    <xf numFmtId="0" fontId="33" fillId="4" borderId="0" applyNumberFormat="0" applyBorder="0" applyAlignment="0" applyProtection="0"/>
    <xf numFmtId="0" fontId="34" fillId="16" borderId="1" applyNumberFormat="0" applyAlignment="0" applyProtection="0"/>
    <xf numFmtId="0" fontId="35" fillId="17" borderId="2" applyNumberFormat="0" applyAlignment="0" applyProtection="0"/>
    <xf numFmtId="0" fontId="36" fillId="0" borderId="3" applyNumberFormat="0" applyFill="0" applyAlignment="0" applyProtection="0"/>
    <xf numFmtId="0" fontId="37" fillId="0" borderId="0" applyNumberFormat="0" applyFill="0" applyBorder="0" applyAlignment="0" applyProtection="0"/>
    <xf numFmtId="0" fontId="32" fillId="18" borderId="0" applyNumberFormat="0" applyBorder="0" applyAlignment="0" applyProtection="0"/>
    <xf numFmtId="0" fontId="32" fillId="19" borderId="0" applyNumberFormat="0" applyBorder="0" applyAlignment="0" applyProtection="0"/>
    <xf numFmtId="0" fontId="32" fillId="20" borderId="0" applyNumberFormat="0" applyBorder="0" applyAlignment="0" applyProtection="0"/>
    <xf numFmtId="0" fontId="32" fillId="13" borderId="0" applyNumberFormat="0" applyBorder="0" applyAlignment="0" applyProtection="0"/>
    <xf numFmtId="0" fontId="32" fillId="14" borderId="0" applyNumberFormat="0" applyBorder="0" applyAlignment="0" applyProtection="0"/>
    <xf numFmtId="0" fontId="32" fillId="21" borderId="0" applyNumberFormat="0" applyBorder="0" applyAlignment="0" applyProtection="0"/>
    <xf numFmtId="0" fontId="38" fillId="7" borderId="1" applyNumberFormat="0" applyAlignment="0" applyProtection="0"/>
    <xf numFmtId="0" fontId="1" fillId="0" borderId="0" applyNumberFormat="0" applyFill="0" applyBorder="0" applyAlignment="0" applyProtection="0"/>
    <xf numFmtId="170" fontId="1" fillId="0" borderId="0" applyFont="0" applyFill="0" applyBorder="0" applyAlignment="0" applyProtection="0"/>
    <xf numFmtId="0" fontId="39" fillId="3" borderId="0" applyNumberFormat="0" applyBorder="0" applyAlignment="0" applyProtection="0"/>
    <xf numFmtId="164" fontId="1" fillId="0" borderId="0" applyFont="0" applyFill="0" applyBorder="0" applyAlignment="0" applyProtection="0"/>
    <xf numFmtId="186" fontId="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3" fontId="1" fillId="0" borderId="0" applyFont="0" applyFill="0" applyBorder="0" applyAlignment="0" applyProtection="0"/>
    <xf numFmtId="43" fontId="1" fillId="0" borderId="0" applyFont="0" applyFill="0" applyBorder="0" applyAlignment="0" applyProtection="0"/>
    <xf numFmtId="171" fontId="4" fillId="0" borderId="0" applyFont="0" applyFill="0" applyBorder="0" applyAlignment="0" applyProtection="0"/>
    <xf numFmtId="0" fontId="40" fillId="22" borderId="0" applyNumberFormat="0" applyBorder="0" applyAlignment="0" applyProtection="0"/>
    <xf numFmtId="0" fontId="4" fillId="0" borderId="0">
      <alignment wrapText="1"/>
    </xf>
    <xf numFmtId="0" fontId="82" fillId="0" borderId="0"/>
    <xf numFmtId="0" fontId="82" fillId="0" borderId="0"/>
    <xf numFmtId="0" fontId="1" fillId="0" borderId="0">
      <alignment wrapText="1"/>
    </xf>
    <xf numFmtId="172" fontId="56" fillId="0" borderId="0"/>
    <xf numFmtId="1" fontId="3" fillId="0" borderId="0">
      <alignment horizontal="left" vertical="center"/>
    </xf>
    <xf numFmtId="0" fontId="1" fillId="23" borderId="4" applyNumberFormat="0" applyFont="0" applyAlignment="0" applyProtection="0"/>
    <xf numFmtId="9" fontId="1" fillId="0" borderId="0" applyFont="0" applyFill="0" applyBorder="0" applyAlignment="0" applyProtection="0"/>
    <xf numFmtId="0" fontId="41" fillId="16" borderId="5" applyNumberFormat="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4" fillId="0" borderId="0" applyNumberFormat="0" applyFill="0" applyBorder="0" applyAlignment="0" applyProtection="0"/>
    <xf numFmtId="0" fontId="45" fillId="0" borderId="6" applyNumberFormat="0" applyFill="0" applyAlignment="0" applyProtection="0"/>
    <xf numFmtId="0" fontId="46" fillId="0" borderId="7" applyNumberFormat="0" applyFill="0" applyAlignment="0" applyProtection="0"/>
    <xf numFmtId="0" fontId="37" fillId="0" borderId="8" applyNumberFormat="0" applyFill="0" applyAlignment="0" applyProtection="0"/>
    <xf numFmtId="0" fontId="47" fillId="0" borderId="9" applyNumberFormat="0" applyFill="0" applyAlignment="0" applyProtection="0"/>
  </cellStyleXfs>
  <cellXfs count="592">
    <xf numFmtId="0" fontId="0" fillId="0" borderId="0" xfId="0"/>
    <xf numFmtId="0" fontId="6" fillId="0" borderId="10" xfId="0" applyFont="1" applyFill="1" applyBorder="1"/>
    <xf numFmtId="0" fontId="8" fillId="24" borderId="10" xfId="0" applyFont="1" applyFill="1" applyBorder="1"/>
    <xf numFmtId="0" fontId="0" fillId="25" borderId="0" xfId="0" applyFill="1"/>
    <xf numFmtId="0" fontId="6" fillId="25" borderId="0" xfId="0" applyFont="1" applyFill="1" applyBorder="1"/>
    <xf numFmtId="164" fontId="4" fillId="25" borderId="0" xfId="35" applyFont="1" applyFill="1" applyBorder="1"/>
    <xf numFmtId="0" fontId="0" fillId="25" borderId="0" xfId="0" applyFill="1" applyBorder="1"/>
    <xf numFmtId="0" fontId="0" fillId="25" borderId="0" xfId="0" applyFill="1" applyBorder="1" applyAlignment="1">
      <alignment horizontal="left"/>
    </xf>
    <xf numFmtId="164" fontId="2" fillId="25" borderId="0" xfId="35" applyFont="1" applyFill="1" applyBorder="1"/>
    <xf numFmtId="164" fontId="5" fillId="25" borderId="0" xfId="35" applyFont="1" applyFill="1" applyBorder="1"/>
    <xf numFmtId="0" fontId="0" fillId="25" borderId="11" xfId="0" applyFill="1" applyBorder="1" applyAlignment="1">
      <alignment horizontal="center"/>
    </xf>
    <xf numFmtId="0" fontId="4" fillId="26" borderId="11" xfId="0" applyFont="1" applyFill="1" applyBorder="1" applyAlignment="1">
      <alignment horizontal="center"/>
    </xf>
    <xf numFmtId="0" fontId="8" fillId="25" borderId="11" xfId="0" applyFont="1" applyFill="1" applyBorder="1"/>
    <xf numFmtId="2" fontId="4" fillId="25" borderId="0" xfId="0" applyNumberFormat="1" applyFont="1" applyFill="1" applyBorder="1" applyAlignment="1">
      <alignment horizontal="center"/>
    </xf>
    <xf numFmtId="2" fontId="4" fillId="25" borderId="12" xfId="0" applyNumberFormat="1" applyFont="1" applyFill="1" applyBorder="1" applyAlignment="1">
      <alignment horizontal="center"/>
    </xf>
    <xf numFmtId="2" fontId="4" fillId="25" borderId="13" xfId="0" applyNumberFormat="1" applyFont="1" applyFill="1" applyBorder="1" applyAlignment="1">
      <alignment horizontal="center"/>
    </xf>
    <xf numFmtId="2" fontId="4" fillId="25" borderId="11" xfId="0" applyNumberFormat="1" applyFont="1" applyFill="1" applyBorder="1" applyAlignment="1">
      <alignment horizontal="center"/>
    </xf>
    <xf numFmtId="0" fontId="4" fillId="25" borderId="11" xfId="0" applyFont="1" applyFill="1" applyBorder="1" applyAlignment="1">
      <alignment horizontal="center"/>
    </xf>
    <xf numFmtId="0" fontId="2" fillId="27" borderId="11" xfId="0" applyFont="1" applyFill="1" applyBorder="1" applyAlignment="1">
      <alignment horizontal="center" vertical="center" wrapText="1"/>
    </xf>
    <xf numFmtId="0" fontId="10" fillId="24" borderId="10" xfId="0" applyFont="1" applyFill="1" applyBorder="1" applyAlignment="1">
      <alignment horizontal="left" vertical="center" wrapText="1"/>
    </xf>
    <xf numFmtId="0" fontId="8" fillId="28" borderId="11" xfId="0" applyFont="1" applyFill="1" applyBorder="1" applyAlignment="1">
      <alignment horizontal="center"/>
    </xf>
    <xf numFmtId="0" fontId="2" fillId="25" borderId="0" xfId="0" applyFont="1" applyFill="1" applyBorder="1" applyAlignment="1">
      <alignment horizontal="center"/>
    </xf>
    <xf numFmtId="0" fontId="6" fillId="0" borderId="14" xfId="0" applyFont="1" applyFill="1" applyBorder="1"/>
    <xf numFmtId="164" fontId="27" fillId="25" borderId="0" xfId="35" applyFont="1" applyFill="1" applyBorder="1" applyAlignment="1">
      <alignment horizontal="center"/>
    </xf>
    <xf numFmtId="0" fontId="27" fillId="25" borderId="0" xfId="0" applyFont="1" applyFill="1" applyBorder="1" applyAlignment="1">
      <alignment horizontal="center"/>
    </xf>
    <xf numFmtId="0" fontId="8" fillId="24" borderId="15" xfId="0" applyFont="1" applyFill="1" applyBorder="1" applyAlignment="1">
      <alignment horizontal="left"/>
    </xf>
    <xf numFmtId="4" fontId="4" fillId="26" borderId="16" xfId="35" applyNumberFormat="1" applyFont="1" applyFill="1" applyBorder="1" applyAlignment="1">
      <alignment horizontal="center"/>
    </xf>
    <xf numFmtId="0" fontId="49" fillId="24" borderId="10" xfId="0" applyFont="1" applyFill="1" applyBorder="1" applyAlignment="1">
      <alignment horizontal="center" vertical="center" wrapText="1"/>
    </xf>
    <xf numFmtId="0" fontId="0" fillId="0" borderId="10" xfId="0" applyBorder="1" applyAlignment="1">
      <alignment vertical="center" wrapText="1"/>
    </xf>
    <xf numFmtId="171" fontId="4" fillId="0" borderId="10" xfId="38" applyNumberFormat="1" applyFont="1" applyBorder="1"/>
    <xf numFmtId="171" fontId="1" fillId="0" borderId="10" xfId="38" applyNumberFormat="1" applyBorder="1"/>
    <xf numFmtId="0" fontId="8" fillId="24" borderId="10" xfId="0" applyFont="1" applyFill="1" applyBorder="1" applyAlignment="1"/>
    <xf numFmtId="3" fontId="0" fillId="26" borderId="10" xfId="0" applyNumberFormat="1" applyFill="1" applyBorder="1" applyAlignment="1">
      <alignment horizontal="center" vertical="center" wrapText="1"/>
    </xf>
    <xf numFmtId="3" fontId="0" fillId="0" borderId="10" xfId="0" applyNumberFormat="1" applyBorder="1" applyAlignment="1">
      <alignment vertical="center" wrapText="1"/>
    </xf>
    <xf numFmtId="0" fontId="8" fillId="25" borderId="10" xfId="0" applyFont="1" applyFill="1" applyBorder="1" applyAlignment="1"/>
    <xf numFmtId="3" fontId="4" fillId="25" borderId="10" xfId="38" applyNumberFormat="1" applyFont="1" applyFill="1" applyBorder="1"/>
    <xf numFmtId="0" fontId="8" fillId="25" borderId="14" xfId="0" applyFont="1" applyFill="1" applyBorder="1" applyAlignment="1"/>
    <xf numFmtId="171" fontId="4" fillId="25" borderId="14" xfId="38" applyNumberFormat="1" applyFont="1" applyFill="1" applyBorder="1"/>
    <xf numFmtId="171" fontId="4" fillId="25" borderId="10" xfId="38" applyNumberFormat="1" applyFont="1" applyFill="1" applyBorder="1"/>
    <xf numFmtId="0" fontId="50" fillId="0" borderId="10" xfId="0" applyFont="1" applyBorder="1"/>
    <xf numFmtId="0" fontId="0" fillId="0" borderId="10" xfId="0" applyBorder="1"/>
    <xf numFmtId="167" fontId="8" fillId="25" borderId="10" xfId="0" applyNumberFormat="1" applyFont="1" applyFill="1" applyBorder="1" applyAlignment="1">
      <alignment horizontal="center" vertical="center" wrapText="1"/>
    </xf>
    <xf numFmtId="167" fontId="0" fillId="25" borderId="10" xfId="0" applyNumberFormat="1" applyFill="1" applyBorder="1" applyAlignment="1">
      <alignment horizontal="center" vertical="center" wrapText="1"/>
    </xf>
    <xf numFmtId="0" fontId="8" fillId="25" borderId="17" xfId="0" applyFont="1" applyFill="1" applyBorder="1" applyAlignment="1">
      <alignment horizontal="center" vertical="center" wrapText="1"/>
    </xf>
    <xf numFmtId="4" fontId="8" fillId="25" borderId="17" xfId="0" applyNumberFormat="1" applyFont="1" applyFill="1" applyBorder="1" applyAlignment="1">
      <alignment horizontal="center" vertical="center" wrapText="1"/>
    </xf>
    <xf numFmtId="0" fontId="0" fillId="25" borderId="10" xfId="0" applyFill="1" applyBorder="1" applyAlignment="1">
      <alignment vertical="center" wrapText="1"/>
    </xf>
    <xf numFmtId="0" fontId="6" fillId="25" borderId="10" xfId="0" applyFont="1" applyFill="1" applyBorder="1" applyAlignment="1">
      <alignment vertical="center" wrapText="1"/>
    </xf>
    <xf numFmtId="0" fontId="1" fillId="0" borderId="10" xfId="0" applyFont="1" applyBorder="1" applyAlignment="1">
      <alignment vertical="center" wrapText="1"/>
    </xf>
    <xf numFmtId="171" fontId="1" fillId="0" borderId="10" xfId="37" applyNumberFormat="1" applyBorder="1" applyAlignment="1">
      <alignment vertical="center" wrapText="1"/>
    </xf>
    <xf numFmtId="3" fontId="0" fillId="25" borderId="10" xfId="0" applyNumberFormat="1" applyFill="1" applyBorder="1" applyAlignment="1">
      <alignment horizontal="center" vertical="center" wrapText="1"/>
    </xf>
    <xf numFmtId="43" fontId="1" fillId="0" borderId="10" xfId="37" applyBorder="1" applyAlignment="1">
      <alignment vertical="center" wrapText="1"/>
    </xf>
    <xf numFmtId="0" fontId="6" fillId="25" borderId="11" xfId="0" applyFont="1" applyFill="1" applyBorder="1" applyAlignment="1">
      <alignment vertical="center" wrapText="1"/>
    </xf>
    <xf numFmtId="0" fontId="0" fillId="0" borderId="11" xfId="0" applyBorder="1" applyAlignment="1">
      <alignment vertical="center" wrapText="1"/>
    </xf>
    <xf numFmtId="3" fontId="0" fillId="25" borderId="11" xfId="0" applyNumberFormat="1" applyFill="1" applyBorder="1" applyAlignment="1">
      <alignment horizontal="center" vertical="center" wrapText="1"/>
    </xf>
    <xf numFmtId="43" fontId="1" fillId="0" borderId="11" xfId="37" applyBorder="1" applyAlignment="1">
      <alignment vertical="center" wrapText="1"/>
    </xf>
    <xf numFmtId="0" fontId="6" fillId="25" borderId="14" xfId="0" applyFont="1" applyFill="1" applyBorder="1" applyAlignment="1">
      <alignment vertical="center" wrapText="1"/>
    </xf>
    <xf numFmtId="167" fontId="0" fillId="25" borderId="14" xfId="0" applyNumberFormat="1" applyFill="1" applyBorder="1" applyAlignment="1">
      <alignment horizontal="center" vertical="center" wrapText="1"/>
    </xf>
    <xf numFmtId="0" fontId="51" fillId="25" borderId="18" xfId="0" applyFont="1" applyFill="1" applyBorder="1" applyAlignment="1">
      <alignment horizontal="center"/>
    </xf>
    <xf numFmtId="3" fontId="52" fillId="25" borderId="18" xfId="0" applyNumberFormat="1" applyFont="1" applyFill="1" applyBorder="1" applyAlignment="1">
      <alignment horizontal="center" vertical="center" wrapText="1"/>
    </xf>
    <xf numFmtId="0" fontId="0" fillId="25" borderId="0" xfId="0" applyFill="1" applyAlignment="1">
      <alignment vertical="center" wrapText="1"/>
    </xf>
    <xf numFmtId="4" fontId="52" fillId="26" borderId="11" xfId="0" applyNumberFormat="1" applyFont="1" applyFill="1" applyBorder="1" applyAlignment="1">
      <alignment horizontal="center"/>
    </xf>
    <xf numFmtId="4" fontId="52" fillId="27" borderId="11" xfId="0" applyNumberFormat="1" applyFont="1" applyFill="1" applyBorder="1" applyAlignment="1">
      <alignment horizontal="center"/>
    </xf>
    <xf numFmtId="171" fontId="1" fillId="0" borderId="10" xfId="37" applyNumberFormat="1" applyFont="1" applyBorder="1" applyAlignment="1">
      <alignment vertical="center" wrapText="1"/>
    </xf>
    <xf numFmtId="171" fontId="29" fillId="0" borderId="10" xfId="37" applyNumberFormat="1" applyFont="1" applyBorder="1" applyAlignment="1">
      <alignment vertical="center" wrapText="1"/>
    </xf>
    <xf numFmtId="0" fontId="53" fillId="0" borderId="10" xfId="0" applyFont="1" applyBorder="1" applyAlignment="1">
      <alignment vertical="center" wrapText="1"/>
    </xf>
    <xf numFmtId="0" fontId="6" fillId="25" borderId="0" xfId="0" applyFont="1" applyFill="1" applyBorder="1" applyAlignment="1">
      <alignment horizontal="center" vertical="center"/>
    </xf>
    <xf numFmtId="0" fontId="0" fillId="25" borderId="0" xfId="0" applyFill="1" applyBorder="1" applyAlignment="1">
      <alignment horizontal="center" vertical="center"/>
    </xf>
    <xf numFmtId="1" fontId="55" fillId="25" borderId="0" xfId="35" applyNumberFormat="1" applyFont="1" applyFill="1" applyBorder="1" applyAlignment="1">
      <alignment horizontal="center" vertical="center"/>
    </xf>
    <xf numFmtId="1" fontId="55" fillId="25" borderId="0" xfId="0" applyNumberFormat="1" applyFont="1" applyFill="1" applyBorder="1" applyAlignment="1">
      <alignment horizontal="center" vertical="center"/>
    </xf>
    <xf numFmtId="177" fontId="4" fillId="26" borderId="10" xfId="47" applyNumberFormat="1" applyFont="1" applyFill="1" applyBorder="1" applyAlignment="1">
      <alignment horizontal="center"/>
    </xf>
    <xf numFmtId="175" fontId="8" fillId="29" borderId="10" xfId="47" applyNumberFormat="1" applyFont="1" applyFill="1" applyBorder="1"/>
    <xf numFmtId="0" fontId="5" fillId="25" borderId="0" xfId="47" applyNumberFormat="1" applyFont="1" applyFill="1"/>
    <xf numFmtId="0" fontId="1" fillId="25" borderId="19" xfId="47" applyNumberFormat="1" applyFont="1" applyFill="1" applyBorder="1"/>
    <xf numFmtId="0" fontId="1" fillId="25" borderId="20" xfId="47" applyNumberFormat="1" applyFont="1" applyFill="1" applyBorder="1" applyAlignment="1">
      <alignment horizontal="center"/>
    </xf>
    <xf numFmtId="0" fontId="1" fillId="25" borderId="0" xfId="47" applyNumberFormat="1" applyFont="1" applyFill="1"/>
    <xf numFmtId="0" fontId="1" fillId="25" borderId="0" xfId="47" applyNumberFormat="1" applyFont="1" applyFill="1" applyAlignment="1">
      <alignment horizontal="center"/>
    </xf>
    <xf numFmtId="0" fontId="7" fillId="25" borderId="0" xfId="47" applyNumberFormat="1" applyFont="1" applyFill="1" applyAlignment="1">
      <alignment horizontal="center"/>
    </xf>
    <xf numFmtId="0" fontId="6" fillId="24" borderId="21" xfId="47" applyNumberFormat="1" applyFont="1" applyFill="1" applyBorder="1" applyAlignment="1">
      <alignment horizontal="center"/>
    </xf>
    <xf numFmtId="0" fontId="5" fillId="25" borderId="0" xfId="47" applyNumberFormat="1" applyFont="1" applyFill="1" applyAlignment="1">
      <alignment horizontal="center"/>
    </xf>
    <xf numFmtId="0" fontId="1" fillId="25" borderId="21" xfId="47" applyNumberFormat="1" applyFont="1" applyFill="1" applyBorder="1"/>
    <xf numFmtId="177" fontId="1" fillId="27" borderId="10" xfId="47" applyNumberFormat="1" applyFont="1" applyFill="1" applyBorder="1" applyAlignment="1">
      <alignment horizontal="center"/>
    </xf>
    <xf numFmtId="9" fontId="1" fillId="25" borderId="10" xfId="50" applyFont="1" applyFill="1" applyBorder="1" applyAlignment="1">
      <alignment horizontal="center"/>
    </xf>
    <xf numFmtId="0" fontId="5" fillId="25" borderId="10" xfId="47" applyNumberFormat="1" applyFont="1" applyFill="1" applyBorder="1"/>
    <xf numFmtId="175" fontId="1" fillId="25" borderId="10" xfId="47" applyNumberFormat="1" applyFont="1" applyFill="1" applyBorder="1"/>
    <xf numFmtId="0" fontId="1" fillId="25" borderId="10" xfId="47" applyNumberFormat="1" applyFont="1" applyFill="1" applyBorder="1"/>
    <xf numFmtId="43" fontId="1" fillId="25" borderId="10" xfId="40" applyFill="1" applyBorder="1"/>
    <xf numFmtId="0" fontId="1" fillId="25" borderId="11" xfId="47" applyNumberFormat="1" applyFont="1" applyFill="1" applyBorder="1"/>
    <xf numFmtId="0" fontId="4" fillId="25" borderId="11" xfId="47" applyNumberFormat="1" applyFont="1" applyFill="1" applyBorder="1"/>
    <xf numFmtId="0" fontId="1" fillId="25" borderId="10" xfId="47" applyNumberFormat="1" applyFont="1" applyFill="1" applyBorder="1" applyAlignment="1">
      <alignment horizontal="center"/>
    </xf>
    <xf numFmtId="0" fontId="2" fillId="25" borderId="10" xfId="47" applyNumberFormat="1" applyFont="1" applyFill="1" applyBorder="1"/>
    <xf numFmtId="0" fontId="2" fillId="25" borderId="0" xfId="47" applyNumberFormat="1" applyFont="1" applyFill="1"/>
    <xf numFmtId="0" fontId="2" fillId="25" borderId="21" xfId="47" applyNumberFormat="1" applyFont="1" applyFill="1" applyBorder="1"/>
    <xf numFmtId="177" fontId="2" fillId="26" borderId="22" xfId="47" applyNumberFormat="1" applyFont="1" applyFill="1" applyBorder="1" applyAlignment="1">
      <alignment horizontal="center"/>
    </xf>
    <xf numFmtId="0" fontId="5" fillId="25" borderId="23" xfId="47" applyNumberFormat="1" applyFont="1" applyFill="1" applyBorder="1" applyAlignment="1">
      <alignment vertical="center" wrapText="1"/>
    </xf>
    <xf numFmtId="168" fontId="2" fillId="25" borderId="10" xfId="47" applyNumberFormat="1" applyFont="1" applyFill="1" applyBorder="1" applyAlignment="1">
      <alignment horizontal="center"/>
    </xf>
    <xf numFmtId="0" fontId="2" fillId="25" borderId="12" xfId="47" applyNumberFormat="1" applyFont="1" applyFill="1" applyBorder="1" applyAlignment="1">
      <alignment vertical="center" wrapText="1"/>
    </xf>
    <xf numFmtId="173" fontId="1" fillId="25" borderId="10" xfId="47" applyNumberFormat="1" applyFont="1" applyFill="1" applyBorder="1"/>
    <xf numFmtId="176" fontId="1" fillId="25" borderId="10" xfId="47" applyNumberFormat="1" applyFont="1" applyFill="1" applyBorder="1"/>
    <xf numFmtId="0" fontId="2" fillId="25" borderId="0" xfId="47" applyNumberFormat="1" applyFont="1" applyFill="1" applyBorder="1" applyAlignment="1">
      <alignment vertical="center" wrapText="1"/>
    </xf>
    <xf numFmtId="177" fontId="2" fillId="25" borderId="10" xfId="47" applyNumberFormat="1" applyFont="1" applyFill="1" applyBorder="1" applyAlignment="1">
      <alignment horizontal="center"/>
    </xf>
    <xf numFmtId="0" fontId="4" fillId="25" borderId="21" xfId="47" applyNumberFormat="1" applyFont="1" applyFill="1" applyBorder="1"/>
    <xf numFmtId="4" fontId="4" fillId="26" borderId="10" xfId="39" applyNumberFormat="1" applyFont="1" applyFill="1" applyBorder="1" applyAlignment="1">
      <alignment horizontal="center"/>
    </xf>
    <xf numFmtId="0" fontId="1" fillId="25" borderId="21" xfId="47" applyNumberFormat="1" applyFont="1" applyFill="1" applyBorder="1" applyAlignment="1">
      <alignment horizontal="center"/>
    </xf>
    <xf numFmtId="0" fontId="4" fillId="25" borderId="10" xfId="47" applyNumberFormat="1" applyFont="1" applyFill="1" applyBorder="1"/>
    <xf numFmtId="0" fontId="9" fillId="25" borderId="10" xfId="47" applyNumberFormat="1" applyFont="1" applyFill="1" applyBorder="1"/>
    <xf numFmtId="0" fontId="9" fillId="25" borderId="11" xfId="47" applyNumberFormat="1" applyFont="1" applyFill="1" applyBorder="1"/>
    <xf numFmtId="171" fontId="1" fillId="25" borderId="10" xfId="47" applyNumberFormat="1" applyFont="1" applyFill="1" applyBorder="1"/>
    <xf numFmtId="171" fontId="1" fillId="25" borderId="11" xfId="47" applyNumberFormat="1" applyFont="1" applyFill="1" applyBorder="1"/>
    <xf numFmtId="171" fontId="4" fillId="25" borderId="11" xfId="47" applyNumberFormat="1" applyFont="1" applyFill="1" applyBorder="1"/>
    <xf numFmtId="171" fontId="1" fillId="25" borderId="10" xfId="47" applyNumberFormat="1" applyFont="1" applyFill="1" applyBorder="1" applyAlignment="1">
      <alignment horizontal="center"/>
    </xf>
    <xf numFmtId="177" fontId="1" fillId="26" borderId="10" xfId="47" applyNumberFormat="1" applyFont="1" applyFill="1" applyBorder="1" applyAlignment="1">
      <alignment horizontal="center"/>
    </xf>
    <xf numFmtId="43" fontId="2" fillId="26" borderId="20" xfId="47" applyNumberFormat="1" applyFont="1" applyFill="1" applyBorder="1" applyAlignment="1">
      <alignment horizontal="center"/>
    </xf>
    <xf numFmtId="177" fontId="57" fillId="26" borderId="10" xfId="47" applyNumberFormat="1" applyFont="1" applyFill="1" applyBorder="1" applyAlignment="1">
      <alignment horizontal="center"/>
    </xf>
    <xf numFmtId="0" fontId="52" fillId="25" borderId="0" xfId="47" applyNumberFormat="1" applyFont="1" applyFill="1"/>
    <xf numFmtId="177" fontId="52" fillId="26" borderId="24" xfId="47" applyNumberFormat="1" applyFont="1" applyFill="1" applyBorder="1" applyAlignment="1">
      <alignment horizontal="center"/>
    </xf>
    <xf numFmtId="43" fontId="2" fillId="25" borderId="20" xfId="47" applyNumberFormat="1" applyFont="1" applyFill="1" applyBorder="1" applyAlignment="1">
      <alignment horizontal="center"/>
    </xf>
    <xf numFmtId="171" fontId="8" fillId="29" borderId="10" xfId="47" applyNumberFormat="1" applyFont="1" applyFill="1" applyBorder="1"/>
    <xf numFmtId="0" fontId="1" fillId="25" borderId="11" xfId="47" applyNumberFormat="1" applyFont="1" applyFill="1" applyBorder="1" applyAlignment="1">
      <alignment horizontal="center"/>
    </xf>
    <xf numFmtId="0" fontId="4" fillId="25" borderId="11" xfId="47" applyNumberFormat="1" applyFont="1" applyFill="1" applyBorder="1" applyAlignment="1">
      <alignment horizontal="center"/>
    </xf>
    <xf numFmtId="43" fontId="1" fillId="26" borderId="10" xfId="47" applyNumberFormat="1" applyFont="1" applyFill="1" applyBorder="1" applyAlignment="1">
      <alignment horizontal="center"/>
    </xf>
    <xf numFmtId="43" fontId="1" fillId="26" borderId="11" xfId="47" applyNumberFormat="1" applyFont="1" applyFill="1" applyBorder="1" applyAlignment="1">
      <alignment horizontal="center"/>
    </xf>
    <xf numFmtId="43" fontId="4" fillId="26" borderId="11" xfId="47" applyNumberFormat="1" applyFont="1" applyFill="1" applyBorder="1" applyAlignment="1">
      <alignment horizontal="center"/>
    </xf>
    <xf numFmtId="43" fontId="1" fillId="26" borderId="24" xfId="47" applyNumberFormat="1" applyFont="1" applyFill="1" applyBorder="1" applyAlignment="1">
      <alignment horizontal="center"/>
    </xf>
    <xf numFmtId="43" fontId="8" fillId="29" borderId="10" xfId="47" applyNumberFormat="1" applyFont="1" applyFill="1" applyBorder="1"/>
    <xf numFmtId="0" fontId="58" fillId="25" borderId="0" xfId="47" applyNumberFormat="1" applyFont="1" applyFill="1"/>
    <xf numFmtId="4" fontId="9" fillId="26" borderId="10" xfId="39" applyNumberFormat="1" applyFont="1" applyFill="1" applyBorder="1" applyAlignment="1">
      <alignment horizontal="center"/>
    </xf>
    <xf numFmtId="9" fontId="1" fillId="25" borderId="10" xfId="50" applyFill="1" applyBorder="1"/>
    <xf numFmtId="9" fontId="1" fillId="25" borderId="11" xfId="50" applyFill="1" applyBorder="1"/>
    <xf numFmtId="9" fontId="4" fillId="25" borderId="11" xfId="50" applyFont="1" applyFill="1" applyBorder="1"/>
    <xf numFmtId="9" fontId="1" fillId="25" borderId="10" xfId="50" applyFill="1" applyBorder="1" applyAlignment="1">
      <alignment horizontal="center"/>
    </xf>
    <xf numFmtId="175" fontId="8" fillId="29" borderId="21" xfId="47" applyNumberFormat="1" applyFont="1" applyFill="1" applyBorder="1"/>
    <xf numFmtId="0" fontId="59" fillId="25" borderId="0" xfId="47" applyNumberFormat="1" applyFont="1" applyFill="1"/>
    <xf numFmtId="10" fontId="60" fillId="28" borderId="21" xfId="47" applyNumberFormat="1" applyFont="1" applyFill="1" applyBorder="1" applyAlignment="1">
      <alignment horizontal="center"/>
    </xf>
    <xf numFmtId="9" fontId="59" fillId="25" borderId="10" xfId="47" applyNumberFormat="1" applyFont="1" applyFill="1" applyBorder="1"/>
    <xf numFmtId="0" fontId="59" fillId="25" borderId="10" xfId="47" applyNumberFormat="1" applyFont="1" applyFill="1" applyBorder="1"/>
    <xf numFmtId="43" fontId="59" fillId="25" borderId="10" xfId="47" applyNumberFormat="1" applyFont="1" applyFill="1" applyBorder="1"/>
    <xf numFmtId="0" fontId="59" fillId="25" borderId="11" xfId="47" applyNumberFormat="1" applyFont="1" applyFill="1" applyBorder="1"/>
    <xf numFmtId="0" fontId="59" fillId="25" borderId="0" xfId="47" applyNumberFormat="1" applyFont="1" applyFill="1" applyBorder="1"/>
    <xf numFmtId="0" fontId="1" fillId="25" borderId="0" xfId="47" applyNumberFormat="1" applyFont="1" applyFill="1" applyBorder="1"/>
    <xf numFmtId="0" fontId="4" fillId="30" borderId="0" xfId="0" applyFont="1" applyFill="1" applyAlignment="1">
      <alignment horizontal="left" indent="1"/>
    </xf>
    <xf numFmtId="0" fontId="0" fillId="30" borderId="0" xfId="0" applyFill="1" applyAlignment="1">
      <alignment horizontal="left" indent="1"/>
    </xf>
    <xf numFmtId="171" fontId="1" fillId="30" borderId="0" xfId="35" applyNumberFormat="1" applyFont="1" applyFill="1"/>
    <xf numFmtId="168" fontId="2" fillId="26" borderId="22" xfId="47" applyNumberFormat="1" applyFont="1" applyFill="1" applyBorder="1" applyAlignment="1">
      <alignment horizontal="center"/>
    </xf>
    <xf numFmtId="0" fontId="8" fillId="24" borderId="15" xfId="0" applyFont="1" applyFill="1" applyBorder="1" applyAlignment="1">
      <alignment horizontal="center"/>
    </xf>
    <xf numFmtId="0" fontId="4" fillId="25" borderId="0" xfId="47" applyNumberFormat="1" applyFont="1" applyFill="1" applyBorder="1"/>
    <xf numFmtId="0" fontId="1" fillId="25" borderId="25" xfId="47" applyNumberFormat="1" applyFont="1" applyFill="1" applyBorder="1"/>
    <xf numFmtId="0" fontId="4" fillId="25" borderId="0" xfId="47" applyNumberFormat="1" applyFont="1" applyFill="1"/>
    <xf numFmtId="0" fontId="1" fillId="25" borderId="21" xfId="47" applyNumberFormat="1" applyFont="1" applyFill="1" applyBorder="1" applyAlignment="1"/>
    <xf numFmtId="171" fontId="2" fillId="0" borderId="20" xfId="37" applyNumberFormat="1" applyFont="1" applyBorder="1" applyAlignment="1">
      <alignment vertical="center" wrapText="1"/>
    </xf>
    <xf numFmtId="2" fontId="0" fillId="25" borderId="0" xfId="0" applyNumberFormat="1" applyFill="1"/>
    <xf numFmtId="166" fontId="2" fillId="27" borderId="10" xfId="47" applyNumberFormat="1" applyFont="1" applyFill="1" applyBorder="1"/>
    <xf numFmtId="0" fontId="65" fillId="0" borderId="0" xfId="0" applyFont="1"/>
    <xf numFmtId="165" fontId="4" fillId="26" borderId="11" xfId="0" applyNumberFormat="1" applyFont="1" applyFill="1" applyBorder="1" applyAlignment="1">
      <alignment horizontal="center"/>
    </xf>
    <xf numFmtId="0" fontId="0" fillId="25" borderId="0" xfId="47" applyNumberFormat="1" applyFont="1" applyFill="1"/>
    <xf numFmtId="0" fontId="0" fillId="25" borderId="10" xfId="0" applyFill="1" applyBorder="1"/>
    <xf numFmtId="3" fontId="0" fillId="27" borderId="10" xfId="0" applyNumberFormat="1" applyFill="1" applyBorder="1" applyAlignment="1">
      <alignment horizontal="center" vertical="center" wrapText="1"/>
    </xf>
    <xf numFmtId="0" fontId="0" fillId="26" borderId="10" xfId="0" applyFill="1" applyBorder="1" applyAlignment="1">
      <alignment horizontal="center" vertical="center" wrapText="1"/>
    </xf>
    <xf numFmtId="0" fontId="8" fillId="28" borderId="10" xfId="0" applyFont="1" applyFill="1" applyBorder="1" applyAlignment="1">
      <alignment horizontal="center" vertical="center" wrapText="1"/>
    </xf>
    <xf numFmtId="0" fontId="0" fillId="25" borderId="10" xfId="0" applyFill="1" applyBorder="1" applyAlignment="1">
      <alignment horizontal="center"/>
    </xf>
    <xf numFmtId="0" fontId="0" fillId="27" borderId="10" xfId="35" applyNumberFormat="1" applyFont="1" applyFill="1" applyBorder="1" applyAlignment="1">
      <alignment horizontal="center" vertical="center" wrapText="1"/>
    </xf>
    <xf numFmtId="0" fontId="16" fillId="24" borderId="10" xfId="0" applyFont="1" applyFill="1" applyBorder="1" applyAlignment="1">
      <alignment horizontal="center" vertical="center" wrapText="1"/>
    </xf>
    <xf numFmtId="0" fontId="8" fillId="24" borderId="10" xfId="0" applyFont="1" applyFill="1" applyBorder="1" applyAlignment="1">
      <alignment horizontal="center" vertical="center" wrapText="1"/>
    </xf>
    <xf numFmtId="0" fontId="2" fillId="25" borderId="10" xfId="0" applyFont="1" applyFill="1" applyBorder="1" applyAlignment="1">
      <alignment horizontal="center"/>
    </xf>
    <xf numFmtId="0" fontId="6" fillId="25" borderId="10" xfId="0" applyFont="1" applyFill="1" applyBorder="1"/>
    <xf numFmtId="164" fontId="4" fillId="25" borderId="10" xfId="35" applyFont="1" applyFill="1" applyBorder="1"/>
    <xf numFmtId="0" fontId="0" fillId="25" borderId="10" xfId="0" applyFill="1" applyBorder="1" applyAlignment="1">
      <alignment horizontal="left"/>
    </xf>
    <xf numFmtId="164" fontId="2" fillId="25" borderId="10" xfId="35" applyFont="1" applyFill="1" applyBorder="1"/>
    <xf numFmtId="174" fontId="54" fillId="25" borderId="10" xfId="35" applyNumberFormat="1" applyFont="1" applyFill="1" applyBorder="1" applyAlignment="1">
      <alignment horizontal="center"/>
    </xf>
    <xf numFmtId="174" fontId="54" fillId="25" borderId="10" xfId="0" applyNumberFormat="1" applyFont="1" applyFill="1" applyBorder="1" applyAlignment="1">
      <alignment horizontal="center"/>
    </xf>
    <xf numFmtId="164" fontId="27" fillId="25" borderId="10" xfId="35" applyFont="1" applyFill="1" applyBorder="1" applyAlignment="1">
      <alignment horizontal="center"/>
    </xf>
    <xf numFmtId="0" fontId="27" fillId="25" borderId="10" xfId="0" applyFont="1" applyFill="1" applyBorder="1" applyAlignment="1">
      <alignment horizontal="center"/>
    </xf>
    <xf numFmtId="0" fontId="8" fillId="24" borderId="10" xfId="0" applyFont="1" applyFill="1" applyBorder="1" applyAlignment="1">
      <alignment horizontal="center"/>
    </xf>
    <xf numFmtId="2" fontId="4" fillId="26" borderId="10" xfId="0" applyNumberFormat="1" applyFont="1" applyFill="1" applyBorder="1" applyAlignment="1">
      <alignment horizontal="center"/>
    </xf>
    <xf numFmtId="0" fontId="62" fillId="24" borderId="10" xfId="0" applyFont="1" applyFill="1" applyBorder="1" applyAlignment="1">
      <alignment horizontal="center"/>
    </xf>
    <xf numFmtId="164" fontId="5" fillId="25" borderId="10" xfId="35" applyFont="1" applyFill="1" applyBorder="1"/>
    <xf numFmtId="0" fontId="0" fillId="25" borderId="10" xfId="0" applyFill="1" applyBorder="1" applyAlignment="1"/>
    <xf numFmtId="0" fontId="63" fillId="26" borderId="10" xfId="0" applyFont="1" applyFill="1" applyBorder="1" applyAlignment="1">
      <alignment horizontal="center"/>
    </xf>
    <xf numFmtId="0" fontId="16" fillId="24" borderId="10" xfId="0" applyFont="1" applyFill="1" applyBorder="1" applyAlignment="1"/>
    <xf numFmtId="166" fontId="63" fillId="26" borderId="10" xfId="50" applyNumberFormat="1" applyFont="1" applyFill="1" applyBorder="1" applyAlignment="1">
      <alignment horizontal="center"/>
    </xf>
    <xf numFmtId="2" fontId="63" fillId="26" borderId="10" xfId="0" applyNumberFormat="1" applyFont="1" applyFill="1" applyBorder="1" applyAlignment="1">
      <alignment horizontal="center"/>
    </xf>
    <xf numFmtId="0" fontId="8" fillId="25" borderId="10" xfId="0" applyFont="1" applyFill="1" applyBorder="1"/>
    <xf numFmtId="2" fontId="4" fillId="25" borderId="10" xfId="0" applyNumberFormat="1" applyFont="1" applyFill="1" applyBorder="1" applyAlignment="1">
      <alignment horizontal="center"/>
    </xf>
    <xf numFmtId="0" fontId="26" fillId="25" borderId="10" xfId="0" applyFont="1" applyFill="1" applyBorder="1"/>
    <xf numFmtId="0" fontId="8" fillId="25" borderId="10" xfId="0" applyFont="1" applyFill="1" applyBorder="1" applyAlignment="1">
      <alignment horizontal="center"/>
    </xf>
    <xf numFmtId="3" fontId="4" fillId="26" borderId="10" xfId="0" applyNumberFormat="1" applyFont="1" applyFill="1" applyBorder="1" applyAlignment="1">
      <alignment horizontal="center"/>
    </xf>
    <xf numFmtId="0" fontId="22" fillId="25" borderId="10" xfId="0" applyFont="1" applyFill="1" applyBorder="1" applyAlignment="1">
      <alignment horizontal="center" vertical="center" wrapText="1"/>
    </xf>
    <xf numFmtId="0" fontId="2" fillId="25" borderId="10" xfId="0" applyFont="1" applyFill="1" applyBorder="1" applyAlignment="1">
      <alignment horizontal="center" vertical="center" wrapText="1"/>
    </xf>
    <xf numFmtId="0" fontId="4" fillId="25" borderId="10" xfId="0" applyFont="1" applyFill="1" applyBorder="1" applyAlignment="1">
      <alignment horizontal="center"/>
    </xf>
    <xf numFmtId="0" fontId="14" fillId="25" borderId="10" xfId="0" applyFont="1" applyFill="1" applyBorder="1" applyAlignment="1">
      <alignment horizontal="center" vertical="center" wrapText="1"/>
    </xf>
    <xf numFmtId="0" fontId="26" fillId="31" borderId="10" xfId="0" applyFont="1" applyFill="1" applyBorder="1" applyAlignment="1">
      <alignment horizontal="center" vertical="center" wrapText="1"/>
    </xf>
    <xf numFmtId="0" fontId="9" fillId="25" borderId="10" xfId="0" applyFont="1" applyFill="1" applyBorder="1" applyAlignment="1">
      <alignment horizontal="center" vertical="center" wrapText="1"/>
    </xf>
    <xf numFmtId="0" fontId="26" fillId="25" borderId="10" xfId="0" applyFont="1" applyFill="1" applyBorder="1" applyAlignment="1">
      <alignment horizontal="center" vertical="center" wrapText="1"/>
    </xf>
    <xf numFmtId="0" fontId="14" fillId="24" borderId="10" xfId="0" applyFont="1" applyFill="1" applyBorder="1" applyAlignment="1">
      <alignment horizontal="center"/>
    </xf>
    <xf numFmtId="2" fontId="2" fillId="26" borderId="10" xfId="0" applyNumberFormat="1" applyFont="1" applyFill="1" applyBorder="1" applyAlignment="1">
      <alignment horizontal="center"/>
    </xf>
    <xf numFmtId="0" fontId="4" fillId="27" borderId="10" xfId="35" applyNumberFormat="1" applyFont="1" applyFill="1" applyBorder="1" applyAlignment="1">
      <alignment horizontal="center" vertical="center" wrapText="1"/>
    </xf>
    <xf numFmtId="0" fontId="8" fillId="24" borderId="10" xfId="0" applyFont="1" applyFill="1" applyBorder="1" applyAlignment="1">
      <alignment horizontal="left" vertical="center" wrapText="1"/>
    </xf>
    <xf numFmtId="0" fontId="8" fillId="24" borderId="10" xfId="0" applyFont="1" applyFill="1" applyBorder="1" applyAlignment="1">
      <alignment vertical="center" wrapText="1"/>
    </xf>
    <xf numFmtId="0" fontId="8" fillId="28" borderId="11" xfId="0" applyFont="1" applyFill="1" applyBorder="1" applyAlignment="1">
      <alignment horizontal="center" vertical="center" wrapText="1"/>
    </xf>
    <xf numFmtId="0" fontId="8" fillId="28" borderId="21" xfId="0" applyFont="1" applyFill="1" applyBorder="1" applyAlignment="1">
      <alignment horizontal="center" vertical="center" wrapText="1"/>
    </xf>
    <xf numFmtId="0" fontId="4" fillId="26" borderId="10" xfId="0" applyFont="1" applyFill="1" applyBorder="1" applyAlignment="1">
      <alignment horizontal="center" vertical="center" wrapText="1"/>
    </xf>
    <xf numFmtId="3" fontId="0" fillId="29" borderId="10" xfId="0" applyNumberFormat="1" applyFill="1" applyBorder="1" applyAlignment="1">
      <alignment horizontal="center" vertical="center" wrapText="1"/>
    </xf>
    <xf numFmtId="0" fontId="8" fillId="25" borderId="10" xfId="0" applyFont="1" applyFill="1" applyBorder="1" applyAlignment="1">
      <alignment horizontal="center" vertical="center" wrapText="1"/>
    </xf>
    <xf numFmtId="0" fontId="8" fillId="25" borderId="10" xfId="0" applyFont="1" applyFill="1" applyBorder="1" applyAlignment="1">
      <alignment horizontal="left" vertical="center" wrapText="1"/>
    </xf>
    <xf numFmtId="0" fontId="4" fillId="25" borderId="10" xfId="0" applyFont="1" applyFill="1" applyBorder="1" applyAlignment="1">
      <alignment horizontal="center" vertical="center" wrapText="1"/>
    </xf>
    <xf numFmtId="0" fontId="8" fillId="25" borderId="0" xfId="0" applyFont="1" applyFill="1" applyBorder="1" applyAlignment="1">
      <alignment horizontal="center" vertical="center" wrapText="1"/>
    </xf>
    <xf numFmtId="0" fontId="4" fillId="25" borderId="21" xfId="47" applyNumberFormat="1" applyFont="1" applyFill="1" applyBorder="1" applyAlignment="1">
      <alignment horizontal="left"/>
    </xf>
    <xf numFmtId="3" fontId="4" fillId="29" borderId="10" xfId="0" applyNumberFormat="1" applyFont="1" applyFill="1" applyBorder="1" applyAlignment="1">
      <alignment horizontal="center" vertical="center" wrapText="1"/>
    </xf>
    <xf numFmtId="0" fontId="4" fillId="29" borderId="10" xfId="35" applyNumberFormat="1" applyFont="1" applyFill="1" applyBorder="1" applyAlignment="1">
      <alignment horizontal="center" vertical="center" wrapText="1"/>
    </xf>
    <xf numFmtId="4" fontId="0" fillId="27" borderId="10" xfId="0" applyNumberFormat="1" applyFill="1" applyBorder="1" applyAlignment="1">
      <alignment horizontal="center" vertical="center" wrapText="1"/>
    </xf>
    <xf numFmtId="0" fontId="0" fillId="27" borderId="21" xfId="35" applyNumberFormat="1" applyFont="1" applyFill="1" applyBorder="1" applyAlignment="1">
      <alignment vertical="center" wrapText="1"/>
    </xf>
    <xf numFmtId="3" fontId="4" fillId="26" borderId="10" xfId="39" applyNumberFormat="1" applyFont="1" applyFill="1" applyBorder="1" applyAlignment="1">
      <alignment horizontal="center"/>
    </xf>
    <xf numFmtId="177" fontId="1" fillId="29" borderId="10" xfId="47" applyNumberFormat="1" applyFont="1" applyFill="1" applyBorder="1" applyAlignment="1">
      <alignment horizontal="center"/>
    </xf>
    <xf numFmtId="3" fontId="1" fillId="29" borderId="10" xfId="0" applyNumberFormat="1" applyFont="1" applyFill="1" applyBorder="1" applyAlignment="1">
      <alignment horizontal="center" vertical="center" wrapText="1"/>
    </xf>
    <xf numFmtId="169" fontId="0" fillId="25" borderId="10" xfId="0" applyNumberFormat="1" applyFill="1" applyBorder="1"/>
    <xf numFmtId="0" fontId="1" fillId="25" borderId="10" xfId="0" applyFont="1" applyFill="1" applyBorder="1"/>
    <xf numFmtId="0" fontId="73" fillId="0" borderId="0" xfId="45" applyFont="1" applyAlignment="1">
      <alignment vertical="top" wrapText="1" readingOrder="1"/>
    </xf>
    <xf numFmtId="0" fontId="82" fillId="0" borderId="0" xfId="45"/>
    <xf numFmtId="0" fontId="75" fillId="0" borderId="0" xfId="45" applyFont="1" applyAlignment="1">
      <alignment vertical="center" wrapText="1" readingOrder="1"/>
    </xf>
    <xf numFmtId="0" fontId="75" fillId="0" borderId="0" xfId="45" applyFont="1" applyAlignment="1">
      <alignment horizontal="right" vertical="center" wrapText="1" readingOrder="1"/>
    </xf>
    <xf numFmtId="0" fontId="77" fillId="0" borderId="0" xfId="45" applyFont="1" applyAlignment="1">
      <alignment vertical="top" wrapText="1" readingOrder="1"/>
    </xf>
    <xf numFmtId="0" fontId="76" fillId="33" borderId="0" xfId="45" applyFont="1" applyFill="1" applyAlignment="1">
      <alignment horizontal="right" vertical="top" wrapText="1" readingOrder="1"/>
    </xf>
    <xf numFmtId="0" fontId="77" fillId="0" borderId="0" xfId="45" applyFont="1" applyAlignment="1">
      <alignment horizontal="right" vertical="top" wrapText="1" readingOrder="1"/>
    </xf>
    <xf numFmtId="0" fontId="77" fillId="0" borderId="0" xfId="45" applyFont="1" applyAlignment="1">
      <alignment horizontal="center" vertical="top" wrapText="1" readingOrder="1"/>
    </xf>
    <xf numFmtId="0" fontId="76" fillId="33" borderId="0" xfId="45" applyFont="1" applyFill="1" applyAlignment="1">
      <alignment horizontal="center" vertical="top" wrapText="1" readingOrder="1"/>
    </xf>
    <xf numFmtId="180" fontId="77" fillId="26" borderId="0" xfId="45" applyNumberFormat="1" applyFont="1" applyFill="1" applyAlignment="1">
      <alignment horizontal="center" vertical="top" wrapText="1" readingOrder="1"/>
    </xf>
    <xf numFmtId="181" fontId="77" fillId="26" borderId="0" xfId="45" applyNumberFormat="1" applyFont="1" applyFill="1" applyAlignment="1">
      <alignment horizontal="center" vertical="top" wrapText="1" readingOrder="1"/>
    </xf>
    <xf numFmtId="182" fontId="77" fillId="26" borderId="0" xfId="45" applyNumberFormat="1" applyFont="1" applyFill="1" applyAlignment="1">
      <alignment horizontal="center" vertical="top" wrapText="1" readingOrder="1"/>
    </xf>
    <xf numFmtId="187" fontId="77" fillId="26" borderId="0" xfId="45" applyNumberFormat="1" applyFont="1" applyFill="1" applyAlignment="1">
      <alignment horizontal="center" vertical="top" wrapText="1" readingOrder="1"/>
    </xf>
    <xf numFmtId="184" fontId="77" fillId="26" borderId="0" xfId="45" applyNumberFormat="1" applyFont="1" applyFill="1" applyAlignment="1">
      <alignment horizontal="center" vertical="top" wrapText="1" readingOrder="1"/>
    </xf>
    <xf numFmtId="180" fontId="77" fillId="25" borderId="0" xfId="45" applyNumberFormat="1" applyFont="1" applyFill="1" applyAlignment="1">
      <alignment horizontal="center" vertical="top" wrapText="1" readingOrder="1"/>
    </xf>
    <xf numFmtId="181" fontId="77" fillId="25" borderId="0" xfId="45" applyNumberFormat="1" applyFont="1" applyFill="1" applyAlignment="1">
      <alignment horizontal="center" vertical="top" wrapText="1" readingOrder="1"/>
    </xf>
    <xf numFmtId="182" fontId="77" fillId="25" borderId="0" xfId="45" applyNumberFormat="1" applyFont="1" applyFill="1" applyAlignment="1">
      <alignment horizontal="center" vertical="top" wrapText="1" readingOrder="1"/>
    </xf>
    <xf numFmtId="187" fontId="77" fillId="25" borderId="0" xfId="45" applyNumberFormat="1" applyFont="1" applyFill="1" applyAlignment="1">
      <alignment horizontal="center" vertical="top" wrapText="1" readingOrder="1"/>
    </xf>
    <xf numFmtId="184" fontId="77" fillId="25" borderId="0" xfId="45" applyNumberFormat="1" applyFont="1" applyFill="1" applyAlignment="1">
      <alignment horizontal="center" vertical="top" wrapText="1" readingOrder="1"/>
    </xf>
    <xf numFmtId="180" fontId="76" fillId="33" borderId="0" xfId="45" applyNumberFormat="1" applyFont="1" applyFill="1" applyAlignment="1">
      <alignment horizontal="center" vertical="top" wrapText="1" readingOrder="1"/>
    </xf>
    <xf numFmtId="181" fontId="76" fillId="33" borderId="0" xfId="45" applyNumberFormat="1" applyFont="1" applyFill="1" applyAlignment="1">
      <alignment horizontal="center" vertical="top" wrapText="1" readingOrder="1"/>
    </xf>
    <xf numFmtId="185" fontId="76" fillId="33" borderId="0" xfId="45" applyNumberFormat="1" applyFont="1" applyFill="1" applyAlignment="1">
      <alignment horizontal="center" vertical="top" wrapText="1" readingOrder="1"/>
    </xf>
    <xf numFmtId="183" fontId="76" fillId="33" borderId="0" xfId="45" applyNumberFormat="1" applyFont="1" applyFill="1" applyAlignment="1">
      <alignment horizontal="center" vertical="top" wrapText="1" readingOrder="1"/>
    </xf>
    <xf numFmtId="184" fontId="76" fillId="33" borderId="0" xfId="45" applyNumberFormat="1" applyFont="1" applyFill="1" applyAlignment="1">
      <alignment horizontal="center" vertical="top" wrapText="1" readingOrder="1"/>
    </xf>
    <xf numFmtId="188" fontId="76" fillId="33" borderId="0" xfId="45" applyNumberFormat="1" applyFont="1" applyFill="1" applyAlignment="1">
      <alignment horizontal="center" vertical="top" wrapText="1" readingOrder="1"/>
    </xf>
    <xf numFmtId="0" fontId="79" fillId="0" borderId="0" xfId="45" applyFont="1" applyAlignment="1">
      <alignment horizontal="center" vertical="top" wrapText="1" readingOrder="1"/>
    </xf>
    <xf numFmtId="189" fontId="76" fillId="33" borderId="0" xfId="45" applyNumberFormat="1" applyFont="1" applyFill="1" applyAlignment="1">
      <alignment horizontal="center" vertical="top" wrapText="1" readingOrder="1"/>
    </xf>
    <xf numFmtId="0" fontId="52" fillId="0" borderId="0" xfId="46" applyFont="1" applyFill="1" applyBorder="1" applyAlignment="1">
      <alignment vertical="top" wrapText="1"/>
    </xf>
    <xf numFmtId="0" fontId="1" fillId="0" borderId="0" xfId="46">
      <alignment wrapText="1"/>
    </xf>
    <xf numFmtId="0" fontId="52" fillId="0" borderId="0" xfId="46" applyFont="1" applyFill="1" applyAlignment="1">
      <alignment vertical="top" wrapText="1"/>
    </xf>
    <xf numFmtId="0" fontId="68" fillId="0" borderId="0" xfId="46" applyFont="1" applyFill="1" applyBorder="1" applyAlignment="1">
      <alignment vertical="center" wrapText="1"/>
    </xf>
    <xf numFmtId="0" fontId="68" fillId="0" borderId="0" xfId="46" applyFont="1" applyFill="1" applyBorder="1" applyAlignment="1">
      <alignment horizontal="right" vertical="center" wrapText="1"/>
    </xf>
    <xf numFmtId="0" fontId="69" fillId="0" borderId="0" xfId="46" applyFont="1" applyFill="1" applyBorder="1" applyAlignment="1">
      <alignment vertical="top" wrapText="1"/>
    </xf>
    <xf numFmtId="0" fontId="22" fillId="34" borderId="0" xfId="46" applyFont="1" applyFill="1" applyBorder="1" applyAlignment="1">
      <alignment horizontal="right" vertical="top" wrapText="1"/>
    </xf>
    <xf numFmtId="0" fontId="69" fillId="0" borderId="0" xfId="46" applyFont="1" applyFill="1" applyBorder="1" applyAlignment="1">
      <alignment horizontal="right" vertical="top" wrapText="1"/>
    </xf>
    <xf numFmtId="0" fontId="69" fillId="0" borderId="0" xfId="46" applyFont="1" applyFill="1" applyBorder="1" applyAlignment="1">
      <alignment horizontal="center" vertical="top" wrapText="1"/>
    </xf>
    <xf numFmtId="0" fontId="22" fillId="34" borderId="0" xfId="46" applyFont="1" applyFill="1" applyBorder="1" applyAlignment="1">
      <alignment horizontal="center" vertical="top" wrapText="1"/>
    </xf>
    <xf numFmtId="180" fontId="69" fillId="16" borderId="0" xfId="46" applyNumberFormat="1" applyFont="1" applyFill="1" applyBorder="1" applyAlignment="1">
      <alignment horizontal="center" vertical="top" wrapText="1"/>
    </xf>
    <xf numFmtId="181" fontId="69" fillId="16" borderId="0" xfId="46" applyNumberFormat="1" applyFont="1" applyFill="1" applyBorder="1" applyAlignment="1">
      <alignment horizontal="center" vertical="top" wrapText="1"/>
    </xf>
    <xf numFmtId="182" fontId="69" fillId="16" borderId="0" xfId="46" applyNumberFormat="1" applyFont="1" applyFill="1" applyBorder="1" applyAlignment="1">
      <alignment horizontal="center" vertical="top" wrapText="1"/>
    </xf>
    <xf numFmtId="187" fontId="69" fillId="16" borderId="0" xfId="46" applyNumberFormat="1" applyFont="1" applyFill="1" applyBorder="1" applyAlignment="1">
      <alignment horizontal="center" vertical="top" wrapText="1"/>
    </xf>
    <xf numFmtId="180" fontId="69" fillId="35" borderId="0" xfId="46" applyNumberFormat="1" applyFont="1" applyFill="1" applyBorder="1" applyAlignment="1">
      <alignment horizontal="center" vertical="top" wrapText="1"/>
    </xf>
    <xf numFmtId="181" fontId="69" fillId="35" borderId="0" xfId="46" applyNumberFormat="1" applyFont="1" applyFill="1" applyBorder="1" applyAlignment="1">
      <alignment horizontal="center" vertical="top" wrapText="1"/>
    </xf>
    <xf numFmtId="182" fontId="69" fillId="35" borderId="0" xfId="46" applyNumberFormat="1" applyFont="1" applyFill="1" applyBorder="1" applyAlignment="1">
      <alignment horizontal="center" vertical="top" wrapText="1"/>
    </xf>
    <xf numFmtId="187" fontId="69" fillId="35" borderId="0" xfId="46" applyNumberFormat="1" applyFont="1" applyFill="1" applyBorder="1" applyAlignment="1">
      <alignment horizontal="center" vertical="top" wrapText="1"/>
    </xf>
    <xf numFmtId="180" fontId="22" fillId="34" borderId="0" xfId="46" applyNumberFormat="1" applyFont="1" applyFill="1" applyBorder="1" applyAlignment="1">
      <alignment horizontal="center" vertical="top" wrapText="1"/>
    </xf>
    <xf numFmtId="181" fontId="22" fillId="34" borderId="0" xfId="46" applyNumberFormat="1" applyFont="1" applyFill="1" applyBorder="1" applyAlignment="1">
      <alignment horizontal="center" vertical="top" wrapText="1"/>
    </xf>
    <xf numFmtId="185" fontId="22" fillId="34" borderId="0" xfId="46" applyNumberFormat="1" applyFont="1" applyFill="1" applyBorder="1" applyAlignment="1">
      <alignment horizontal="center" vertical="top" wrapText="1"/>
    </xf>
    <xf numFmtId="183" fontId="22" fillId="34" borderId="0" xfId="46" applyNumberFormat="1" applyFont="1" applyFill="1" applyBorder="1" applyAlignment="1">
      <alignment horizontal="center" vertical="top" wrapText="1"/>
    </xf>
    <xf numFmtId="188" fontId="22" fillId="34" borderId="0" xfId="46" applyNumberFormat="1" applyFont="1" applyFill="1" applyBorder="1" applyAlignment="1">
      <alignment horizontal="center" vertical="top" wrapText="1"/>
    </xf>
    <xf numFmtId="0" fontId="70" fillId="0" borderId="0" xfId="46" applyFont="1" applyFill="1" applyBorder="1" applyAlignment="1">
      <alignment horizontal="center" vertical="top" wrapText="1"/>
    </xf>
    <xf numFmtId="183" fontId="69" fillId="16" borderId="0" xfId="46" applyNumberFormat="1" applyFont="1" applyFill="1" applyBorder="1" applyAlignment="1">
      <alignment horizontal="center" vertical="top" wrapText="1"/>
    </xf>
    <xf numFmtId="183" fontId="69" fillId="35" borderId="0" xfId="46" applyNumberFormat="1" applyFont="1" applyFill="1" applyBorder="1" applyAlignment="1">
      <alignment horizontal="center" vertical="top" wrapText="1"/>
    </xf>
    <xf numFmtId="189" fontId="22" fillId="34" borderId="0" xfId="46" applyNumberFormat="1" applyFont="1" applyFill="1" applyBorder="1" applyAlignment="1">
      <alignment vertical="top" wrapText="1"/>
    </xf>
    <xf numFmtId="181" fontId="22" fillId="34" borderId="0" xfId="46" applyNumberFormat="1" applyFont="1" applyFill="1" applyBorder="1" applyAlignment="1">
      <alignment vertical="top" wrapText="1"/>
    </xf>
    <xf numFmtId="3" fontId="8" fillId="28" borderId="10" xfId="0" applyNumberFormat="1" applyFont="1" applyFill="1" applyBorder="1" applyAlignment="1">
      <alignment horizontal="center"/>
    </xf>
    <xf numFmtId="3" fontId="8" fillId="29" borderId="10" xfId="0" applyNumberFormat="1" applyFont="1" applyFill="1" applyBorder="1" applyAlignment="1">
      <alignment horizontal="center" vertical="center" wrapText="1"/>
    </xf>
    <xf numFmtId="3" fontId="0" fillId="27" borderId="11" xfId="35" applyNumberFormat="1" applyFont="1" applyFill="1" applyBorder="1" applyAlignment="1">
      <alignment horizontal="right" vertical="center" wrapText="1"/>
    </xf>
    <xf numFmtId="0" fontId="4" fillId="27" borderId="10" xfId="35" applyNumberFormat="1" applyFont="1" applyFill="1" applyBorder="1" applyAlignment="1">
      <alignment horizontal="right" vertical="center" wrapText="1"/>
    </xf>
    <xf numFmtId="3" fontId="0" fillId="27" borderId="10" xfId="35" applyNumberFormat="1" applyFont="1" applyFill="1" applyBorder="1" applyAlignment="1">
      <alignment horizontal="right" vertical="center" wrapText="1"/>
    </xf>
    <xf numFmtId="178" fontId="0" fillId="27" borderId="10" xfId="0" applyNumberFormat="1" applyFill="1" applyBorder="1" applyAlignment="1">
      <alignment horizontal="right" vertical="center" wrapText="1"/>
    </xf>
    <xf numFmtId="0" fontId="0" fillId="27" borderId="10" xfId="35" applyNumberFormat="1" applyFont="1" applyFill="1" applyBorder="1" applyAlignment="1">
      <alignment horizontal="right" vertical="center" wrapText="1"/>
    </xf>
    <xf numFmtId="190" fontId="0" fillId="27" borderId="10" xfId="35" applyNumberFormat="1" applyFont="1" applyFill="1" applyBorder="1" applyAlignment="1">
      <alignment horizontal="right" vertical="center" wrapText="1"/>
    </xf>
    <xf numFmtId="2" fontId="0" fillId="27" borderId="10" xfId="35" applyNumberFormat="1" applyFont="1" applyFill="1" applyBorder="1" applyAlignment="1">
      <alignment horizontal="right" vertical="center" wrapText="1"/>
    </xf>
    <xf numFmtId="3" fontId="0" fillId="27" borderId="10" xfId="0" applyNumberFormat="1" applyFill="1" applyBorder="1" applyAlignment="1">
      <alignment horizontal="right" vertical="center" wrapText="1"/>
    </xf>
    <xf numFmtId="3" fontId="52" fillId="26" borderId="11" xfId="0" applyNumberFormat="1" applyFont="1" applyFill="1" applyBorder="1" applyAlignment="1">
      <alignment horizontal="center"/>
    </xf>
    <xf numFmtId="3" fontId="4" fillId="26" borderId="11" xfId="0" applyNumberFormat="1" applyFont="1" applyFill="1" applyBorder="1" applyAlignment="1">
      <alignment horizontal="center"/>
    </xf>
    <xf numFmtId="3" fontId="4" fillId="26" borderId="16" xfId="35" applyNumberFormat="1" applyFont="1" applyFill="1" applyBorder="1" applyAlignment="1">
      <alignment horizontal="center"/>
    </xf>
    <xf numFmtId="3" fontId="8" fillId="28" borderId="16" xfId="0" applyNumberFormat="1" applyFont="1" applyFill="1" applyBorder="1" applyAlignment="1">
      <alignment horizontal="center"/>
    </xf>
    <xf numFmtId="0" fontId="8" fillId="36" borderId="10" xfId="0" applyFont="1" applyFill="1" applyBorder="1" applyAlignment="1">
      <alignment vertical="center" wrapText="1"/>
    </xf>
    <xf numFmtId="4" fontId="0" fillId="36" borderId="10" xfId="0" applyNumberFormat="1" applyFill="1" applyBorder="1" applyAlignment="1">
      <alignment horizontal="center" vertical="center" wrapText="1"/>
    </xf>
    <xf numFmtId="3" fontId="4" fillId="36" borderId="10" xfId="0" applyNumberFormat="1" applyFont="1" applyFill="1" applyBorder="1" applyAlignment="1">
      <alignment horizontal="center" vertical="center" wrapText="1"/>
    </xf>
    <xf numFmtId="3" fontId="4" fillId="36" borderId="11" xfId="0" applyNumberFormat="1" applyFont="1" applyFill="1" applyBorder="1" applyAlignment="1">
      <alignment horizontal="center" vertical="center" wrapText="1"/>
    </xf>
    <xf numFmtId="3" fontId="4" fillId="36" borderId="26" xfId="0" applyNumberFormat="1" applyFont="1" applyFill="1" applyBorder="1" applyAlignment="1">
      <alignment horizontal="center" vertical="center" wrapText="1"/>
    </xf>
    <xf numFmtId="3" fontId="4" fillId="36" borderId="21" xfId="0" applyNumberFormat="1" applyFont="1" applyFill="1" applyBorder="1" applyAlignment="1">
      <alignment horizontal="center" vertical="center" wrapText="1"/>
    </xf>
    <xf numFmtId="0" fontId="0" fillId="36" borderId="10" xfId="0" applyFill="1" applyBorder="1"/>
    <xf numFmtId="0" fontId="8" fillId="24" borderId="10" xfId="0" applyFont="1" applyFill="1" applyBorder="1" applyAlignment="1">
      <alignment horizontal="left" vertical="center" wrapText="1"/>
    </xf>
    <xf numFmtId="0" fontId="8" fillId="24" borderId="10" xfId="0" applyFont="1" applyFill="1" applyBorder="1" applyAlignment="1">
      <alignment horizontal="left" vertical="center" wrapText="1"/>
    </xf>
    <xf numFmtId="178" fontId="0" fillId="27" borderId="10" xfId="35" applyNumberFormat="1" applyFont="1" applyFill="1" applyBorder="1" applyAlignment="1">
      <alignment horizontal="right" vertical="center" wrapText="1"/>
    </xf>
    <xf numFmtId="167" fontId="0" fillId="27" borderId="10" xfId="0" applyNumberFormat="1" applyFill="1" applyBorder="1" applyAlignment="1">
      <alignment horizontal="right" vertical="center" wrapText="1"/>
    </xf>
    <xf numFmtId="185" fontId="1" fillId="0" borderId="0" xfId="46" applyNumberFormat="1">
      <alignment wrapText="1"/>
    </xf>
    <xf numFmtId="0" fontId="2" fillId="25" borderId="28" xfId="47" applyNumberFormat="1" applyFont="1" applyFill="1" applyBorder="1"/>
    <xf numFmtId="0" fontId="4" fillId="25" borderId="25" xfId="47" applyNumberFormat="1" applyFont="1" applyFill="1" applyBorder="1"/>
    <xf numFmtId="0" fontId="2" fillId="25" borderId="0" xfId="47" applyNumberFormat="1" applyFont="1" applyFill="1" applyBorder="1"/>
    <xf numFmtId="0" fontId="2" fillId="25" borderId="19" xfId="47" applyNumberFormat="1" applyFont="1" applyFill="1" applyBorder="1"/>
    <xf numFmtId="9" fontId="59" fillId="25" borderId="0" xfId="47" applyNumberFormat="1" applyFont="1" applyFill="1" applyBorder="1"/>
    <xf numFmtId="43" fontId="59" fillId="25" borderId="0" xfId="47" applyNumberFormat="1" applyFont="1" applyFill="1" applyBorder="1"/>
    <xf numFmtId="177" fontId="2" fillId="25" borderId="21" xfId="47" applyNumberFormat="1" applyFont="1" applyFill="1" applyBorder="1" applyAlignment="1">
      <alignment horizontal="center"/>
    </xf>
    <xf numFmtId="8" fontId="60" fillId="28" borderId="0" xfId="47" applyNumberFormat="1" applyFont="1" applyFill="1" applyBorder="1" applyAlignment="1">
      <alignment horizontal="center"/>
    </xf>
    <xf numFmtId="0" fontId="8" fillId="24" borderId="10" xfId="47" applyNumberFormat="1" applyFont="1" applyFill="1" applyBorder="1" applyAlignment="1">
      <alignment horizontal="center"/>
    </xf>
    <xf numFmtId="171" fontId="1" fillId="37" borderId="0" xfId="35" applyNumberFormat="1" applyFont="1" applyFill="1"/>
    <xf numFmtId="0" fontId="4" fillId="36" borderId="21" xfId="47" applyNumberFormat="1" applyFont="1" applyFill="1" applyBorder="1"/>
    <xf numFmtId="171" fontId="2" fillId="38" borderId="10" xfId="47" applyNumberFormat="1" applyFont="1" applyFill="1" applyBorder="1" applyAlignment="1">
      <alignment horizontal="center"/>
    </xf>
    <xf numFmtId="175" fontId="2" fillId="38" borderId="10" xfId="39" applyNumberFormat="1" applyFont="1" applyFill="1" applyBorder="1" applyAlignment="1">
      <alignment horizontal="center"/>
    </xf>
    <xf numFmtId="175" fontId="51" fillId="38" borderId="10" xfId="39" applyNumberFormat="1" applyFont="1" applyFill="1" applyBorder="1" applyAlignment="1">
      <alignment horizontal="center"/>
    </xf>
    <xf numFmtId="9" fontId="1" fillId="38" borderId="21" xfId="47" applyNumberFormat="1" applyFont="1" applyFill="1" applyBorder="1"/>
    <xf numFmtId="43" fontId="2" fillId="36" borderId="10" xfId="47" applyNumberFormat="1" applyFont="1" applyFill="1" applyBorder="1" applyAlignment="1">
      <alignment horizontal="center"/>
    </xf>
    <xf numFmtId="166" fontId="59" fillId="36" borderId="10" xfId="47" applyNumberFormat="1" applyFont="1" applyFill="1" applyBorder="1" applyAlignment="1">
      <alignment horizontal="center"/>
    </xf>
    <xf numFmtId="166" fontId="59" fillId="36" borderId="0" xfId="47" applyNumberFormat="1" applyFont="1" applyFill="1" applyBorder="1" applyAlignment="1">
      <alignment horizontal="center"/>
    </xf>
    <xf numFmtId="0" fontId="1" fillId="36" borderId="0" xfId="47" applyNumberFormat="1" applyFont="1" applyFill="1" applyAlignment="1">
      <alignment horizontal="center"/>
    </xf>
    <xf numFmtId="0" fontId="6" fillId="36" borderId="21" xfId="47" applyNumberFormat="1" applyFont="1" applyFill="1" applyBorder="1" applyAlignment="1">
      <alignment horizontal="center"/>
    </xf>
    <xf numFmtId="171" fontId="2" fillId="36" borderId="10" xfId="47" applyNumberFormat="1" applyFont="1" applyFill="1" applyBorder="1" applyAlignment="1">
      <alignment horizontal="center"/>
    </xf>
    <xf numFmtId="175" fontId="1" fillId="36" borderId="10" xfId="39" applyNumberFormat="1" applyFill="1" applyBorder="1" applyAlignment="1">
      <alignment horizontal="center"/>
    </xf>
    <xf numFmtId="0" fontId="2" fillId="25" borderId="25" xfId="47" applyNumberFormat="1" applyFont="1" applyFill="1" applyBorder="1"/>
    <xf numFmtId="166" fontId="2" fillId="38" borderId="21" xfId="47" applyNumberFormat="1" applyFont="1" applyFill="1" applyBorder="1"/>
    <xf numFmtId="0" fontId="2" fillId="25" borderId="21" xfId="47" applyNumberFormat="1" applyFont="1" applyFill="1" applyBorder="1" applyAlignment="1">
      <alignment horizontal="left"/>
    </xf>
    <xf numFmtId="0" fontId="2" fillId="25" borderId="21" xfId="47" applyNumberFormat="1" applyFont="1" applyFill="1" applyBorder="1" applyAlignment="1">
      <alignment horizontal="center"/>
    </xf>
    <xf numFmtId="0" fontId="2" fillId="25" borderId="10" xfId="47" applyNumberFormat="1" applyFont="1" applyFill="1" applyBorder="1" applyAlignment="1">
      <alignment horizontal="center"/>
    </xf>
    <xf numFmtId="9" fontId="2" fillId="38" borderId="21" xfId="47" applyNumberFormat="1" applyFont="1" applyFill="1" applyBorder="1"/>
    <xf numFmtId="0" fontId="0" fillId="25" borderId="31" xfId="0" applyFill="1" applyBorder="1"/>
    <xf numFmtId="0" fontId="8" fillId="28" borderId="31" xfId="0" applyFont="1" applyFill="1" applyBorder="1" applyAlignment="1">
      <alignment horizontal="center" vertical="center" wrapText="1"/>
    </xf>
    <xf numFmtId="3" fontId="0" fillId="26" borderId="31" xfId="0" applyNumberFormat="1" applyFill="1" applyBorder="1" applyAlignment="1">
      <alignment horizontal="center" vertical="center" wrapText="1"/>
    </xf>
    <xf numFmtId="0" fontId="4" fillId="26" borderId="31" xfId="0" applyFont="1" applyFill="1" applyBorder="1" applyAlignment="1">
      <alignment horizontal="center" vertical="center" wrapText="1"/>
    </xf>
    <xf numFmtId="0" fontId="10" fillId="24" borderId="31" xfId="0" applyFont="1" applyFill="1" applyBorder="1" applyAlignment="1">
      <alignment horizontal="center" vertical="center" wrapText="1"/>
    </xf>
    <xf numFmtId="3" fontId="4" fillId="26" borderId="31" xfId="0" applyNumberFormat="1" applyFont="1" applyFill="1" applyBorder="1" applyAlignment="1">
      <alignment horizontal="center" vertical="center" wrapText="1"/>
    </xf>
    <xf numFmtId="10" fontId="0" fillId="26" borderId="31" xfId="50" applyNumberFormat="1" applyFont="1" applyFill="1" applyBorder="1" applyAlignment="1">
      <alignment horizontal="center" vertical="center" wrapText="1"/>
    </xf>
    <xf numFmtId="0" fontId="10" fillId="25" borderId="31" xfId="0" applyFont="1" applyFill="1" applyBorder="1" applyAlignment="1">
      <alignment horizontal="center" vertical="center" wrapText="1"/>
    </xf>
    <xf numFmtId="0" fontId="4" fillId="25" borderId="31" xfId="0" applyFont="1" applyFill="1" applyBorder="1"/>
    <xf numFmtId="0" fontId="8" fillId="24" borderId="31" xfId="0" applyFont="1" applyFill="1" applyBorder="1" applyAlignment="1">
      <alignment vertical="center"/>
    </xf>
    <xf numFmtId="10" fontId="0" fillId="32" borderId="31" xfId="0" applyNumberFormat="1" applyFill="1" applyBorder="1" applyAlignment="1">
      <alignment horizontal="center" vertical="center"/>
    </xf>
    <xf numFmtId="9" fontId="0" fillId="26" borderId="31" xfId="0" applyNumberFormat="1" applyFill="1" applyBorder="1" applyAlignment="1">
      <alignment horizontal="center" vertical="center"/>
    </xf>
    <xf numFmtId="2" fontId="4" fillId="27" borderId="10" xfId="35" applyNumberFormat="1" applyFont="1" applyFill="1" applyBorder="1" applyAlignment="1">
      <alignment horizontal="right" vertical="center" wrapText="1"/>
    </xf>
    <xf numFmtId="3" fontId="4" fillId="29" borderId="10" xfId="0" applyNumberFormat="1" applyFont="1" applyFill="1" applyBorder="1" applyAlignment="1">
      <alignment horizontal="center" vertical="center" wrapText="1"/>
    </xf>
    <xf numFmtId="10" fontId="1" fillId="27" borderId="10" xfId="50" applyNumberFormat="1" applyFont="1" applyFill="1" applyBorder="1" applyAlignment="1">
      <alignment horizontal="right" vertical="center" wrapText="1"/>
    </xf>
    <xf numFmtId="0" fontId="83" fillId="39" borderId="32" xfId="0" applyFont="1" applyFill="1" applyBorder="1" applyAlignment="1">
      <alignment horizontal="left" vertical="center"/>
    </xf>
    <xf numFmtId="0" fontId="83" fillId="39" borderId="33" xfId="0" applyFont="1" applyFill="1" applyBorder="1" applyAlignment="1">
      <alignment horizontal="left" vertical="center"/>
    </xf>
    <xf numFmtId="3" fontId="1" fillId="36" borderId="11" xfId="0" applyNumberFormat="1" applyFont="1" applyFill="1" applyBorder="1" applyAlignment="1">
      <alignment horizontal="left" vertical="center" wrapText="1"/>
    </xf>
    <xf numFmtId="3" fontId="4" fillId="36" borderId="26" xfId="0" applyNumberFormat="1" applyFont="1" applyFill="1" applyBorder="1" applyAlignment="1">
      <alignment horizontal="left" vertical="center" wrapText="1"/>
    </xf>
    <xf numFmtId="3" fontId="4" fillId="36" borderId="21" xfId="0" applyNumberFormat="1" applyFont="1" applyFill="1" applyBorder="1" applyAlignment="1">
      <alignment horizontal="left" vertical="center" wrapText="1"/>
    </xf>
    <xf numFmtId="3" fontId="1" fillId="36" borderId="26" xfId="0" applyNumberFormat="1" applyFont="1" applyFill="1" applyBorder="1" applyAlignment="1">
      <alignment vertical="center" wrapText="1"/>
    </xf>
    <xf numFmtId="3" fontId="1" fillId="36" borderId="21" xfId="0" applyNumberFormat="1" applyFont="1" applyFill="1" applyBorder="1" applyAlignment="1">
      <alignment vertical="center" wrapText="1"/>
    </xf>
    <xf numFmtId="9" fontId="0" fillId="36" borderId="31" xfId="0" applyNumberFormat="1" applyFill="1" applyBorder="1" applyAlignment="1">
      <alignment horizontal="center" vertical="center"/>
    </xf>
    <xf numFmtId="10" fontId="0" fillId="36" borderId="31" xfId="50" applyNumberFormat="1" applyFont="1" applyFill="1" applyBorder="1" applyAlignment="1">
      <alignment horizontal="center" vertical="center"/>
    </xf>
    <xf numFmtId="10" fontId="0" fillId="36" borderId="31" xfId="0" applyNumberFormat="1" applyFill="1" applyBorder="1" applyAlignment="1">
      <alignment horizontal="center" vertical="center"/>
    </xf>
    <xf numFmtId="8" fontId="14" fillId="36" borderId="31" xfId="47" applyNumberFormat="1" applyFont="1" applyFill="1" applyBorder="1" applyAlignment="1">
      <alignment horizontal="center"/>
    </xf>
    <xf numFmtId="167" fontId="0" fillId="27" borderId="10" xfId="0" applyNumberFormat="1" applyFill="1" applyBorder="1" applyAlignment="1">
      <alignment horizontal="center" vertical="center" wrapText="1"/>
    </xf>
    <xf numFmtId="8" fontId="0" fillId="25" borderId="31" xfId="0" applyNumberFormat="1" applyFill="1" applyBorder="1"/>
    <xf numFmtId="0" fontId="8" fillId="24" borderId="11" xfId="0" applyFont="1" applyFill="1" applyBorder="1" applyAlignment="1">
      <alignment horizontal="center" wrapText="1"/>
    </xf>
    <xf numFmtId="0" fontId="84" fillId="24" borderId="31" xfId="0" applyFont="1" applyFill="1" applyBorder="1" applyAlignment="1">
      <alignment horizontal="center" vertical="center" wrapText="1"/>
    </xf>
    <xf numFmtId="0" fontId="0" fillId="36" borderId="0" xfId="0" applyFill="1"/>
    <xf numFmtId="0" fontId="2" fillId="36" borderId="0" xfId="0" applyFont="1" applyFill="1"/>
    <xf numFmtId="0" fontId="86" fillId="0" borderId="31" xfId="0" applyFont="1" applyBorder="1"/>
    <xf numFmtId="9" fontId="87" fillId="38" borderId="31" xfId="50" applyFont="1" applyFill="1" applyBorder="1" applyAlignment="1">
      <alignment horizontal="center"/>
    </xf>
    <xf numFmtId="0" fontId="86" fillId="36" borderId="31" xfId="0" applyFont="1" applyFill="1" applyBorder="1"/>
    <xf numFmtId="0" fontId="88" fillId="24" borderId="34" xfId="0" applyFont="1" applyFill="1" applyBorder="1" applyAlignment="1"/>
    <xf numFmtId="10" fontId="86" fillId="32" borderId="31" xfId="0" applyNumberFormat="1" applyFont="1" applyFill="1" applyBorder="1" applyAlignment="1">
      <alignment horizontal="center"/>
    </xf>
    <xf numFmtId="10" fontId="86" fillId="32" borderId="31" xfId="50" applyNumberFormat="1" applyFont="1" applyFill="1" applyBorder="1" applyAlignment="1">
      <alignment horizontal="center"/>
    </xf>
    <xf numFmtId="0" fontId="88" fillId="38" borderId="31" xfId="0" applyFont="1" applyFill="1" applyBorder="1" applyAlignment="1">
      <alignment horizontal="center"/>
    </xf>
    <xf numFmtId="0" fontId="87" fillId="41" borderId="31" xfId="0" applyFont="1" applyFill="1" applyBorder="1"/>
    <xf numFmtId="0" fontId="88" fillId="24" borderId="31" xfId="0" applyFont="1" applyFill="1" applyBorder="1" applyAlignment="1"/>
    <xf numFmtId="191" fontId="89" fillId="0" borderId="31" xfId="35" applyNumberFormat="1" applyFont="1" applyBorder="1"/>
    <xf numFmtId="0" fontId="88" fillId="24" borderId="31" xfId="0" applyFont="1" applyFill="1" applyBorder="1"/>
    <xf numFmtId="3" fontId="86" fillId="26" borderId="31" xfId="50" applyNumberFormat="1" applyFont="1" applyFill="1" applyBorder="1"/>
    <xf numFmtId="0" fontId="85" fillId="0" borderId="31" xfId="0" applyFont="1" applyFill="1" applyBorder="1"/>
    <xf numFmtId="0" fontId="88" fillId="36" borderId="31" xfId="0" applyFont="1" applyFill="1" applyBorder="1" applyAlignment="1"/>
    <xf numFmtId="0" fontId="88" fillId="36" borderId="31" xfId="0" applyFont="1" applyFill="1" applyBorder="1"/>
    <xf numFmtId="0" fontId="87" fillId="38" borderId="34" xfId="0" applyFont="1" applyFill="1" applyBorder="1" applyAlignment="1"/>
    <xf numFmtId="0" fontId="87" fillId="38" borderId="35" xfId="0" applyFont="1" applyFill="1" applyBorder="1" applyAlignment="1"/>
    <xf numFmtId="3" fontId="86" fillId="36" borderId="31" xfId="50" applyNumberFormat="1" applyFont="1" applyFill="1" applyBorder="1"/>
    <xf numFmtId="3" fontId="86" fillId="36" borderId="31" xfId="35" applyNumberFormat="1" applyFont="1" applyFill="1" applyBorder="1"/>
    <xf numFmtId="4" fontId="86" fillId="26" borderId="31" xfId="50" applyNumberFormat="1" applyFont="1" applyFill="1" applyBorder="1"/>
    <xf numFmtId="0" fontId="87" fillId="36" borderId="34" xfId="0" applyFont="1" applyFill="1" applyBorder="1" applyAlignment="1"/>
    <xf numFmtId="3" fontId="86" fillId="40" borderId="31" xfId="50" applyNumberFormat="1" applyFont="1" applyFill="1" applyBorder="1"/>
    <xf numFmtId="3" fontId="86" fillId="38" borderId="31" xfId="50" applyNumberFormat="1" applyFont="1" applyFill="1" applyBorder="1"/>
    <xf numFmtId="171" fontId="86" fillId="36" borderId="31" xfId="35" applyNumberFormat="1" applyFont="1" applyFill="1" applyBorder="1"/>
    <xf numFmtId="9" fontId="86" fillId="38" borderId="31" xfId="50" applyFont="1" applyFill="1" applyBorder="1"/>
    <xf numFmtId="3" fontId="86" fillId="42" borderId="31" xfId="50" applyNumberFormat="1" applyFont="1" applyFill="1" applyBorder="1"/>
    <xf numFmtId="0" fontId="90" fillId="36" borderId="31" xfId="0" applyFont="1" applyFill="1" applyBorder="1" applyAlignment="1"/>
    <xf numFmtId="4" fontId="86" fillId="42" borderId="31" xfId="50" applyNumberFormat="1" applyFont="1" applyFill="1" applyBorder="1"/>
    <xf numFmtId="167" fontId="86" fillId="40" borderId="31" xfId="50" applyNumberFormat="1" applyFont="1" applyFill="1" applyBorder="1"/>
    <xf numFmtId="4" fontId="86" fillId="40" borderId="31" xfId="50" applyNumberFormat="1" applyFont="1" applyFill="1" applyBorder="1"/>
    <xf numFmtId="167" fontId="86" fillId="26" borderId="31" xfId="50" applyNumberFormat="1" applyFont="1" applyFill="1" applyBorder="1"/>
    <xf numFmtId="166" fontId="86" fillId="38" borderId="31" xfId="50" applyNumberFormat="1" applyFont="1" applyFill="1" applyBorder="1"/>
    <xf numFmtId="9" fontId="86" fillId="36" borderId="31" xfId="50" applyFont="1" applyFill="1" applyBorder="1"/>
    <xf numFmtId="0" fontId="87" fillId="36" borderId="35" xfId="0" applyFont="1" applyFill="1" applyBorder="1" applyAlignment="1"/>
    <xf numFmtId="0" fontId="8" fillId="36" borderId="11" xfId="0" applyFont="1" applyFill="1" applyBorder="1" applyAlignment="1">
      <alignment horizontal="center" wrapText="1"/>
    </xf>
    <xf numFmtId="191" fontId="89" fillId="36" borderId="31" xfId="35" applyNumberFormat="1" applyFont="1" applyFill="1" applyBorder="1"/>
    <xf numFmtId="4" fontId="86" fillId="36" borderId="31" xfId="50" applyNumberFormat="1" applyFont="1" applyFill="1" applyBorder="1"/>
    <xf numFmtId="0" fontId="85" fillId="36" borderId="31" xfId="0" applyFont="1" applyFill="1" applyBorder="1"/>
    <xf numFmtId="8" fontId="60" fillId="36" borderId="0" xfId="47" applyNumberFormat="1" applyFont="1" applyFill="1" applyBorder="1" applyAlignment="1">
      <alignment horizontal="center"/>
    </xf>
    <xf numFmtId="0" fontId="87" fillId="24" borderId="31" xfId="0" applyFont="1" applyFill="1" applyBorder="1"/>
    <xf numFmtId="3" fontId="86" fillId="36" borderId="0" xfId="50" applyNumberFormat="1" applyFont="1" applyFill="1" applyBorder="1"/>
    <xf numFmtId="3" fontId="86" fillId="36" borderId="35" xfId="50" applyNumberFormat="1" applyFont="1" applyFill="1" applyBorder="1"/>
    <xf numFmtId="0" fontId="88" fillId="36" borderId="34" xfId="0" applyFont="1" applyFill="1" applyBorder="1"/>
    <xf numFmtId="0" fontId="88" fillId="36" borderId="0" xfId="0" applyFont="1" applyFill="1" applyBorder="1" applyAlignment="1"/>
    <xf numFmtId="10" fontId="86" fillId="36" borderId="0" xfId="0" applyNumberFormat="1" applyFont="1" applyFill="1" applyBorder="1" applyAlignment="1">
      <alignment horizontal="center"/>
    </xf>
    <xf numFmtId="9" fontId="1" fillId="40" borderId="10" xfId="50" applyFont="1" applyFill="1" applyBorder="1" applyAlignment="1">
      <alignment horizontal="right" vertical="center" wrapText="1"/>
    </xf>
    <xf numFmtId="9" fontId="86" fillId="42" borderId="31" xfId="50" applyFont="1" applyFill="1" applyBorder="1"/>
    <xf numFmtId="0" fontId="86" fillId="36" borderId="0" xfId="0" applyFont="1" applyFill="1" applyBorder="1" applyAlignment="1"/>
    <xf numFmtId="10" fontId="86" fillId="36" borderId="35" xfId="0" applyNumberFormat="1" applyFont="1" applyFill="1" applyBorder="1" applyAlignment="1">
      <alignment horizontal="center"/>
    </xf>
    <xf numFmtId="8" fontId="86" fillId="32" borderId="31" xfId="0" applyNumberFormat="1" applyFont="1" applyFill="1" applyBorder="1" applyAlignment="1">
      <alignment horizontal="center"/>
    </xf>
    <xf numFmtId="8" fontId="86" fillId="32" borderId="31" xfId="50" applyNumberFormat="1" applyFont="1" applyFill="1" applyBorder="1" applyAlignment="1">
      <alignment horizontal="center"/>
    </xf>
    <xf numFmtId="0" fontId="8" fillId="36" borderId="31" xfId="0" applyFont="1" applyFill="1" applyBorder="1" applyAlignment="1">
      <alignment vertical="center"/>
    </xf>
    <xf numFmtId="9" fontId="4" fillId="36" borderId="31" xfId="50" applyNumberFormat="1" applyFont="1" applyFill="1" applyBorder="1" applyAlignment="1">
      <alignment horizontal="right" vertical="center"/>
    </xf>
    <xf numFmtId="10" fontId="0" fillId="36" borderId="31" xfId="0" applyNumberFormat="1" applyFill="1" applyBorder="1" applyAlignment="1">
      <alignment horizontal="right" vertical="center"/>
    </xf>
    <xf numFmtId="0" fontId="0" fillId="36" borderId="31" xfId="0" applyFill="1" applyBorder="1"/>
    <xf numFmtId="10" fontId="1" fillId="36" borderId="10" xfId="50" applyNumberFormat="1" applyFont="1" applyFill="1" applyBorder="1" applyAlignment="1">
      <alignment horizontal="right" vertical="center" wrapText="1"/>
    </xf>
    <xf numFmtId="1" fontId="1" fillId="36" borderId="10" xfId="50" applyNumberFormat="1" applyFont="1" applyFill="1" applyBorder="1" applyAlignment="1">
      <alignment horizontal="right" vertical="center" wrapText="1"/>
    </xf>
    <xf numFmtId="3" fontId="71" fillId="29" borderId="10" xfId="0" applyNumberFormat="1" applyFont="1" applyFill="1" applyBorder="1" applyAlignment="1">
      <alignment horizontal="left" vertical="center" wrapText="1"/>
    </xf>
    <xf numFmtId="4" fontId="71" fillId="29" borderId="10" xfId="0" applyNumberFormat="1" applyFont="1" applyFill="1" applyBorder="1" applyAlignment="1">
      <alignment horizontal="left" vertical="center" wrapText="1"/>
    </xf>
    <xf numFmtId="0" fontId="22" fillId="33" borderId="0" xfId="45" applyFont="1" applyFill="1" applyAlignment="1">
      <alignment horizontal="center" vertical="top" wrapText="1" readingOrder="1"/>
    </xf>
    <xf numFmtId="3" fontId="1" fillId="27" borderId="11" xfId="35" applyNumberFormat="1" applyFont="1" applyFill="1" applyBorder="1" applyAlignment="1">
      <alignment horizontal="right" vertical="center" wrapText="1"/>
    </xf>
    <xf numFmtId="0" fontId="87" fillId="41" borderId="34" xfId="0" applyFont="1" applyFill="1" applyBorder="1" applyAlignment="1"/>
    <xf numFmtId="0" fontId="87" fillId="41" borderId="35" xfId="0" applyFont="1" applyFill="1" applyBorder="1" applyAlignment="1"/>
    <xf numFmtId="0" fontId="0" fillId="36" borderId="0" xfId="0" applyFill="1" applyAlignment="1">
      <alignment horizontal="center"/>
    </xf>
    <xf numFmtId="0" fontId="8" fillId="28" borderId="10" xfId="0" applyFont="1" applyFill="1" applyBorder="1" applyAlignment="1">
      <alignment horizontal="center" vertical="center" wrapText="1"/>
    </xf>
    <xf numFmtId="0" fontId="8" fillId="28" borderId="11" xfId="0" applyFont="1" applyFill="1" applyBorder="1" applyAlignment="1">
      <alignment horizontal="center" vertical="center" wrapText="1"/>
    </xf>
    <xf numFmtId="0" fontId="8" fillId="28" borderId="21" xfId="0" applyFont="1" applyFill="1" applyBorder="1" applyAlignment="1">
      <alignment horizontal="center" vertical="center" wrapText="1"/>
    </xf>
    <xf numFmtId="3" fontId="0" fillId="43" borderId="11" xfId="35" applyNumberFormat="1" applyFont="1" applyFill="1" applyBorder="1" applyAlignment="1">
      <alignment horizontal="right" vertical="center" wrapText="1"/>
    </xf>
    <xf numFmtId="8" fontId="1" fillId="25" borderId="0" xfId="47" applyNumberFormat="1" applyFont="1" applyFill="1"/>
    <xf numFmtId="0" fontId="8" fillId="24" borderId="10" xfId="0" applyFont="1" applyFill="1" applyBorder="1" applyAlignment="1">
      <alignment horizontal="left" vertical="center" wrapText="1"/>
    </xf>
    <xf numFmtId="3" fontId="0" fillId="25" borderId="10" xfId="0" applyNumberFormat="1" applyFill="1" applyBorder="1"/>
    <xf numFmtId="3" fontId="4" fillId="29" borderId="10" xfId="35" applyNumberFormat="1" applyFont="1" applyFill="1" applyBorder="1" applyAlignment="1">
      <alignment horizontal="right" vertical="center" wrapText="1"/>
    </xf>
    <xf numFmtId="166" fontId="60" fillId="28" borderId="21" xfId="47" applyNumberFormat="1" applyFont="1" applyFill="1" applyBorder="1" applyAlignment="1">
      <alignment horizontal="center"/>
    </xf>
    <xf numFmtId="0" fontId="1" fillId="29" borderId="23" xfId="35" applyNumberFormat="1" applyFont="1" applyFill="1" applyBorder="1" applyAlignment="1">
      <alignment horizontal="left" vertical="center" wrapText="1"/>
    </xf>
    <xf numFmtId="0" fontId="1" fillId="29" borderId="12" xfId="35" applyNumberFormat="1" applyFont="1" applyFill="1" applyBorder="1" applyAlignment="1">
      <alignment horizontal="left" vertical="center" wrapText="1"/>
    </xf>
    <xf numFmtId="0" fontId="1" fillId="29" borderId="13" xfId="35" applyNumberFormat="1" applyFont="1" applyFill="1" applyBorder="1" applyAlignment="1">
      <alignment horizontal="left" vertical="center" wrapText="1"/>
    </xf>
    <xf numFmtId="0" fontId="1" fillId="29" borderId="19" xfId="35" applyNumberFormat="1" applyFont="1" applyFill="1" applyBorder="1" applyAlignment="1">
      <alignment horizontal="left" vertical="center" wrapText="1"/>
    </xf>
    <xf numFmtId="0" fontId="1" fillId="29" borderId="10" xfId="35" applyNumberFormat="1" applyFont="1" applyFill="1" applyBorder="1" applyAlignment="1">
      <alignment horizontal="left" vertical="center" wrapText="1"/>
    </xf>
    <xf numFmtId="0" fontId="0" fillId="29" borderId="10" xfId="35" applyNumberFormat="1" applyFont="1" applyFill="1" applyBorder="1" applyAlignment="1">
      <alignment horizontal="left" vertical="center" wrapText="1"/>
    </xf>
    <xf numFmtId="0" fontId="8" fillId="24" borderId="11" xfId="0" applyFont="1" applyFill="1" applyBorder="1" applyAlignment="1">
      <alignment horizontal="left" vertical="center" wrapText="1"/>
    </xf>
    <xf numFmtId="0" fontId="8" fillId="24" borderId="21" xfId="0" applyFont="1" applyFill="1" applyBorder="1" applyAlignment="1">
      <alignment horizontal="left" vertical="center" wrapText="1"/>
    </xf>
    <xf numFmtId="0" fontId="8" fillId="24" borderId="23" xfId="0" applyFont="1" applyFill="1" applyBorder="1" applyAlignment="1">
      <alignment horizontal="left" vertical="center" wrapText="1"/>
    </xf>
    <xf numFmtId="0" fontId="8" fillId="24" borderId="25" xfId="0" applyFont="1" applyFill="1" applyBorder="1" applyAlignment="1">
      <alignment horizontal="left" vertical="center" wrapText="1"/>
    </xf>
    <xf numFmtId="0" fontId="8" fillId="24" borderId="27" xfId="0" applyFont="1" applyFill="1" applyBorder="1" applyAlignment="1">
      <alignment horizontal="left" vertical="center" wrapText="1"/>
    </xf>
    <xf numFmtId="0" fontId="8" fillId="24" borderId="28" xfId="0" applyFont="1" applyFill="1" applyBorder="1" applyAlignment="1">
      <alignment horizontal="left" vertical="center" wrapText="1"/>
    </xf>
    <xf numFmtId="0" fontId="8" fillId="24" borderId="12" xfId="0" applyFont="1" applyFill="1" applyBorder="1" applyAlignment="1">
      <alignment horizontal="left" vertical="center" wrapText="1"/>
    </xf>
    <xf numFmtId="0" fontId="8" fillId="24" borderId="19" xfId="0" applyFont="1" applyFill="1" applyBorder="1" applyAlignment="1">
      <alignment horizontal="left" vertical="center" wrapText="1"/>
    </xf>
    <xf numFmtId="0" fontId="1" fillId="29" borderId="23" xfId="35" applyNumberFormat="1" applyFont="1" applyFill="1" applyBorder="1" applyAlignment="1">
      <alignment horizontal="left" vertical="center" wrapText="1"/>
    </xf>
    <xf numFmtId="0" fontId="1" fillId="29" borderId="29" xfId="35" applyNumberFormat="1" applyFont="1" applyFill="1" applyBorder="1" applyAlignment="1">
      <alignment horizontal="left" vertical="center" wrapText="1"/>
    </xf>
    <xf numFmtId="0" fontId="1" fillId="29" borderId="25" xfId="35" applyNumberFormat="1" applyFont="1" applyFill="1" applyBorder="1" applyAlignment="1">
      <alignment horizontal="left" vertical="center" wrapText="1"/>
    </xf>
    <xf numFmtId="0" fontId="1" fillId="29" borderId="27" xfId="35" applyNumberFormat="1" applyFont="1" applyFill="1" applyBorder="1" applyAlignment="1">
      <alignment horizontal="left" vertical="center" wrapText="1"/>
    </xf>
    <xf numFmtId="0" fontId="1" fillId="29" borderId="0" xfId="35" applyNumberFormat="1" applyFont="1" applyFill="1" applyBorder="1" applyAlignment="1">
      <alignment horizontal="left" vertical="center" wrapText="1"/>
    </xf>
    <xf numFmtId="0" fontId="1" fillId="29" borderId="28" xfId="35" applyNumberFormat="1" applyFont="1" applyFill="1" applyBorder="1" applyAlignment="1">
      <alignment horizontal="left" vertical="center" wrapText="1"/>
    </xf>
    <xf numFmtId="0" fontId="1" fillId="29" borderId="12" xfId="35" applyNumberFormat="1" applyFont="1" applyFill="1" applyBorder="1" applyAlignment="1">
      <alignment horizontal="left" vertical="center" wrapText="1"/>
    </xf>
    <xf numFmtId="0" fontId="1" fillId="29" borderId="13" xfId="35" applyNumberFormat="1" applyFont="1" applyFill="1" applyBorder="1" applyAlignment="1">
      <alignment horizontal="left" vertical="center" wrapText="1"/>
    </xf>
    <xf numFmtId="0" fontId="1" fillId="29" borderId="19" xfId="35" applyNumberFormat="1" applyFont="1" applyFill="1" applyBorder="1" applyAlignment="1">
      <alignment horizontal="left" vertical="center" wrapText="1"/>
    </xf>
    <xf numFmtId="3" fontId="1" fillId="29" borderId="11" xfId="0" applyNumberFormat="1" applyFont="1" applyFill="1" applyBorder="1" applyAlignment="1">
      <alignment horizontal="left" vertical="center" wrapText="1"/>
    </xf>
    <xf numFmtId="3" fontId="1" fillId="29" borderId="26" xfId="0" applyNumberFormat="1" applyFont="1" applyFill="1" applyBorder="1" applyAlignment="1">
      <alignment horizontal="left" vertical="center" wrapText="1"/>
    </xf>
    <xf numFmtId="3" fontId="1" fillId="29" borderId="21" xfId="0" applyNumberFormat="1" applyFont="1" applyFill="1" applyBorder="1" applyAlignment="1">
      <alignment horizontal="left" vertical="center" wrapText="1"/>
    </xf>
    <xf numFmtId="0" fontId="1" fillId="29" borderId="11" xfId="35" applyNumberFormat="1" applyFont="1" applyFill="1" applyBorder="1" applyAlignment="1">
      <alignment horizontal="left" vertical="center" wrapText="1"/>
    </xf>
    <xf numFmtId="0" fontId="1" fillId="29" borderId="26" xfId="35" applyNumberFormat="1" applyFont="1" applyFill="1" applyBorder="1" applyAlignment="1">
      <alignment horizontal="left" vertical="center" wrapText="1"/>
    </xf>
    <xf numFmtId="0" fontId="1" fillId="29" borderId="21" xfId="35" applyNumberFormat="1" applyFont="1" applyFill="1" applyBorder="1" applyAlignment="1">
      <alignment horizontal="left" vertical="center" wrapText="1"/>
    </xf>
    <xf numFmtId="0" fontId="8" fillId="28" borderId="11" xfId="0" applyFont="1" applyFill="1" applyBorder="1" applyAlignment="1">
      <alignment horizontal="center" vertical="center" wrapText="1"/>
    </xf>
    <xf numFmtId="0" fontId="8" fillId="28" borderId="26" xfId="0" applyFont="1" applyFill="1" applyBorder="1" applyAlignment="1">
      <alignment horizontal="center" vertical="center" wrapText="1"/>
    </xf>
    <xf numFmtId="0" fontId="8" fillId="28" borderId="21" xfId="0" applyFont="1" applyFill="1" applyBorder="1" applyAlignment="1">
      <alignment horizontal="center" vertical="center" wrapText="1"/>
    </xf>
    <xf numFmtId="0" fontId="8" fillId="28" borderId="10" xfId="0" applyFont="1" applyFill="1" applyBorder="1" applyAlignment="1">
      <alignment horizontal="center" vertical="center" wrapText="1"/>
    </xf>
    <xf numFmtId="3" fontId="4" fillId="29" borderId="10" xfId="0" applyNumberFormat="1" applyFont="1" applyFill="1" applyBorder="1" applyAlignment="1">
      <alignment horizontal="center" vertical="center" wrapText="1"/>
    </xf>
    <xf numFmtId="0" fontId="4" fillId="29" borderId="11" xfId="35" applyNumberFormat="1" applyFont="1" applyFill="1" applyBorder="1" applyAlignment="1">
      <alignment horizontal="left" vertical="center" wrapText="1"/>
    </xf>
    <xf numFmtId="0" fontId="4" fillId="29" borderId="26" xfId="35" applyNumberFormat="1" applyFont="1" applyFill="1" applyBorder="1" applyAlignment="1">
      <alignment horizontal="left" vertical="center" wrapText="1"/>
    </xf>
    <xf numFmtId="0" fontId="4" fillId="29" borderId="21" xfId="35" applyNumberFormat="1" applyFont="1" applyFill="1" applyBorder="1" applyAlignment="1">
      <alignment horizontal="left" vertical="center" wrapText="1"/>
    </xf>
    <xf numFmtId="0" fontId="8" fillId="24" borderId="10" xfId="0" applyFont="1" applyFill="1" applyBorder="1" applyAlignment="1">
      <alignment horizontal="left" vertical="center" wrapText="1"/>
    </xf>
    <xf numFmtId="3" fontId="4" fillId="29" borderId="26" xfId="0" applyNumberFormat="1" applyFont="1" applyFill="1" applyBorder="1" applyAlignment="1">
      <alignment horizontal="left" vertical="center" wrapText="1"/>
    </xf>
    <xf numFmtId="3" fontId="4" fillId="29" borderId="21" xfId="0" applyNumberFormat="1" applyFont="1" applyFill="1" applyBorder="1" applyAlignment="1">
      <alignment horizontal="left" vertical="center" wrapText="1"/>
    </xf>
    <xf numFmtId="3" fontId="1" fillId="29" borderId="11" xfId="0" applyNumberFormat="1" applyFont="1" applyFill="1" applyBorder="1" applyAlignment="1">
      <alignment horizontal="left" vertical="center"/>
    </xf>
    <xf numFmtId="3" fontId="1" fillId="29" borderId="26" xfId="0" applyNumberFormat="1" applyFont="1" applyFill="1" applyBorder="1" applyAlignment="1">
      <alignment horizontal="left" vertical="center"/>
    </xf>
    <xf numFmtId="0" fontId="0" fillId="29" borderId="11" xfId="35" applyNumberFormat="1" applyFont="1" applyFill="1" applyBorder="1" applyAlignment="1">
      <alignment horizontal="left" vertical="center" wrapText="1"/>
    </xf>
    <xf numFmtId="0" fontId="0" fillId="29" borderId="26" xfId="35" applyNumberFormat="1" applyFont="1" applyFill="1" applyBorder="1" applyAlignment="1">
      <alignment horizontal="left" vertical="center" wrapText="1"/>
    </xf>
    <xf numFmtId="0" fontId="0" fillId="29" borderId="21" xfId="35" applyNumberFormat="1" applyFont="1" applyFill="1" applyBorder="1" applyAlignment="1">
      <alignment horizontal="left" vertical="center" wrapText="1"/>
    </xf>
    <xf numFmtId="0" fontId="8" fillId="24" borderId="11" xfId="0" applyFont="1" applyFill="1" applyBorder="1" applyAlignment="1">
      <alignment horizontal="left" wrapText="1"/>
    </xf>
    <xf numFmtId="0" fontId="8" fillId="24" borderId="21" xfId="0" applyFont="1" applyFill="1" applyBorder="1" applyAlignment="1">
      <alignment horizontal="left" wrapText="1"/>
    </xf>
    <xf numFmtId="0" fontId="1" fillId="29" borderId="11" xfId="35" applyNumberFormat="1" applyFont="1" applyFill="1" applyBorder="1" applyAlignment="1">
      <alignment horizontal="center" vertical="center" wrapText="1"/>
    </xf>
    <xf numFmtId="0" fontId="1" fillId="29" borderId="26" xfId="35" applyNumberFormat="1" applyFont="1" applyFill="1" applyBorder="1" applyAlignment="1">
      <alignment horizontal="center" vertical="center" wrapText="1"/>
    </xf>
    <xf numFmtId="0" fontId="1" fillId="29" borderId="21" xfId="35" applyNumberFormat="1" applyFont="1" applyFill="1" applyBorder="1" applyAlignment="1">
      <alignment horizontal="center" vertical="center" wrapText="1"/>
    </xf>
    <xf numFmtId="0" fontId="8" fillId="28" borderId="31" xfId="0" applyFont="1" applyFill="1" applyBorder="1" applyAlignment="1">
      <alignment horizontal="center" vertical="center" wrapText="1"/>
    </xf>
    <xf numFmtId="3" fontId="72" fillId="28" borderId="31" xfId="0" applyNumberFormat="1" applyFont="1" applyFill="1" applyBorder="1" applyAlignment="1">
      <alignment horizontal="center" vertical="center" wrapText="1"/>
    </xf>
    <xf numFmtId="0" fontId="8" fillId="24" borderId="31" xfId="0" applyFont="1" applyFill="1" applyBorder="1" applyAlignment="1">
      <alignment horizontal="center" vertical="center" wrapText="1"/>
    </xf>
    <xf numFmtId="0" fontId="14" fillId="28" borderId="10" xfId="0" applyFont="1" applyFill="1" applyBorder="1" applyAlignment="1">
      <alignment horizontal="center" vertical="center" wrapText="1"/>
    </xf>
    <xf numFmtId="0" fontId="5" fillId="25" borderId="10" xfId="0" applyFont="1" applyFill="1" applyBorder="1" applyAlignment="1">
      <alignment horizontal="center"/>
    </xf>
    <xf numFmtId="0" fontId="2" fillId="25" borderId="10" xfId="0" applyFont="1" applyFill="1" applyBorder="1" applyAlignment="1">
      <alignment horizontal="center"/>
    </xf>
    <xf numFmtId="0" fontId="8" fillId="29" borderId="10" xfId="0" applyFont="1" applyFill="1" applyBorder="1" applyAlignment="1">
      <alignment horizontal="center"/>
    </xf>
    <xf numFmtId="0" fontId="11" fillId="0" borderId="10" xfId="0" applyFont="1" applyBorder="1"/>
    <xf numFmtId="0" fontId="0" fillId="25" borderId="0" xfId="0" applyFill="1" applyAlignment="1">
      <alignment horizontal="center"/>
    </xf>
    <xf numFmtId="0" fontId="2" fillId="25" borderId="0" xfId="0" applyFont="1" applyFill="1" applyAlignment="1">
      <alignment horizontal="center"/>
    </xf>
    <xf numFmtId="0" fontId="8" fillId="29" borderId="0" xfId="0" applyFont="1" applyFill="1" applyBorder="1" applyAlignment="1">
      <alignment horizontal="center"/>
    </xf>
    <xf numFmtId="0" fontId="8" fillId="28" borderId="0" xfId="0" applyFont="1" applyFill="1" applyBorder="1" applyAlignment="1">
      <alignment horizontal="center" vertical="center" wrapText="1"/>
    </xf>
    <xf numFmtId="0" fontId="5" fillId="25" borderId="0" xfId="0" applyFont="1" applyFill="1" applyAlignment="1">
      <alignment horizontal="center"/>
    </xf>
    <xf numFmtId="0" fontId="48" fillId="25" borderId="11" xfId="0" applyFont="1" applyFill="1" applyBorder="1" applyAlignment="1">
      <alignment horizontal="left" vertical="center" wrapText="1"/>
    </xf>
    <xf numFmtId="0" fontId="48" fillId="25" borderId="26" xfId="0" applyFont="1" applyFill="1" applyBorder="1" applyAlignment="1">
      <alignment horizontal="left" vertical="center" wrapText="1"/>
    </xf>
    <xf numFmtId="0" fontId="48" fillId="25" borderId="21" xfId="0" applyFont="1" applyFill="1" applyBorder="1" applyAlignment="1">
      <alignment horizontal="left" vertical="center" wrapText="1"/>
    </xf>
    <xf numFmtId="0" fontId="5" fillId="25" borderId="0" xfId="0" applyFont="1" applyFill="1" applyAlignment="1">
      <alignment horizontal="center" vertical="center" wrapText="1"/>
    </xf>
    <xf numFmtId="0" fontId="8" fillId="25" borderId="11" xfId="0" applyFont="1" applyFill="1" applyBorder="1" applyAlignment="1">
      <alignment horizontal="center" vertical="center" wrapText="1"/>
    </xf>
    <xf numFmtId="0" fontId="8" fillId="25" borderId="21" xfId="0" applyFont="1" applyFill="1" applyBorder="1" applyAlignment="1">
      <alignment horizontal="center" vertical="center" wrapText="1"/>
    </xf>
    <xf numFmtId="0" fontId="11" fillId="28" borderId="14" xfId="0" applyFont="1" applyFill="1" applyBorder="1" applyAlignment="1">
      <alignment horizontal="center" vertical="center" wrapText="1"/>
    </xf>
    <xf numFmtId="0" fontId="11" fillId="28" borderId="20" xfId="0" applyFont="1" applyFill="1" applyBorder="1" applyAlignment="1">
      <alignment horizontal="center" vertical="center" wrapText="1"/>
    </xf>
    <xf numFmtId="3" fontId="8" fillId="28" borderId="14" xfId="0" applyNumberFormat="1" applyFont="1" applyFill="1" applyBorder="1" applyAlignment="1">
      <alignment horizontal="center" vertical="center" wrapText="1"/>
    </xf>
    <xf numFmtId="3" fontId="8" fillId="28" borderId="20" xfId="0" applyNumberFormat="1" applyFont="1" applyFill="1" applyBorder="1" applyAlignment="1">
      <alignment horizontal="center" vertical="center" wrapText="1"/>
    </xf>
    <xf numFmtId="0" fontId="8" fillId="24" borderId="14" xfId="0" applyFont="1" applyFill="1" applyBorder="1" applyAlignment="1">
      <alignment horizontal="center" vertical="center" wrapText="1"/>
    </xf>
    <xf numFmtId="0" fontId="8" fillId="24" borderId="20" xfId="0" applyFont="1" applyFill="1" applyBorder="1" applyAlignment="1">
      <alignment horizontal="center" vertical="center" wrapText="1"/>
    </xf>
    <xf numFmtId="0" fontId="8" fillId="28" borderId="14" xfId="0" applyFont="1" applyFill="1" applyBorder="1" applyAlignment="1">
      <alignment horizontal="center" vertical="center" wrapText="1"/>
    </xf>
    <xf numFmtId="0" fontId="8" fillId="28" borderId="20" xfId="0" applyFont="1" applyFill="1" applyBorder="1" applyAlignment="1">
      <alignment horizontal="center" vertical="center" wrapText="1"/>
    </xf>
    <xf numFmtId="0" fontId="50" fillId="0" borderId="14" xfId="0" applyFont="1" applyBorder="1" applyAlignment="1">
      <alignment horizontal="center"/>
    </xf>
    <xf numFmtId="0" fontId="50" fillId="0" borderId="20" xfId="0" applyFont="1" applyBorder="1" applyAlignment="1">
      <alignment horizontal="center"/>
    </xf>
    <xf numFmtId="0" fontId="87" fillId="41" borderId="34" xfId="0" applyFont="1" applyFill="1" applyBorder="1" applyAlignment="1">
      <alignment horizontal="left"/>
    </xf>
    <xf numFmtId="0" fontId="87" fillId="41" borderId="35" xfId="0" applyFont="1" applyFill="1" applyBorder="1" applyAlignment="1">
      <alignment horizontal="left"/>
    </xf>
    <xf numFmtId="0" fontId="87" fillId="36" borderId="34" xfId="0" applyFont="1" applyFill="1" applyBorder="1" applyAlignment="1">
      <alignment horizontal="left"/>
    </xf>
    <xf numFmtId="0" fontId="87" fillId="36" borderId="35" xfId="0" applyFont="1" applyFill="1" applyBorder="1" applyAlignment="1">
      <alignment horizontal="left"/>
    </xf>
    <xf numFmtId="0" fontId="85" fillId="38" borderId="34" xfId="0" applyFont="1" applyFill="1" applyBorder="1" applyAlignment="1"/>
    <xf numFmtId="0" fontId="85" fillId="38" borderId="35" xfId="0" applyFont="1" applyFill="1" applyBorder="1" applyAlignment="1"/>
    <xf numFmtId="0" fontId="85" fillId="38" borderId="36" xfId="0" applyFont="1" applyFill="1" applyBorder="1" applyAlignment="1"/>
    <xf numFmtId="0" fontId="86" fillId="36" borderId="34" xfId="0" applyFont="1" applyFill="1" applyBorder="1" applyAlignment="1"/>
    <xf numFmtId="0" fontId="86" fillId="36" borderId="35" xfId="0" applyFont="1" applyFill="1" applyBorder="1" applyAlignment="1"/>
    <xf numFmtId="0" fontId="86" fillId="36" borderId="36" xfId="0" applyFont="1" applyFill="1" applyBorder="1" applyAlignment="1"/>
    <xf numFmtId="0" fontId="86" fillId="36" borderId="0" xfId="0" applyFont="1" applyFill="1" applyBorder="1" applyAlignment="1">
      <alignment horizontal="left" vertical="top" wrapText="1"/>
    </xf>
    <xf numFmtId="0" fontId="1" fillId="25" borderId="11" xfId="47" applyNumberFormat="1" applyFont="1" applyFill="1" applyBorder="1" applyAlignment="1">
      <alignment horizontal="center"/>
    </xf>
    <xf numFmtId="0" fontId="1" fillId="25" borderId="21" xfId="47" applyNumberFormat="1" applyFont="1" applyFill="1" applyBorder="1" applyAlignment="1">
      <alignment horizontal="center"/>
    </xf>
    <xf numFmtId="0" fontId="79" fillId="0" borderId="0" xfId="45" applyFont="1" applyAlignment="1">
      <alignment horizontal="center" vertical="top" wrapText="1" readingOrder="1"/>
    </xf>
    <xf numFmtId="0" fontId="22" fillId="33" borderId="0" xfId="45" applyFont="1" applyFill="1" applyAlignment="1">
      <alignment vertical="top" wrapText="1" readingOrder="1"/>
    </xf>
    <xf numFmtId="0" fontId="76" fillId="33" borderId="0" xfId="45" applyFont="1" applyFill="1" applyAlignment="1">
      <alignment vertical="top" wrapText="1" readingOrder="1"/>
    </xf>
    <xf numFmtId="181" fontId="76" fillId="33" borderId="0" xfId="45" applyNumberFormat="1" applyFont="1" applyFill="1" applyAlignment="1">
      <alignment horizontal="center" vertical="top" wrapText="1" readingOrder="1"/>
    </xf>
    <xf numFmtId="0" fontId="22" fillId="33" borderId="0" xfId="45" applyFont="1" applyFill="1" applyAlignment="1">
      <alignment horizontal="center" vertical="top" wrapText="1" readingOrder="1"/>
    </xf>
    <xf numFmtId="0" fontId="76" fillId="33" borderId="0" xfId="45" applyFont="1" applyFill="1" applyAlignment="1">
      <alignment horizontal="center" vertical="top" wrapText="1" readingOrder="1"/>
    </xf>
    <xf numFmtId="180" fontId="76" fillId="33" borderId="0" xfId="45" applyNumberFormat="1" applyFont="1" applyFill="1" applyAlignment="1">
      <alignment horizontal="center" vertical="top" wrapText="1" readingOrder="1"/>
    </xf>
    <xf numFmtId="0" fontId="79" fillId="0" borderId="0" xfId="45" applyFont="1" applyAlignment="1">
      <alignment vertical="top" wrapText="1" readingOrder="1"/>
    </xf>
    <xf numFmtId="0" fontId="77" fillId="0" borderId="0" xfId="45" applyFont="1" applyAlignment="1">
      <alignment vertical="top" wrapText="1" readingOrder="1"/>
    </xf>
    <xf numFmtId="180" fontId="77" fillId="25" borderId="0" xfId="45" applyNumberFormat="1" applyFont="1" applyFill="1" applyAlignment="1">
      <alignment horizontal="center" vertical="top" wrapText="1" readingOrder="1"/>
    </xf>
    <xf numFmtId="0" fontId="77" fillId="0" borderId="0" xfId="45" applyFont="1" applyAlignment="1">
      <alignment horizontal="center" vertical="top" wrapText="1" readingOrder="1"/>
    </xf>
    <xf numFmtId="179" fontId="77" fillId="26" borderId="0" xfId="45" applyNumberFormat="1" applyFont="1" applyFill="1" applyAlignment="1">
      <alignment horizontal="right" vertical="top" wrapText="1" readingOrder="1"/>
    </xf>
    <xf numFmtId="181" fontId="77" fillId="26" borderId="0" xfId="45" applyNumberFormat="1" applyFont="1" applyFill="1" applyAlignment="1">
      <alignment horizontal="center" vertical="top" wrapText="1" readingOrder="1"/>
    </xf>
    <xf numFmtId="180" fontId="77" fillId="26" borderId="0" xfId="45" applyNumberFormat="1" applyFont="1" applyFill="1" applyAlignment="1">
      <alignment horizontal="center" vertical="top" wrapText="1" readingOrder="1"/>
    </xf>
    <xf numFmtId="179" fontId="77" fillId="25" borderId="0" xfId="45" applyNumberFormat="1" applyFont="1" applyFill="1" applyAlignment="1">
      <alignment horizontal="right" vertical="top" wrapText="1" readingOrder="1"/>
    </xf>
    <xf numFmtId="181" fontId="77" fillId="25" borderId="0" xfId="45" applyNumberFormat="1" applyFont="1" applyFill="1" applyAlignment="1">
      <alignment horizontal="center" vertical="top" wrapText="1" readingOrder="1"/>
    </xf>
    <xf numFmtId="0" fontId="73" fillId="0" borderId="0" xfId="45" applyFont="1" applyAlignment="1">
      <alignment vertical="top" wrapText="1" readingOrder="1"/>
    </xf>
    <xf numFmtId="0" fontId="66" fillId="0" borderId="0" xfId="46" applyFont="1" applyFill="1" applyBorder="1" applyAlignment="1">
      <alignment horizontal="center" vertical="top" wrapText="1"/>
    </xf>
    <xf numFmtId="0" fontId="17" fillId="33" borderId="0" xfId="45" applyFont="1" applyFill="1" applyAlignment="1">
      <alignment horizontal="center" vertical="center" wrapText="1" readingOrder="1"/>
    </xf>
    <xf numFmtId="0" fontId="74" fillId="33" borderId="0" xfId="45" applyFont="1" applyFill="1" applyAlignment="1">
      <alignment horizontal="center" vertical="center" wrapText="1" readingOrder="1"/>
    </xf>
    <xf numFmtId="0" fontId="74" fillId="33" borderId="0" xfId="45" applyFont="1" applyFill="1" applyAlignment="1">
      <alignment horizontal="right" vertical="center" wrapText="1" readingOrder="1"/>
    </xf>
    <xf numFmtId="0" fontId="74" fillId="33" borderId="0" xfId="45" applyFont="1" applyFill="1" applyAlignment="1">
      <alignment vertical="center" wrapText="1" readingOrder="1"/>
    </xf>
    <xf numFmtId="0" fontId="76" fillId="33" borderId="0" xfId="45" applyFont="1" applyFill="1" applyAlignment="1">
      <alignment horizontal="right" vertical="top" wrapText="1" readingOrder="1"/>
    </xf>
    <xf numFmtId="0" fontId="20" fillId="33" borderId="0" xfId="45" applyFont="1" applyFill="1" applyAlignment="1">
      <alignment horizontal="center" vertical="top" wrapText="1" readingOrder="1"/>
    </xf>
    <xf numFmtId="0" fontId="78" fillId="33" borderId="0" xfId="45" applyFont="1" applyFill="1" applyAlignment="1">
      <alignment horizontal="center" vertical="top" wrapText="1" readingOrder="1"/>
    </xf>
    <xf numFmtId="0" fontId="73" fillId="0" borderId="30" xfId="45" applyFont="1" applyBorder="1" applyAlignment="1">
      <alignment vertical="top" wrapText="1" readingOrder="1"/>
    </xf>
    <xf numFmtId="0" fontId="70" fillId="0" borderId="0" xfId="46" applyFont="1" applyFill="1" applyBorder="1" applyAlignment="1">
      <alignment horizontal="center" vertical="top" wrapText="1"/>
    </xf>
    <xf numFmtId="0" fontId="22" fillId="34" borderId="0" xfId="46" applyFont="1" applyFill="1" applyBorder="1" applyAlignment="1">
      <alignment vertical="top" wrapText="1"/>
    </xf>
    <xf numFmtId="181" fontId="22" fillId="34" borderId="0" xfId="46" applyNumberFormat="1" applyFont="1" applyFill="1" applyBorder="1" applyAlignment="1">
      <alignment horizontal="center" vertical="top" wrapText="1"/>
    </xf>
    <xf numFmtId="180" fontId="22" fillId="34" borderId="0" xfId="46" applyNumberFormat="1" applyFont="1" applyFill="1" applyBorder="1" applyAlignment="1">
      <alignment horizontal="center" vertical="top" wrapText="1"/>
    </xf>
    <xf numFmtId="184" fontId="22" fillId="34" borderId="0" xfId="46" applyNumberFormat="1" applyFont="1" applyFill="1" applyBorder="1" applyAlignment="1">
      <alignment horizontal="center" vertical="top" wrapText="1"/>
    </xf>
    <xf numFmtId="0" fontId="70" fillId="0" borderId="0" xfId="46" applyFont="1" applyFill="1" applyBorder="1" applyAlignment="1">
      <alignment vertical="top" wrapText="1"/>
    </xf>
    <xf numFmtId="0" fontId="22" fillId="34" borderId="0" xfId="46" applyFont="1" applyFill="1" applyBorder="1" applyAlignment="1">
      <alignment horizontal="center" vertical="top" wrapText="1"/>
    </xf>
    <xf numFmtId="0" fontId="69" fillId="0" borderId="0" xfId="46" applyFont="1" applyFill="1" applyBorder="1" applyAlignment="1">
      <alignment horizontal="center" vertical="top" wrapText="1"/>
    </xf>
    <xf numFmtId="0" fontId="80" fillId="0" borderId="0" xfId="46" applyFont="1" applyFill="1" applyBorder="1" applyAlignment="1">
      <alignment horizontal="center" vertical="top" wrapText="1"/>
    </xf>
    <xf numFmtId="180" fontId="69" fillId="35" borderId="0" xfId="46" applyNumberFormat="1" applyFont="1" applyFill="1" applyBorder="1" applyAlignment="1">
      <alignment horizontal="center" vertical="top" wrapText="1"/>
    </xf>
    <xf numFmtId="181" fontId="69" fillId="35" borderId="0" xfId="46" applyNumberFormat="1" applyFont="1" applyFill="1" applyBorder="1" applyAlignment="1">
      <alignment horizontal="center" vertical="top" wrapText="1"/>
    </xf>
    <xf numFmtId="179" fontId="69" fillId="35" borderId="0" xfId="46" applyNumberFormat="1" applyFont="1" applyFill="1" applyBorder="1" applyAlignment="1">
      <alignment horizontal="right" vertical="top" wrapText="1"/>
    </xf>
    <xf numFmtId="0" fontId="69" fillId="0" borderId="0" xfId="46" applyFont="1" applyFill="1" applyBorder="1" applyAlignment="1">
      <alignment vertical="top" wrapText="1"/>
    </xf>
    <xf numFmtId="184" fontId="80" fillId="35" borderId="0" xfId="46" applyNumberFormat="1" applyFont="1" applyFill="1" applyBorder="1" applyAlignment="1">
      <alignment horizontal="center" vertical="top" wrapText="1"/>
    </xf>
    <xf numFmtId="180" fontId="69" fillId="16" borderId="0" xfId="46" applyNumberFormat="1" applyFont="1" applyFill="1" applyBorder="1" applyAlignment="1">
      <alignment horizontal="center" vertical="top" wrapText="1"/>
    </xf>
    <xf numFmtId="184" fontId="80" fillId="16" borderId="0" xfId="46" applyNumberFormat="1" applyFont="1" applyFill="1" applyBorder="1" applyAlignment="1">
      <alignment horizontal="center" vertical="top" wrapText="1"/>
    </xf>
    <xf numFmtId="179" fontId="69" fillId="16" borderId="0" xfId="46" applyNumberFormat="1" applyFont="1" applyFill="1" applyBorder="1" applyAlignment="1">
      <alignment horizontal="right" vertical="top" wrapText="1"/>
    </xf>
    <xf numFmtId="181" fontId="69" fillId="16" borderId="0" xfId="46" applyNumberFormat="1" applyFont="1" applyFill="1" applyBorder="1" applyAlignment="1">
      <alignment horizontal="center" vertical="top" wrapText="1"/>
    </xf>
    <xf numFmtId="184" fontId="69" fillId="35" borderId="0" xfId="46" applyNumberFormat="1" applyFont="1" applyFill="1" applyBorder="1" applyAlignment="1">
      <alignment horizontal="center" vertical="top" wrapText="1"/>
    </xf>
    <xf numFmtId="184" fontId="69" fillId="16" borderId="0" xfId="46" applyNumberFormat="1" applyFont="1" applyFill="1" applyBorder="1" applyAlignment="1">
      <alignment horizontal="center" vertical="top" wrapText="1"/>
    </xf>
    <xf numFmtId="0" fontId="20" fillId="34" borderId="0" xfId="46" applyFont="1" applyFill="1" applyBorder="1" applyAlignment="1">
      <alignment horizontal="center" vertical="top" wrapText="1"/>
    </xf>
    <xf numFmtId="0" fontId="52" fillId="0" borderId="0" xfId="46" applyFont="1" applyFill="1" applyBorder="1" applyAlignment="1">
      <alignment vertical="top" wrapText="1"/>
    </xf>
    <xf numFmtId="0" fontId="52" fillId="0" borderId="30" xfId="46" applyFont="1" applyFill="1" applyBorder="1" applyAlignment="1">
      <alignment vertical="top" wrapText="1"/>
    </xf>
    <xf numFmtId="0" fontId="67" fillId="34" borderId="0" xfId="46" applyFont="1" applyFill="1" applyBorder="1" applyAlignment="1">
      <alignment horizontal="center" vertical="center" wrapText="1"/>
    </xf>
    <xf numFmtId="0" fontId="67" fillId="34" borderId="0" xfId="46" applyFont="1" applyFill="1" applyBorder="1" applyAlignment="1">
      <alignment horizontal="right" vertical="center" wrapText="1"/>
    </xf>
    <xf numFmtId="0" fontId="22" fillId="34" borderId="0" xfId="46" applyFont="1" applyFill="1" applyBorder="1" applyAlignment="1">
      <alignment horizontal="right" vertical="top" wrapText="1"/>
    </xf>
    <xf numFmtId="0" fontId="67" fillId="34" borderId="0" xfId="46" applyFont="1" applyFill="1" applyBorder="1" applyAlignment="1">
      <alignment vertical="center" wrapText="1"/>
    </xf>
    <xf numFmtId="0" fontId="71" fillId="29" borderId="10" xfId="0" applyFont="1" applyFill="1" applyBorder="1" applyAlignment="1">
      <alignment horizontal="center" vertical="center" wrapText="1"/>
    </xf>
    <xf numFmtId="0" fontId="0" fillId="0" borderId="10" xfId="0" applyBorder="1"/>
    <xf numFmtId="0" fontId="10" fillId="24" borderId="11" xfId="0" applyFont="1" applyFill="1" applyBorder="1" applyAlignment="1">
      <alignment horizontal="left" vertical="center" wrapText="1"/>
    </xf>
    <xf numFmtId="0" fontId="10" fillId="24" borderId="26" xfId="0" applyFont="1" applyFill="1" applyBorder="1" applyAlignment="1">
      <alignment horizontal="left" vertical="center" wrapText="1"/>
    </xf>
    <xf numFmtId="0" fontId="10" fillId="24" borderId="21" xfId="0" applyFont="1" applyFill="1" applyBorder="1" applyAlignment="1">
      <alignment horizontal="left" vertical="center" wrapText="1"/>
    </xf>
    <xf numFmtId="0" fontId="10" fillId="24" borderId="23" xfId="0" applyFont="1" applyFill="1" applyBorder="1" applyAlignment="1">
      <alignment horizontal="left" vertical="center" wrapText="1"/>
    </xf>
    <xf numFmtId="0" fontId="10" fillId="24" borderId="29" xfId="0" applyFont="1" applyFill="1" applyBorder="1" applyAlignment="1">
      <alignment horizontal="left" vertical="center" wrapText="1"/>
    </xf>
    <xf numFmtId="0" fontId="10" fillId="24" borderId="25" xfId="0" applyFont="1" applyFill="1" applyBorder="1" applyAlignment="1">
      <alignment horizontal="left" vertical="center" wrapText="1"/>
    </xf>
    <xf numFmtId="0" fontId="10" fillId="24" borderId="27" xfId="0" applyFont="1" applyFill="1" applyBorder="1" applyAlignment="1">
      <alignment horizontal="left" vertical="center" wrapText="1"/>
    </xf>
    <xf numFmtId="0" fontId="10" fillId="24" borderId="0" xfId="0" applyFont="1" applyFill="1" applyBorder="1" applyAlignment="1">
      <alignment horizontal="left" vertical="center" wrapText="1"/>
    </xf>
    <xf numFmtId="0" fontId="10" fillId="24" borderId="28" xfId="0" applyFont="1" applyFill="1" applyBorder="1" applyAlignment="1">
      <alignment horizontal="left" vertical="center" wrapText="1"/>
    </xf>
    <xf numFmtId="0" fontId="10" fillId="24" borderId="12" xfId="0" applyFont="1" applyFill="1" applyBorder="1" applyAlignment="1">
      <alignment horizontal="left" vertical="center" wrapText="1"/>
    </xf>
    <xf numFmtId="0" fontId="10" fillId="24" borderId="13" xfId="0" applyFont="1" applyFill="1" applyBorder="1" applyAlignment="1">
      <alignment horizontal="left" vertical="center" wrapText="1"/>
    </xf>
    <xf numFmtId="0" fontId="10" fillId="24" borderId="19" xfId="0" applyFont="1" applyFill="1" applyBorder="1" applyAlignment="1">
      <alignment horizontal="left" vertical="center" wrapText="1"/>
    </xf>
    <xf numFmtId="0" fontId="10" fillId="24" borderId="10" xfId="0" applyFont="1" applyFill="1" applyBorder="1" applyAlignment="1">
      <alignment horizontal="left" vertical="center" wrapText="1"/>
    </xf>
    <xf numFmtId="0" fontId="0" fillId="29" borderId="29" xfId="35" applyNumberFormat="1" applyFont="1" applyFill="1" applyBorder="1" applyAlignment="1">
      <alignment horizontal="left" vertical="center" wrapText="1"/>
    </xf>
    <xf numFmtId="0" fontId="0" fillId="29" borderId="25" xfId="35" applyNumberFormat="1" applyFont="1" applyFill="1" applyBorder="1" applyAlignment="1">
      <alignment horizontal="left" vertical="center" wrapText="1"/>
    </xf>
    <xf numFmtId="0" fontId="1" fillId="29" borderId="10" xfId="35" applyNumberFormat="1" applyFont="1" applyFill="1" applyBorder="1" applyAlignment="1">
      <alignment horizontal="center" vertical="center" wrapText="1"/>
    </xf>
  </cellXfs>
  <cellStyles count="59">
    <cellStyle name="=C:\WINNT\SYSTEM32\COMMAND.COM" xfId="1"/>
    <cellStyle name="20% - Énfasis1" xfId="2" builtinId="30" customBuiltin="1"/>
    <cellStyle name="20% - Énfasis2" xfId="3" builtinId="34" customBuiltin="1"/>
    <cellStyle name="20% - Énfasis3" xfId="4" builtinId="38" customBuiltin="1"/>
    <cellStyle name="20% - Énfasis4" xfId="5" builtinId="42" customBuiltin="1"/>
    <cellStyle name="20% - Énfasis5" xfId="6" builtinId="46" customBuiltin="1"/>
    <cellStyle name="20% - Énfasis6" xfId="7" builtinId="50" customBuiltin="1"/>
    <cellStyle name="40% - Énfasis1" xfId="8" builtinId="31" customBuiltin="1"/>
    <cellStyle name="40% - Énfasis2" xfId="9" builtinId="35" customBuiltin="1"/>
    <cellStyle name="40% - Énfasis3" xfId="10" builtinId="39" customBuiltin="1"/>
    <cellStyle name="40% - Énfasis4" xfId="11" builtinId="43" customBuiltin="1"/>
    <cellStyle name="40% - Énfasis5" xfId="12" builtinId="47" customBuiltin="1"/>
    <cellStyle name="40% - Énfasis6" xfId="13" builtinId="51" customBuiltin="1"/>
    <cellStyle name="60% - Énfasis1" xfId="14" builtinId="32" customBuiltin="1"/>
    <cellStyle name="60% - Énfasis2" xfId="15" builtinId="36" customBuiltin="1"/>
    <cellStyle name="60% - Énfasis3" xfId="16" builtinId="40" customBuiltin="1"/>
    <cellStyle name="60% - Énfasis4" xfId="17" builtinId="44" customBuiltin="1"/>
    <cellStyle name="60% - Énfasis5" xfId="18" builtinId="48" customBuiltin="1"/>
    <cellStyle name="60% - Énfasis6" xfId="19" builtinId="52" customBuiltin="1"/>
    <cellStyle name="Buena" xfId="20" builtinId="26" customBuiltin="1"/>
    <cellStyle name="Cálculo" xfId="21" builtinId="22" customBuiltin="1"/>
    <cellStyle name="Celda de comprobación" xfId="22" builtinId="23" customBuiltin="1"/>
    <cellStyle name="Celda vinculada" xfId="23" builtinId="24" customBuiltin="1"/>
    <cellStyle name="Encabezado 4" xfId="24" builtinId="19" customBuiltin="1"/>
    <cellStyle name="Énfasis1" xfId="25" builtinId="29" customBuiltin="1"/>
    <cellStyle name="Énfasis2" xfId="26" builtinId="33" customBuiltin="1"/>
    <cellStyle name="Énfasis3" xfId="27" builtinId="37" customBuiltin="1"/>
    <cellStyle name="Énfasis4" xfId="28" builtinId="41" customBuiltin="1"/>
    <cellStyle name="Énfasis5" xfId="29" builtinId="45" customBuiltin="1"/>
    <cellStyle name="Énfasis6" xfId="30" builtinId="49" customBuiltin="1"/>
    <cellStyle name="Entrada" xfId="31" builtinId="20" customBuiltin="1"/>
    <cellStyle name="Estilo 1" xfId="32"/>
    <cellStyle name="Euro" xfId="33"/>
    <cellStyle name="Incorrecto" xfId="34" builtinId="27" customBuiltin="1"/>
    <cellStyle name="Millares" xfId="35" builtinId="3"/>
    <cellStyle name="Millares 2" xfId="36"/>
    <cellStyle name="Millares_CERs calc_Garcia LFG_SWDS_v1" xfId="37"/>
    <cellStyle name="Millares_Modelo_PDD_v14" xfId="38"/>
    <cellStyle name="Millares_PASA-RNK alternativo" xfId="39"/>
    <cellStyle name="Millares_Scenarios_Investment_Analysis_v1_rev" xfId="40"/>
    <cellStyle name="Moneda 2" xfId="41"/>
    <cellStyle name="Neutral" xfId="42" builtinId="28" customBuiltin="1"/>
    <cellStyle name="Normal" xfId="0" builtinId="0"/>
    <cellStyle name="Normal 2" xfId="43"/>
    <cellStyle name="Normal 2 2" xfId="44"/>
    <cellStyle name="Normal 3" xfId="45"/>
    <cellStyle name="Normal 4" xfId="46"/>
    <cellStyle name="Normal_Scenarios_Investment_Analysis_v1_rev" xfId="47"/>
    <cellStyle name="Normal1" xfId="48"/>
    <cellStyle name="Notas" xfId="49" builtinId="10" customBuiltin="1"/>
    <cellStyle name="Porcentual" xfId="50" builtinId="5"/>
    <cellStyle name="Salida" xfId="51" builtinId="21" customBuiltin="1"/>
    <cellStyle name="Texto de advertencia" xfId="52" builtinId="11" customBuiltin="1"/>
    <cellStyle name="Texto explicativo" xfId="53" builtinId="53" customBuiltin="1"/>
    <cellStyle name="Título" xfId="54" builtinId="15" customBuiltin="1"/>
    <cellStyle name="Título 1" xfId="55" builtinId="16" customBuiltin="1"/>
    <cellStyle name="Título 2" xfId="56" builtinId="17" customBuiltin="1"/>
    <cellStyle name="Título 3" xfId="57" builtinId="18" customBuiltin="1"/>
    <cellStyle name="Total" xfId="58" builtinId="25" customBuiltin="1"/>
  </cellStyles>
  <dxfs count="3">
    <dxf>
      <font>
        <b val="0"/>
        <i val="0"/>
        <condense val="0"/>
        <extend val="0"/>
        <color indexed="12"/>
      </font>
    </dxf>
    <dxf>
      <font>
        <b val="0"/>
        <i val="0"/>
        <condense val="0"/>
        <extend val="0"/>
        <color indexed="12"/>
      </font>
    </dxf>
    <dxf>
      <font>
        <b/>
        <i val="0"/>
        <condense val="0"/>
        <extend val="0"/>
        <color indexed="10"/>
      </font>
      <fill>
        <patternFill>
          <bgColor indexed="55"/>
        </patternFill>
      </fill>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0.jpeg"/></Relationships>
</file>

<file path=xl/drawings/_rels/drawing4.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0.jpeg"/></Relationships>
</file>

<file path=xl/drawings/_rels/drawing5.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0.jpeg"/></Relationships>
</file>

<file path=xl/drawings/_rels/drawing6.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0.jpeg"/></Relationships>
</file>

<file path=xl/drawings/_rels/vmlDrawing2.vml.rels><?xml version="1.0" encoding="UTF-8" standalone="yes"?>
<Relationships xmlns="http://schemas.openxmlformats.org/package/2006/relationships"><Relationship Id="rId3" Type="http://schemas.openxmlformats.org/officeDocument/2006/relationships/image" Target="../media/image4.wmf"/><Relationship Id="rId2" Type="http://schemas.openxmlformats.org/officeDocument/2006/relationships/image" Target="../media/image3.wmf"/><Relationship Id="rId1" Type="http://schemas.openxmlformats.org/officeDocument/2006/relationships/image" Target="../media/image2.emf"/><Relationship Id="rId4"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0</xdr:colOff>
      <xdr:row>10</xdr:row>
      <xdr:rowOff>0</xdr:rowOff>
    </xdr:from>
    <xdr:to>
      <xdr:col>4</xdr:col>
      <xdr:colOff>0</xdr:colOff>
      <xdr:row>10</xdr:row>
      <xdr:rowOff>0</xdr:rowOff>
    </xdr:to>
    <xdr:sp macro="" textlink="">
      <xdr:nvSpPr>
        <xdr:cNvPr id="15365" name="Line 6"/>
        <xdr:cNvSpPr>
          <a:spLocks noChangeShapeType="1"/>
        </xdr:cNvSpPr>
      </xdr:nvSpPr>
      <xdr:spPr bwMode="auto">
        <a:xfrm>
          <a:off x="3028950" y="1619250"/>
          <a:ext cx="0" cy="0"/>
        </a:xfrm>
        <a:prstGeom prst="line">
          <a:avLst/>
        </a:prstGeom>
        <a:noFill/>
        <a:ln w="9525">
          <a:solidFill>
            <a:srgbClr val="000000"/>
          </a:solidFill>
          <a:round/>
          <a:headEnd/>
          <a:tailEnd type="triangle" w="med" len="me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268942</xdr:colOff>
      <xdr:row>51</xdr:row>
      <xdr:rowOff>145676</xdr:rowOff>
    </xdr:from>
    <xdr:to>
      <xdr:col>0</xdr:col>
      <xdr:colOff>1297642</xdr:colOff>
      <xdr:row>55</xdr:row>
      <xdr:rowOff>20171</xdr:rowOff>
    </xdr:to>
    <xdr:pic>
      <xdr:nvPicPr>
        <xdr:cNvPr id="3" name="Picture 74"/>
        <xdr:cNvPicPr>
          <a:picLocks noChangeAspect="1" noChangeArrowheads="1"/>
        </xdr:cNvPicPr>
      </xdr:nvPicPr>
      <xdr:blipFill>
        <a:blip xmlns:r="http://schemas.openxmlformats.org/officeDocument/2006/relationships" r:embed="rId1" cstate="print"/>
        <a:srcRect/>
        <a:stretch>
          <a:fillRect/>
        </a:stretch>
      </xdr:blipFill>
      <xdr:spPr bwMode="auto">
        <a:xfrm>
          <a:off x="268942" y="8258735"/>
          <a:ext cx="1028700" cy="546847"/>
        </a:xfrm>
        <a:prstGeom prst="rect">
          <a:avLst/>
        </a:prstGeom>
        <a:noFill/>
        <a:ln w="1">
          <a:noFill/>
          <a:miter lim="800000"/>
          <a:headEnd/>
          <a:tailEn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6</xdr:col>
      <xdr:colOff>9525</xdr:colOff>
      <xdr:row>5</xdr:row>
      <xdr:rowOff>123825</xdr:rowOff>
    </xdr:to>
    <xdr:pic>
      <xdr:nvPicPr>
        <xdr:cNvPr id="16393" name="Picture 1" descr="c:\ba90b359-084b-461c-a95d-68d848646953"/>
        <xdr:cNvPicPr>
          <a:picLocks noChangeAspect="1" noChangeArrowheads="1"/>
        </xdr:cNvPicPr>
      </xdr:nvPicPr>
      <xdr:blipFill>
        <a:blip xmlns:r="http://schemas.openxmlformats.org/officeDocument/2006/relationships" r:embed="rId1" cstate="print"/>
        <a:srcRect/>
        <a:stretch>
          <a:fillRect/>
        </a:stretch>
      </xdr:blipFill>
      <xdr:spPr bwMode="auto">
        <a:xfrm>
          <a:off x="66675" y="28575"/>
          <a:ext cx="1257300" cy="504825"/>
        </a:xfrm>
        <a:prstGeom prst="rect">
          <a:avLst/>
        </a:prstGeom>
        <a:noFill/>
        <a:ln w="9525">
          <a:noFill/>
          <a:miter lim="800000"/>
          <a:headEnd/>
          <a:tailEnd/>
        </a:ln>
      </xdr:spPr>
    </xdr:pic>
    <xdr:clientData/>
  </xdr:twoCellAnchor>
  <xdr:twoCellAnchor editAs="oneCell">
    <xdr:from>
      <xdr:col>24</xdr:col>
      <xdr:colOff>0</xdr:colOff>
      <xdr:row>2</xdr:row>
      <xdr:rowOff>0</xdr:rowOff>
    </xdr:from>
    <xdr:to>
      <xdr:col>27</xdr:col>
      <xdr:colOff>400050</xdr:colOff>
      <xdr:row>6</xdr:row>
      <xdr:rowOff>76200</xdr:rowOff>
    </xdr:to>
    <xdr:pic>
      <xdr:nvPicPr>
        <xdr:cNvPr id="16394" name="Picture 2" descr="c:\8ba39704-d8a3-42b4-932d-65fe3090e4d6"/>
        <xdr:cNvPicPr>
          <a:picLocks noChangeAspect="1" noChangeArrowheads="1"/>
        </xdr:cNvPicPr>
      </xdr:nvPicPr>
      <xdr:blipFill>
        <a:blip xmlns:r="http://schemas.openxmlformats.org/officeDocument/2006/relationships" r:embed="rId2" cstate="print"/>
        <a:srcRect/>
        <a:stretch>
          <a:fillRect/>
        </a:stretch>
      </xdr:blipFill>
      <xdr:spPr bwMode="auto">
        <a:xfrm>
          <a:off x="8353425" y="38100"/>
          <a:ext cx="1257300" cy="6191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6</xdr:col>
      <xdr:colOff>9525</xdr:colOff>
      <xdr:row>3</xdr:row>
      <xdr:rowOff>123825</xdr:rowOff>
    </xdr:to>
    <xdr:pic>
      <xdr:nvPicPr>
        <xdr:cNvPr id="17417" name="Picture 1" descr="c:\ba90b359-084b-461c-a95d-68d848646953"/>
        <xdr:cNvPicPr>
          <a:picLocks noChangeAspect="1" noChangeArrowheads="1"/>
        </xdr:cNvPicPr>
      </xdr:nvPicPr>
      <xdr:blipFill>
        <a:blip xmlns:r="http://schemas.openxmlformats.org/officeDocument/2006/relationships" r:embed="rId1" cstate="print"/>
        <a:srcRect/>
        <a:stretch>
          <a:fillRect/>
        </a:stretch>
      </xdr:blipFill>
      <xdr:spPr bwMode="auto">
        <a:xfrm>
          <a:off x="66675" y="190500"/>
          <a:ext cx="1257300" cy="504825"/>
        </a:xfrm>
        <a:prstGeom prst="rect">
          <a:avLst/>
        </a:prstGeom>
        <a:noFill/>
        <a:ln w="9525">
          <a:noFill/>
          <a:miter lim="800000"/>
          <a:headEnd/>
          <a:tailEnd/>
        </a:ln>
      </xdr:spPr>
    </xdr:pic>
    <xdr:clientData/>
  </xdr:twoCellAnchor>
  <xdr:twoCellAnchor editAs="oneCell">
    <xdr:from>
      <xdr:col>24</xdr:col>
      <xdr:colOff>0</xdr:colOff>
      <xdr:row>2</xdr:row>
      <xdr:rowOff>0</xdr:rowOff>
    </xdr:from>
    <xdr:to>
      <xdr:col>27</xdr:col>
      <xdr:colOff>400050</xdr:colOff>
      <xdr:row>5</xdr:row>
      <xdr:rowOff>85725</xdr:rowOff>
    </xdr:to>
    <xdr:pic>
      <xdr:nvPicPr>
        <xdr:cNvPr id="17418" name="Picture 2" descr="c:\8ba39704-d8a3-42b4-932d-65fe3090e4d6"/>
        <xdr:cNvPicPr>
          <a:picLocks noChangeAspect="1" noChangeArrowheads="1"/>
        </xdr:cNvPicPr>
      </xdr:nvPicPr>
      <xdr:blipFill>
        <a:blip xmlns:r="http://schemas.openxmlformats.org/officeDocument/2006/relationships" r:embed="rId2" cstate="print"/>
        <a:srcRect/>
        <a:stretch>
          <a:fillRect/>
        </a:stretch>
      </xdr:blipFill>
      <xdr:spPr bwMode="auto">
        <a:xfrm>
          <a:off x="8305800" y="381000"/>
          <a:ext cx="1257300" cy="619125"/>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1</xdr:row>
      <xdr:rowOff>0</xdr:rowOff>
    </xdr:from>
    <xdr:to>
      <xdr:col>6</xdr:col>
      <xdr:colOff>0</xdr:colOff>
      <xdr:row>7</xdr:row>
      <xdr:rowOff>0</xdr:rowOff>
    </xdr:to>
    <xdr:pic>
      <xdr:nvPicPr>
        <xdr:cNvPr id="18441" name="Picture 1" descr="944a8018-06f7-4148-a3ce-0cd12ca72f21"/>
        <xdr:cNvPicPr>
          <a:picLocks noChangeAspect="1" noChangeArrowheads="1"/>
        </xdr:cNvPicPr>
      </xdr:nvPicPr>
      <xdr:blipFill>
        <a:blip xmlns:r="http://schemas.openxmlformats.org/officeDocument/2006/relationships" r:embed="rId1" cstate="print"/>
        <a:srcRect/>
        <a:stretch>
          <a:fillRect/>
        </a:stretch>
      </xdr:blipFill>
      <xdr:spPr bwMode="auto">
        <a:xfrm>
          <a:off x="66675" y="38100"/>
          <a:ext cx="1257300" cy="685800"/>
        </a:xfrm>
        <a:prstGeom prst="rect">
          <a:avLst/>
        </a:prstGeom>
        <a:noFill/>
        <a:ln w="9525">
          <a:noFill/>
          <a:miter lim="800000"/>
          <a:headEnd/>
          <a:tailEnd/>
        </a:ln>
      </xdr:spPr>
    </xdr:pic>
    <xdr:clientData/>
  </xdr:twoCellAnchor>
  <xdr:twoCellAnchor>
    <xdr:from>
      <xdr:col>24</xdr:col>
      <xdr:colOff>0</xdr:colOff>
      <xdr:row>2</xdr:row>
      <xdr:rowOff>0</xdr:rowOff>
    </xdr:from>
    <xdr:to>
      <xdr:col>28</xdr:col>
      <xdr:colOff>0</xdr:colOff>
      <xdr:row>8</xdr:row>
      <xdr:rowOff>0</xdr:rowOff>
    </xdr:to>
    <xdr:pic>
      <xdr:nvPicPr>
        <xdr:cNvPr id="18442" name="Picture 2" descr="fa194eb0-0682-4eb9-89e4-cd928af398d7"/>
        <xdr:cNvPicPr>
          <a:picLocks noChangeAspect="1" noChangeArrowheads="1"/>
        </xdr:cNvPicPr>
      </xdr:nvPicPr>
      <xdr:blipFill>
        <a:blip xmlns:r="http://schemas.openxmlformats.org/officeDocument/2006/relationships" r:embed="rId2" cstate="print"/>
        <a:srcRect/>
        <a:stretch>
          <a:fillRect/>
        </a:stretch>
      </xdr:blipFill>
      <xdr:spPr bwMode="auto">
        <a:xfrm>
          <a:off x="8353425" y="47625"/>
          <a:ext cx="1304925" cy="68580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1</xdr:row>
      <xdr:rowOff>0</xdr:rowOff>
    </xdr:from>
    <xdr:to>
      <xdr:col>6</xdr:col>
      <xdr:colOff>0</xdr:colOff>
      <xdr:row>7</xdr:row>
      <xdr:rowOff>0</xdr:rowOff>
    </xdr:to>
    <xdr:pic>
      <xdr:nvPicPr>
        <xdr:cNvPr id="19465" name="Picture 1" descr="c3c63778-0c15-42ba-9c8f-c96260612904"/>
        <xdr:cNvPicPr>
          <a:picLocks noChangeAspect="1" noChangeArrowheads="1"/>
        </xdr:cNvPicPr>
      </xdr:nvPicPr>
      <xdr:blipFill>
        <a:blip xmlns:r="http://schemas.openxmlformats.org/officeDocument/2006/relationships" r:embed="rId1" cstate="print"/>
        <a:srcRect/>
        <a:stretch>
          <a:fillRect/>
        </a:stretch>
      </xdr:blipFill>
      <xdr:spPr bwMode="auto">
        <a:xfrm>
          <a:off x="66675" y="38100"/>
          <a:ext cx="1257300" cy="685800"/>
        </a:xfrm>
        <a:prstGeom prst="rect">
          <a:avLst/>
        </a:prstGeom>
        <a:noFill/>
        <a:ln w="9525">
          <a:noFill/>
          <a:miter lim="800000"/>
          <a:headEnd/>
          <a:tailEnd/>
        </a:ln>
      </xdr:spPr>
    </xdr:pic>
    <xdr:clientData/>
  </xdr:twoCellAnchor>
  <xdr:twoCellAnchor>
    <xdr:from>
      <xdr:col>24</xdr:col>
      <xdr:colOff>0</xdr:colOff>
      <xdr:row>2</xdr:row>
      <xdr:rowOff>0</xdr:rowOff>
    </xdr:from>
    <xdr:to>
      <xdr:col>28</xdr:col>
      <xdr:colOff>0</xdr:colOff>
      <xdr:row>8</xdr:row>
      <xdr:rowOff>0</xdr:rowOff>
    </xdr:to>
    <xdr:pic>
      <xdr:nvPicPr>
        <xdr:cNvPr id="19466" name="Picture 2" descr="8adf302a-7a9c-4b35-aee9-86740f4c9982"/>
        <xdr:cNvPicPr>
          <a:picLocks noChangeAspect="1" noChangeArrowheads="1"/>
        </xdr:cNvPicPr>
      </xdr:nvPicPr>
      <xdr:blipFill>
        <a:blip xmlns:r="http://schemas.openxmlformats.org/officeDocument/2006/relationships" r:embed="rId2" cstate="print"/>
        <a:srcRect/>
        <a:stretch>
          <a:fillRect/>
        </a:stretch>
      </xdr:blipFill>
      <xdr:spPr bwMode="auto">
        <a:xfrm>
          <a:off x="8734425" y="47625"/>
          <a:ext cx="1257300" cy="685800"/>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epsedeapp23\documentos%20generales\SIRO\2000\real20a.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Sheet1"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Bitacora"/>
      <sheetName val="Premisas"/>
      <sheetName val="resumen"/>
      <sheetName val="Crudo"/>
      <sheetName val="Gas"/>
      <sheetName val="Condensados"/>
      <sheetName val="CO2"/>
      <sheetName val="BPCE"/>
      <sheetName val="BPCE02"/>
      <sheetName val="BPCE03"/>
      <sheetName val="AjusteBN$"/>
      <sheetName val="AjusteBNDls"/>
      <sheetName val="GASRESID(MMPCD)"/>
      <sheetName val="Precios-$"/>
      <sheetName val="TOTPEP"/>
      <sheetName val="NORTE"/>
      <sheetName val="SUR"/>
      <sheetName val="MSUROESTE"/>
      <sheetName val="MNORESTE"/>
      <sheetName val="EMPRESA"/>
      <sheetName val="acumul"/>
      <sheetName val="Hoja1"/>
      <sheetName val="Precios crudo"/>
      <sheetName val="Precios gas"/>
      <sheetName val="Precios conde"/>
      <sheetName val="operacion"/>
      <sheetName val="inversion"/>
      <sheetName val="produ"/>
      <sheetName val="sidip"/>
      <sheetName val="distri_GCORP"/>
      <sheetName val="distri_GPEP"/>
      <sheetName val="derechos"/>
      <sheetName val="COMPA"/>
      <sheetName val="PRECIOS-COMP"/>
      <sheetName val="CostoProd"/>
      <sheetName val="CostoExtra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2">
          <cell r="D2" t="str">
            <v>PEMEX EXPLORACION Y PRODUCCION</v>
          </cell>
          <cell r="L2" t="str">
            <v>PEMEX EXPLORACION Y PRODUCCION</v>
          </cell>
          <cell r="U2" t="str">
            <v>PEMEX EXPLORACION Y PRODUCCION</v>
          </cell>
          <cell r="AE2" t="str">
            <v>PEMEX EXPLORACION Y PRODUCCION</v>
          </cell>
          <cell r="AL2" t="str">
            <v>PEMEX EXPLORACION Y PRODUCCION</v>
          </cell>
        </row>
        <row r="3">
          <cell r="D3" t="str">
            <v>RESULTADOS DE OPERACIÓN, Ene-Jun Real Jul-Dic P.O.6.2,  2000 (Preliminar)</v>
          </cell>
          <cell r="L3" t="str">
            <v>RESULTADOS DE OPERACIÓN, Ene-Jun Real Jul-Dic P.O.6.2,  2000 (Preliminar)</v>
          </cell>
          <cell r="U3" t="str">
            <v>RESULTADOS DE OPERACIÓN, Ene-Jun Real Jul-Dic P.O.6.2,  2000 (Preliminar)</v>
          </cell>
          <cell r="AE3" t="str">
            <v>RESULTADOS DE OPERACIÓN, Ene-Jun Real Jul-Dic P.O.6.2,  2000 (Preliminar)</v>
          </cell>
          <cell r="AL3" t="str">
            <v>RESULTADOS DE OPERACIÓN, Ene-Jun Real Jul-Dic P.O.6.2,  2000 (Preliminar)</v>
          </cell>
        </row>
        <row r="4">
          <cell r="D4" t="str">
            <v>Total PEP y Regiones</v>
          </cell>
          <cell r="H4" t="str">
            <v>S I R O</v>
          </cell>
          <cell r="L4" t="str">
            <v>Región Norte y Distritos</v>
          </cell>
          <cell r="P4" t="str">
            <v>S I R O</v>
          </cell>
          <cell r="U4" t="str">
            <v>Región Sur y Activos</v>
          </cell>
          <cell r="AA4" t="str">
            <v>S I R O</v>
          </cell>
          <cell r="AE4" t="str">
            <v>Región Marina Noreste y Activos</v>
          </cell>
          <cell r="AH4" t="str">
            <v>S I R O</v>
          </cell>
          <cell r="AL4" t="str">
            <v>Región Marina Suroeste y Activos</v>
          </cell>
        </row>
        <row r="5">
          <cell r="D5" t="str">
            <v xml:space="preserve">(Millones de Pesos)  </v>
          </cell>
          <cell r="H5" t="str">
            <v>versión 6.0_6.2</v>
          </cell>
          <cell r="L5" t="str">
            <v xml:space="preserve">(Millones de Pesos)  </v>
          </cell>
          <cell r="P5" t="str">
            <v>versión 6.0_6.2</v>
          </cell>
          <cell r="U5" t="str">
            <v xml:space="preserve">(Millones de Pesos)  </v>
          </cell>
          <cell r="AA5" t="str">
            <v>versión 6.0_6.2</v>
          </cell>
          <cell r="AE5" t="str">
            <v xml:space="preserve">(Millones de Pesos)  </v>
          </cell>
          <cell r="AH5" t="str">
            <v>versión 6.0_6.2</v>
          </cell>
          <cell r="AL5" t="str">
            <v xml:space="preserve">(Millones de Pesos)  </v>
          </cell>
        </row>
        <row r="7">
          <cell r="B7" t="str">
            <v xml:space="preserve">          CONCEPTO</v>
          </cell>
          <cell r="C7" t="str">
            <v>Norte</v>
          </cell>
          <cell r="D7" t="str">
            <v>Sur</v>
          </cell>
          <cell r="E7" t="str">
            <v>M. Suroeste</v>
          </cell>
          <cell r="F7" t="str">
            <v>M. Noreste</v>
          </cell>
          <cell r="G7" t="str">
            <v>Sede</v>
          </cell>
          <cell r="H7" t="str">
            <v>TOTAL PEP</v>
          </cell>
          <cell r="J7" t="str">
            <v xml:space="preserve">          CONCEPTO</v>
          </cell>
          <cell r="K7" t="str">
            <v>Poza Rica</v>
          </cell>
          <cell r="L7" t="str">
            <v>Reynosa</v>
          </cell>
          <cell r="M7" t="str">
            <v>Altamira</v>
          </cell>
          <cell r="N7" t="str">
            <v>Veracruz</v>
          </cell>
          <cell r="O7" t="str">
            <v>Sede</v>
          </cell>
          <cell r="P7" t="str">
            <v>REGION</v>
          </cell>
          <cell r="R7" t="str">
            <v xml:space="preserve">          CONCEPTO</v>
          </cell>
          <cell r="S7" t="str">
            <v>Cinco Presidentes</v>
          </cell>
          <cell r="T7" t="str">
            <v>Samaria-Sitio Grande</v>
          </cell>
          <cell r="U7" t="str">
            <v>Bellota-Chinchorro</v>
          </cell>
          <cell r="V7" t="str">
            <v>Jujo-Tecominoacan</v>
          </cell>
          <cell r="W7" t="str">
            <v>Chilapilla-Colomo</v>
          </cell>
          <cell r="X7" t="str">
            <v>Muspac</v>
          </cell>
          <cell r="Y7" t="str">
            <v>Luna</v>
          </cell>
          <cell r="Z7" t="str">
            <v>Sede</v>
          </cell>
          <cell r="AA7" t="str">
            <v>REGION</v>
          </cell>
          <cell r="AC7" t="str">
            <v xml:space="preserve">          CONCEPTO</v>
          </cell>
          <cell r="AD7" t="str">
            <v>Cantarell</v>
          </cell>
          <cell r="AE7" t="str">
            <v>Ku-Malloob-Zaap</v>
          </cell>
          <cell r="AF7" t="str">
            <v>Ek-Balam</v>
          </cell>
          <cell r="AG7" t="str">
            <v>Sede</v>
          </cell>
          <cell r="AH7" t="str">
            <v>REGION</v>
          </cell>
          <cell r="AJ7" t="str">
            <v xml:space="preserve">          CONCEPTO</v>
          </cell>
          <cell r="AK7" t="str">
            <v>Abkatún</v>
          </cell>
          <cell r="AL7" t="str">
            <v>Pol-Chuc</v>
          </cell>
        </row>
        <row r="8">
          <cell r="B8" t="str">
            <v>UTILIDAD DESPUES DE IMPUESTOS Y DERECHOS</v>
          </cell>
          <cell r="C8">
            <v>2187.0367037199999</v>
          </cell>
          <cell r="D8">
            <v>6519.7397918000006</v>
          </cell>
          <cell r="E8">
            <v>6542.2694729200002</v>
          </cell>
          <cell r="F8">
            <v>13284.051715299998</v>
          </cell>
          <cell r="G8">
            <v>-5239.1838302300002</v>
          </cell>
          <cell r="H8">
            <v>28533.097685519995</v>
          </cell>
          <cell r="J8" t="str">
            <v>UTILIDAD DESPUES DE IMPUESTOS Y DERECHOS</v>
          </cell>
          <cell r="K8">
            <v>119.87890881000001</v>
          </cell>
          <cell r="L8">
            <v>1593.6404080399998</v>
          </cell>
          <cell r="M8">
            <v>290.17383782999997</v>
          </cell>
          <cell r="N8">
            <v>183.34353146999999</v>
          </cell>
          <cell r="O8">
            <v>-1290.3803722</v>
          </cell>
          <cell r="P8">
            <v>2187.0367037199999</v>
          </cell>
          <cell r="R8" t="str">
            <v>UTILIDAD DESPUES DE IMPUESTOS Y DERECHOS</v>
          </cell>
          <cell r="S8">
            <v>80.693184900000006</v>
          </cell>
          <cell r="T8">
            <v>1921.4245915300003</v>
          </cell>
          <cell r="U8">
            <v>889.64180251999994</v>
          </cell>
          <cell r="V8">
            <v>1501.43874194</v>
          </cell>
          <cell r="W8">
            <v>52.80850118</v>
          </cell>
          <cell r="X8">
            <v>1079.7325609500001</v>
          </cell>
          <cell r="Y8">
            <v>994.00042466999992</v>
          </cell>
          <cell r="Z8">
            <v>-1858.8775039899999</v>
          </cell>
          <cell r="AA8">
            <v>6519.7397918000006</v>
          </cell>
          <cell r="AC8" t="str">
            <v>UTILIDAD DESPUES DE IMPUESTOS Y DERECHOS</v>
          </cell>
          <cell r="AD8">
            <v>10661.219601289999</v>
          </cell>
          <cell r="AE8">
            <v>2338.0454760100001</v>
          </cell>
          <cell r="AF8">
            <v>284.78663232000002</v>
          </cell>
          <cell r="AG8">
            <v>-1078.88704828</v>
          </cell>
          <cell r="AH8">
            <v>13284.051715299998</v>
          </cell>
          <cell r="AJ8" t="str">
            <v>UTILIDAD DESPUES DE IMPUESTOS Y DERECHOS</v>
          </cell>
          <cell r="AK8">
            <v>3555.9971256200001</v>
          </cell>
          <cell r="AL8">
            <v>2249.4355065199998</v>
          </cell>
        </row>
        <row r="9">
          <cell r="B9" t="str">
            <v>IMPUESTOS Y DERECHOS (1)</v>
          </cell>
          <cell r="C9">
            <v>4822.9685820499999</v>
          </cell>
          <cell r="D9">
            <v>42294.793229640003</v>
          </cell>
          <cell r="E9">
            <v>46000.646292749996</v>
          </cell>
          <cell r="F9">
            <v>95810.971849980007</v>
          </cell>
          <cell r="G9">
            <v>0</v>
          </cell>
          <cell r="H9">
            <v>188929.37995441997</v>
          </cell>
          <cell r="J9" t="str">
            <v>IMPUESTOS Y DERECHOS (1)</v>
          </cell>
          <cell r="K9">
            <v>435.97727064999998</v>
          </cell>
          <cell r="L9">
            <v>3356.85399435</v>
          </cell>
          <cell r="M9">
            <v>645.72567406000007</v>
          </cell>
          <cell r="N9">
            <v>384.41164299999997</v>
          </cell>
          <cell r="O9">
            <v>0</v>
          </cell>
          <cell r="P9">
            <v>4822.9685820499999</v>
          </cell>
          <cell r="R9" t="str">
            <v>IMPUESTOS Y DERECHOS (1)</v>
          </cell>
          <cell r="S9">
            <v>523.47205111000005</v>
          </cell>
          <cell r="T9">
            <v>12464.647087520001</v>
          </cell>
          <cell r="U9">
            <v>5771.2757251300009</v>
          </cell>
          <cell r="V9">
            <v>9740.1189328799992</v>
          </cell>
          <cell r="W9">
            <v>342.57879979999996</v>
          </cell>
          <cell r="X9">
            <v>7004.4306605699985</v>
          </cell>
          <cell r="Y9">
            <v>6448.2699726500005</v>
          </cell>
          <cell r="Z9">
            <v>0</v>
          </cell>
          <cell r="AA9">
            <v>42294.793229640003</v>
          </cell>
          <cell r="AC9" t="str">
            <v>IMPUESTOS Y DERECHOS (1)</v>
          </cell>
          <cell r="AD9">
            <v>76893.844847639994</v>
          </cell>
          <cell r="AE9">
            <v>16863.108799969999</v>
          </cell>
          <cell r="AF9">
            <v>2054.0182023500001</v>
          </cell>
          <cell r="AG9">
            <v>0</v>
          </cell>
          <cell r="AH9">
            <v>95810.971849980007</v>
          </cell>
          <cell r="AJ9" t="str">
            <v>IMPUESTOS Y DERECHOS (1)</v>
          </cell>
          <cell r="AK9">
            <v>25003.275581429996</v>
          </cell>
          <cell r="AL9">
            <v>15816.45144407</v>
          </cell>
        </row>
        <row r="10">
          <cell r="B10" t="str">
            <v>UTILIDAD ANTES DE IMP. Y DERECHOS</v>
          </cell>
          <cell r="C10">
            <v>7010.0052857700002</v>
          </cell>
          <cell r="D10">
            <v>48814.533021440009</v>
          </cell>
          <cell r="E10">
            <v>52542.915765669997</v>
          </cell>
          <cell r="F10">
            <v>109095.02356528</v>
          </cell>
          <cell r="G10">
            <v>-5239.1838302300002</v>
          </cell>
          <cell r="H10">
            <v>217462.47763994001</v>
          </cell>
          <cell r="J10" t="str">
            <v>UTILIDAD ANTES DE IMP. Y DERECHOS</v>
          </cell>
          <cell r="K10">
            <v>555.85617946000002</v>
          </cell>
          <cell r="L10">
            <v>4950.4944023899998</v>
          </cell>
          <cell r="M10">
            <v>935.89951188999987</v>
          </cell>
          <cell r="N10">
            <v>567.75517447000004</v>
          </cell>
          <cell r="O10">
            <v>-1290.3803722</v>
          </cell>
          <cell r="P10">
            <v>7010.0052857700002</v>
          </cell>
          <cell r="R10" t="str">
            <v>UTILIDAD ANTES DE IMP. Y DERECHOS</v>
          </cell>
          <cell r="S10">
            <v>604.16523601000006</v>
          </cell>
          <cell r="T10">
            <v>14386.071679050001</v>
          </cell>
          <cell r="U10">
            <v>6660.9175276499991</v>
          </cell>
          <cell r="V10">
            <v>11241.557674820002</v>
          </cell>
          <cell r="W10">
            <v>395.38730098000002</v>
          </cell>
          <cell r="X10">
            <v>8084.1632215200007</v>
          </cell>
          <cell r="Y10">
            <v>7442.2703973200005</v>
          </cell>
          <cell r="Z10">
            <v>-1858.8775039899999</v>
          </cell>
          <cell r="AA10">
            <v>48814.533021440009</v>
          </cell>
          <cell r="AC10" t="str">
            <v>UTILIDAD ANTES DE IMP. Y DERECHOS</v>
          </cell>
          <cell r="AD10">
            <v>87555.064448930003</v>
          </cell>
          <cell r="AE10">
            <v>19201.154275980003</v>
          </cell>
          <cell r="AF10">
            <v>2338.8048346700002</v>
          </cell>
          <cell r="AG10">
            <v>-1078.88704828</v>
          </cell>
          <cell r="AH10">
            <v>109095.02356528</v>
          </cell>
          <cell r="AI10">
            <v>-5.6999997468665242E-6</v>
          </cell>
          <cell r="AJ10" t="str">
            <v>UTILIDAD ANTES DE IMP. Y DERECHOS</v>
          </cell>
          <cell r="AK10">
            <v>28559.27270705</v>
          </cell>
          <cell r="AL10">
            <v>18065.886950590004</v>
          </cell>
        </row>
        <row r="11">
          <cell r="B11" t="str">
            <v>Gastos Indirectos de Administración</v>
          </cell>
          <cell r="C11">
            <v>1336.8323189999999</v>
          </cell>
          <cell r="D11">
            <v>2181.9751479999995</v>
          </cell>
          <cell r="E11">
            <v>1674.241509</v>
          </cell>
          <cell r="F11">
            <v>4886.208036</v>
          </cell>
          <cell r="G11">
            <v>101.775513</v>
          </cell>
          <cell r="H11">
            <v>4941.8486969999994</v>
          </cell>
          <cell r="J11" t="str">
            <v>Gastos Indirectos de Administración</v>
          </cell>
          <cell r="K11">
            <v>348.87063400000005</v>
          </cell>
          <cell r="L11">
            <v>1614.6859169999998</v>
          </cell>
          <cell r="M11">
            <v>314.14182099999999</v>
          </cell>
          <cell r="N11">
            <v>197.77012999999999</v>
          </cell>
          <cell r="O11">
            <v>151.74419900000001</v>
          </cell>
          <cell r="P11">
            <v>1336.8323189999999</v>
          </cell>
          <cell r="R11" t="str">
            <v>Gastos Indirectos de Administración</v>
          </cell>
          <cell r="S11">
            <v>335.54647599999998</v>
          </cell>
          <cell r="T11">
            <v>871.05003399999998</v>
          </cell>
          <cell r="U11">
            <v>445.65778100000006</v>
          </cell>
          <cell r="V11">
            <v>589.07963900000004</v>
          </cell>
          <cell r="W11">
            <v>224.42601699999997</v>
          </cell>
          <cell r="X11">
            <v>685.21265100000005</v>
          </cell>
          <cell r="Y11">
            <v>653.9602349999999</v>
          </cell>
          <cell r="Z11">
            <v>235.91981300000003</v>
          </cell>
          <cell r="AA11">
            <v>2181.9751479999995</v>
          </cell>
          <cell r="AC11" t="str">
            <v>Gastos Indirectos de Administración</v>
          </cell>
          <cell r="AD11">
            <v>4918.5521410000001</v>
          </cell>
          <cell r="AE11">
            <v>576.99965500000008</v>
          </cell>
          <cell r="AF11">
            <v>134.06804800000003</v>
          </cell>
          <cell r="AG11">
            <v>335.47523899999993</v>
          </cell>
          <cell r="AH11">
            <v>4886.208036</v>
          </cell>
          <cell r="AJ11" t="str">
            <v>Gastos Indirectos de Administración</v>
          </cell>
          <cell r="AK11">
            <v>2707.7254489999996</v>
          </cell>
          <cell r="AL11">
            <v>1954.1107219999999</v>
          </cell>
        </row>
        <row r="12">
          <cell r="B12" t="str">
            <v xml:space="preserve">     Corporativo</v>
          </cell>
          <cell r="C12">
            <v>638.99880800000005</v>
          </cell>
          <cell r="D12">
            <v>1049.398293</v>
          </cell>
          <cell r="E12">
            <v>805.96485100000007</v>
          </cell>
          <cell r="F12">
            <v>2345.7112320000006</v>
          </cell>
          <cell r="G12">
            <v>101.775513</v>
          </cell>
          <cell r="H12">
            <v>4941.8486969999994</v>
          </cell>
          <cell r="J12" t="str">
            <v xml:space="preserve">     Corporativo</v>
          </cell>
          <cell r="K12">
            <v>79.477623999999992</v>
          </cell>
          <cell r="L12">
            <v>372.97667900000005</v>
          </cell>
          <cell r="M12">
            <v>71.387195999999989</v>
          </cell>
          <cell r="N12">
            <v>43.094119000000006</v>
          </cell>
          <cell r="O12">
            <v>72.063192999999998</v>
          </cell>
          <cell r="P12">
            <v>638.99880800000005</v>
          </cell>
          <cell r="Q12">
            <v>2.9999998787388904E-6</v>
          </cell>
          <cell r="R12" t="str">
            <v xml:space="preserve">     Corporativo</v>
          </cell>
          <cell r="S12">
            <v>75.855311999999998</v>
          </cell>
          <cell r="T12">
            <v>221.36028900000002</v>
          </cell>
          <cell r="U12">
            <v>109.61449299999998</v>
          </cell>
          <cell r="V12">
            <v>149.92355500000002</v>
          </cell>
          <cell r="W12">
            <v>51.674641999999999</v>
          </cell>
          <cell r="X12">
            <v>173.64620099999996</v>
          </cell>
          <cell r="Y12">
            <v>155.28567799999999</v>
          </cell>
          <cell r="Z12">
            <v>112.038122</v>
          </cell>
          <cell r="AA12">
            <v>1049.398293</v>
          </cell>
          <cell r="AC12" t="str">
            <v xml:space="preserve">     Corporativo</v>
          </cell>
          <cell r="AD12">
            <v>1906.7487569999998</v>
          </cell>
          <cell r="AE12">
            <v>227.57739999999998</v>
          </cell>
          <cell r="AF12">
            <v>52.068162000000001</v>
          </cell>
          <cell r="AG12">
            <v>159.316912</v>
          </cell>
          <cell r="AH12">
            <v>2345.7112320000006</v>
          </cell>
          <cell r="AJ12" t="str">
            <v xml:space="preserve">     Corporativo</v>
          </cell>
          <cell r="AK12">
            <v>331.108248</v>
          </cell>
          <cell r="AL12">
            <v>229.76160599999997</v>
          </cell>
        </row>
        <row r="13">
          <cell r="B13" t="str">
            <v xml:space="preserve">     Sede PEP</v>
          </cell>
          <cell r="C13">
            <v>697.83351099999993</v>
          </cell>
          <cell r="D13">
            <v>1132.576855</v>
          </cell>
          <cell r="E13">
            <v>868.276658</v>
          </cell>
          <cell r="F13">
            <v>2540.4968040000003</v>
          </cell>
          <cell r="G13">
            <v>0</v>
          </cell>
          <cell r="H13">
            <v>0</v>
          </cell>
          <cell r="I13">
            <v>-2.2300000637187622E-6</v>
          </cell>
          <cell r="J13" t="str">
            <v xml:space="preserve">     Sede PEP</v>
          </cell>
          <cell r="K13">
            <v>86.605551000000006</v>
          </cell>
          <cell r="L13">
            <v>407.06427600000001</v>
          </cell>
          <cell r="M13">
            <v>77.767325000000014</v>
          </cell>
          <cell r="N13">
            <v>46.715359000000007</v>
          </cell>
          <cell r="O13">
            <v>79.681005999999996</v>
          </cell>
          <cell r="P13">
            <v>697.83351099999993</v>
          </cell>
          <cell r="Q13">
            <v>6.000000098538294E-6</v>
          </cell>
          <cell r="R13" t="str">
            <v xml:space="preserve">     Sede PEP</v>
          </cell>
          <cell r="S13">
            <v>82.557425999999992</v>
          </cell>
          <cell r="T13">
            <v>237.28154599999996</v>
          </cell>
          <cell r="U13">
            <v>117.980273</v>
          </cell>
          <cell r="V13">
            <v>160.67757099999997</v>
          </cell>
          <cell r="W13">
            <v>56.10049200000001</v>
          </cell>
          <cell r="X13">
            <v>186.20011</v>
          </cell>
          <cell r="Y13">
            <v>167.89774300000002</v>
          </cell>
          <cell r="Z13">
            <v>123.881691</v>
          </cell>
          <cell r="AA13">
            <v>1132.576855</v>
          </cell>
          <cell r="AC13" t="str">
            <v xml:space="preserve">     Sede PEP</v>
          </cell>
          <cell r="AD13">
            <v>2065.5478019999996</v>
          </cell>
          <cell r="AE13">
            <v>242.484533</v>
          </cell>
          <cell r="AF13">
            <v>56.306140999999997</v>
          </cell>
          <cell r="AG13">
            <v>176.15832699999999</v>
          </cell>
          <cell r="AH13">
            <v>2540.4968040000003</v>
          </cell>
          <cell r="AJ13" t="str">
            <v xml:space="preserve">     Sede PEP</v>
          </cell>
          <cell r="AK13">
            <v>354.03248099999996</v>
          </cell>
          <cell r="AL13">
            <v>246.00025300000001</v>
          </cell>
        </row>
        <row r="14">
          <cell r="B14" t="str">
            <v xml:space="preserve">     Sede regional</v>
          </cell>
          <cell r="C14">
            <v>0</v>
          </cell>
          <cell r="D14">
            <v>0</v>
          </cell>
          <cell r="E14">
            <v>0</v>
          </cell>
          <cell r="F14">
            <v>0</v>
          </cell>
          <cell r="G14">
            <v>0</v>
          </cell>
          <cell r="H14">
            <v>0</v>
          </cell>
          <cell r="J14" t="str">
            <v xml:space="preserve">     Sede regional</v>
          </cell>
          <cell r="K14">
            <v>182.78745900000001</v>
          </cell>
          <cell r="L14">
            <v>834.64496199999996</v>
          </cell>
          <cell r="M14">
            <v>164.9873</v>
          </cell>
          <cell r="N14">
            <v>107.960652</v>
          </cell>
          <cell r="O14">
            <v>0</v>
          </cell>
          <cell r="P14">
            <v>0</v>
          </cell>
          <cell r="Q14">
            <v>7.9999995250545908E-7</v>
          </cell>
          <cell r="R14" t="str">
            <v xml:space="preserve">     Sede regional</v>
          </cell>
          <cell r="S14">
            <v>177.13373799999997</v>
          </cell>
          <cell r="T14">
            <v>412.40819900000002</v>
          </cell>
          <cell r="U14">
            <v>218.06301499999998</v>
          </cell>
          <cell r="V14">
            <v>278.47851300000002</v>
          </cell>
          <cell r="W14">
            <v>116.65088299999999</v>
          </cell>
          <cell r="X14">
            <v>325.36634000000004</v>
          </cell>
          <cell r="Y14">
            <v>330.776814</v>
          </cell>
          <cell r="Z14">
            <v>0</v>
          </cell>
          <cell r="AA14">
            <v>0</v>
          </cell>
          <cell r="AC14" t="str">
            <v xml:space="preserve">     Sede regional</v>
          </cell>
          <cell r="AD14">
            <v>946.255582</v>
          </cell>
          <cell r="AE14">
            <v>106.93772200000001</v>
          </cell>
          <cell r="AF14">
            <v>25.693745000000003</v>
          </cell>
          <cell r="AG14">
            <v>0</v>
          </cell>
          <cell r="AH14">
            <v>0</v>
          </cell>
          <cell r="AI14">
            <v>7.1999988904281054E-7</v>
          </cell>
          <cell r="AJ14" t="str">
            <v xml:space="preserve">     Sede regional</v>
          </cell>
          <cell r="AK14">
            <v>2022.5847199999996</v>
          </cell>
          <cell r="AL14">
            <v>1478.3488629999999</v>
          </cell>
        </row>
        <row r="15">
          <cell r="B15" t="str">
            <v>Servicios Corporativos Financieros</v>
          </cell>
          <cell r="C15">
            <v>0</v>
          </cell>
          <cell r="D15">
            <v>0</v>
          </cell>
          <cell r="E15">
            <v>0</v>
          </cell>
          <cell r="F15">
            <v>0</v>
          </cell>
          <cell r="G15">
            <v>0</v>
          </cell>
          <cell r="H15">
            <v>0</v>
          </cell>
          <cell r="J15" t="str">
            <v>Servicios Corporativos Financieros</v>
          </cell>
          <cell r="K15">
            <v>0</v>
          </cell>
          <cell r="L15">
            <v>0</v>
          </cell>
          <cell r="M15">
            <v>0</v>
          </cell>
          <cell r="N15">
            <v>0</v>
          </cell>
          <cell r="O15">
            <v>0</v>
          </cell>
          <cell r="P15">
            <v>0</v>
          </cell>
          <cell r="R15" t="str">
            <v>Servicios Corporativos Financieros</v>
          </cell>
          <cell r="S15">
            <v>0</v>
          </cell>
          <cell r="T15">
            <v>0</v>
          </cell>
          <cell r="U15">
            <v>0</v>
          </cell>
          <cell r="V15">
            <v>0</v>
          </cell>
          <cell r="W15">
            <v>0</v>
          </cell>
          <cell r="X15">
            <v>0</v>
          </cell>
          <cell r="Y15">
            <v>0</v>
          </cell>
          <cell r="Z15">
            <v>0</v>
          </cell>
          <cell r="AA15">
            <v>0</v>
          </cell>
          <cell r="AC15" t="str">
            <v>Servicios Corporativos Financieros</v>
          </cell>
          <cell r="AD15">
            <v>0</v>
          </cell>
          <cell r="AE15">
            <v>0</v>
          </cell>
          <cell r="AF15">
            <v>0</v>
          </cell>
          <cell r="AG15">
            <v>0</v>
          </cell>
          <cell r="AH15">
            <v>0</v>
          </cell>
          <cell r="AJ15" t="str">
            <v>Servicios Corporativos Financieros</v>
          </cell>
          <cell r="AK15">
            <v>0</v>
          </cell>
          <cell r="AL15">
            <v>0</v>
          </cell>
        </row>
        <row r="16">
          <cell r="B16" t="str">
            <v>UTILIDAD ANTES DE GASTOS INDIRECTOS</v>
          </cell>
          <cell r="C16">
            <v>8346.8376047699985</v>
          </cell>
          <cell r="D16">
            <v>50996.50816944</v>
          </cell>
          <cell r="E16">
            <v>54217.157274670004</v>
          </cell>
          <cell r="F16">
            <v>113981.23160128</v>
          </cell>
          <cell r="G16">
            <v>-5137.4083172300006</v>
          </cell>
          <cell r="H16">
            <v>222404.32633694002</v>
          </cell>
          <cell r="J16" t="str">
            <v>UTILIDAD ANTES DE GASTOS INDIRECTOS</v>
          </cell>
          <cell r="K16">
            <v>904.72681346000002</v>
          </cell>
          <cell r="L16">
            <v>6565.1803193899996</v>
          </cell>
          <cell r="M16">
            <v>1250.0413328900001</v>
          </cell>
          <cell r="N16">
            <v>765.52530446999981</v>
          </cell>
          <cell r="O16">
            <v>-1138.6361731999998</v>
          </cell>
          <cell r="P16">
            <v>8346.8376047699985</v>
          </cell>
          <cell r="R16" t="str">
            <v>UTILIDAD ANTES DE GASTOS INDIRECTOS</v>
          </cell>
          <cell r="S16">
            <v>939.71171201000004</v>
          </cell>
          <cell r="T16">
            <v>15257.121713050003</v>
          </cell>
          <cell r="U16">
            <v>7106.5753086499999</v>
          </cell>
          <cell r="V16">
            <v>11830.637313819998</v>
          </cell>
          <cell r="W16">
            <v>619.81331797999997</v>
          </cell>
          <cell r="X16">
            <v>8769.3758725200005</v>
          </cell>
          <cell r="Y16">
            <v>8096.23063232</v>
          </cell>
          <cell r="Z16">
            <v>-1622.9576909899999</v>
          </cell>
          <cell r="AA16">
            <v>50996.50816944</v>
          </cell>
          <cell r="AC16" t="str">
            <v>UTILIDAD ANTES DE GASTOS INDIRECTOS</v>
          </cell>
          <cell r="AD16">
            <v>92473.616589929996</v>
          </cell>
          <cell r="AE16">
            <v>19778.153930979999</v>
          </cell>
          <cell r="AF16">
            <v>2472.8728826700003</v>
          </cell>
          <cell r="AG16">
            <v>-743.41180928000017</v>
          </cell>
          <cell r="AH16">
            <v>113981.23160128</v>
          </cell>
          <cell r="AI16">
            <v>6.9800153141841292E-6</v>
          </cell>
          <cell r="AJ16" t="str">
            <v>UTILIDAD ANTES DE GASTOS INDIRECTOS</v>
          </cell>
          <cell r="AK16">
            <v>31266.998156050002</v>
          </cell>
          <cell r="AL16">
            <v>20019.997672589998</v>
          </cell>
        </row>
        <row r="17">
          <cell r="B17" t="str">
            <v>INGRESOS</v>
          </cell>
          <cell r="C17">
            <v>18384.04278484</v>
          </cell>
          <cell r="D17">
            <v>66669.446484579996</v>
          </cell>
          <cell r="E17">
            <v>63807.613476740007</v>
          </cell>
          <cell r="F17">
            <v>132332.86517269001</v>
          </cell>
          <cell r="G17">
            <v>0</v>
          </cell>
          <cell r="H17">
            <v>281137.11934884998</v>
          </cell>
          <cell r="J17" t="str">
            <v>INGRESOS</v>
          </cell>
          <cell r="K17">
            <v>3775.0039535600004</v>
          </cell>
          <cell r="L17">
            <v>10185.527706920002</v>
          </cell>
          <cell r="M17">
            <v>2946.9935826999999</v>
          </cell>
          <cell r="N17">
            <v>1476.4830426599999</v>
          </cell>
          <cell r="O17">
            <v>3.4500000000000003E-2</v>
          </cell>
          <cell r="P17">
            <v>18384.04278484</v>
          </cell>
          <cell r="R17" t="str">
            <v>INGRESOS</v>
          </cell>
          <cell r="S17">
            <v>3735.18957791</v>
          </cell>
          <cell r="T17">
            <v>19579.205260349998</v>
          </cell>
          <cell r="U17">
            <v>8673.2144425000006</v>
          </cell>
          <cell r="V17">
            <v>13970.050423449999</v>
          </cell>
          <cell r="W17">
            <v>1464.4633702900001</v>
          </cell>
          <cell r="X17">
            <v>10157.98398925</v>
          </cell>
          <cell r="Y17">
            <v>9089.3394184100016</v>
          </cell>
          <cell r="Z17">
            <v>0</v>
          </cell>
          <cell r="AA17">
            <v>66669.446484579996</v>
          </cell>
          <cell r="AC17" t="str">
            <v>INGRESOS</v>
          </cell>
          <cell r="AD17">
            <v>106304.80900328999</v>
          </cell>
          <cell r="AE17">
            <v>22572.514433359996</v>
          </cell>
          <cell r="AF17">
            <v>3455.2799850199999</v>
          </cell>
          <cell r="AG17">
            <v>0.26174799999999998</v>
          </cell>
          <cell r="AH17">
            <v>132332.86517269001</v>
          </cell>
          <cell r="AI17">
            <v>3.020046278834343E-6</v>
          </cell>
          <cell r="AJ17" t="str">
            <v>INGRESOS</v>
          </cell>
          <cell r="AK17">
            <v>33962.850562660002</v>
          </cell>
          <cell r="AL17">
            <v>22292.049971649998</v>
          </cell>
        </row>
        <row r="18">
          <cell r="B18" t="str">
            <v xml:space="preserve">   Ventas de productos</v>
          </cell>
          <cell r="C18">
            <v>18374.912545840001</v>
          </cell>
          <cell r="D18">
            <v>66608.743343580005</v>
          </cell>
          <cell r="E18">
            <v>63805.355733740013</v>
          </cell>
          <cell r="F18">
            <v>132332.60342469002</v>
          </cell>
          <cell r="G18">
            <v>0</v>
          </cell>
          <cell r="H18">
            <v>281121.61504785001</v>
          </cell>
          <cell r="J18" t="str">
            <v xml:space="preserve">   Ventas de productos</v>
          </cell>
          <cell r="K18">
            <v>3774.7040735599999</v>
          </cell>
          <cell r="L18">
            <v>10177.183942920003</v>
          </cell>
          <cell r="M18">
            <v>2946.6708306999999</v>
          </cell>
          <cell r="N18">
            <v>1476.3536996600001</v>
          </cell>
          <cell r="O18">
            <v>0</v>
          </cell>
          <cell r="P18">
            <v>18374.912545840001</v>
          </cell>
          <cell r="R18" t="str">
            <v xml:space="preserve">   Ventas de productos</v>
          </cell>
          <cell r="S18">
            <v>3735.18957791</v>
          </cell>
          <cell r="T18">
            <v>19575.350689350002</v>
          </cell>
          <cell r="U18">
            <v>8642.0480075000014</v>
          </cell>
          <cell r="V18">
            <v>13970.050423449999</v>
          </cell>
          <cell r="W18">
            <v>1438.7812352899998</v>
          </cell>
          <cell r="X18">
            <v>10157.98398925</v>
          </cell>
          <cell r="Y18">
            <v>9089.3394184100016</v>
          </cell>
          <cell r="Z18">
            <v>0</v>
          </cell>
          <cell r="AA18">
            <v>66608.743343580005</v>
          </cell>
          <cell r="AC18" t="str">
            <v xml:space="preserve">   Ventas de productos</v>
          </cell>
          <cell r="AD18">
            <v>106304.80900328999</v>
          </cell>
          <cell r="AE18">
            <v>22572.514433359996</v>
          </cell>
          <cell r="AF18">
            <v>3455.2799850199999</v>
          </cell>
          <cell r="AG18">
            <v>0</v>
          </cell>
          <cell r="AH18">
            <v>132332.60342469002</v>
          </cell>
          <cell r="AI18">
            <v>3.020046278834343E-6</v>
          </cell>
          <cell r="AJ18" t="str">
            <v xml:space="preserve">   Ventas de productos</v>
          </cell>
          <cell r="AK18">
            <v>33962.850562660002</v>
          </cell>
          <cell r="AL18">
            <v>22292.049971649998</v>
          </cell>
        </row>
        <row r="19">
          <cell r="B19" t="str">
            <v xml:space="preserve">       Crudo</v>
          </cell>
          <cell r="C19">
            <v>5702.1566489200004</v>
          </cell>
          <cell r="D19">
            <v>47734.788556550004</v>
          </cell>
          <cell r="E19">
            <v>54675.599873759988</v>
          </cell>
          <cell r="F19">
            <v>122702.20412233</v>
          </cell>
          <cell r="G19">
            <v>0</v>
          </cell>
          <cell r="H19">
            <v>230814.74920155999</v>
          </cell>
          <cell r="J19" t="str">
            <v xml:space="preserve">       Crudo</v>
          </cell>
          <cell r="K19">
            <v>2752.9907905599998</v>
          </cell>
          <cell r="L19">
            <v>0</v>
          </cell>
          <cell r="M19">
            <v>2798.0416977000004</v>
          </cell>
          <cell r="N19">
            <v>151.12416166</v>
          </cell>
          <cell r="O19">
            <v>0</v>
          </cell>
          <cell r="P19">
            <v>5702.1566489200004</v>
          </cell>
          <cell r="R19" t="str">
            <v xml:space="preserve">       Crudo</v>
          </cell>
          <cell r="S19">
            <v>2976.0169229099997</v>
          </cell>
          <cell r="T19">
            <v>15814.538796360001</v>
          </cell>
          <cell r="U19">
            <v>7240.9214504500005</v>
          </cell>
          <cell r="V19">
            <v>11611.900576490001</v>
          </cell>
          <cell r="W19">
            <v>92.128720830000006</v>
          </cell>
          <cell r="X19">
            <v>3500.22170168</v>
          </cell>
          <cell r="Y19">
            <v>6499.0603854100009</v>
          </cell>
          <cell r="Z19">
            <v>0</v>
          </cell>
          <cell r="AA19">
            <v>47734.788556550004</v>
          </cell>
          <cell r="AC19" t="str">
            <v xml:space="preserve">       Crudo</v>
          </cell>
          <cell r="AD19">
            <v>99094.906015529996</v>
          </cell>
          <cell r="AE19">
            <v>20382.342424900002</v>
          </cell>
          <cell r="AF19">
            <v>3224.9556788799996</v>
          </cell>
          <cell r="AG19">
            <v>0</v>
          </cell>
          <cell r="AH19">
            <v>122702.20412233</v>
          </cell>
          <cell r="AI19">
            <v>3.0200026230886579E-6</v>
          </cell>
          <cell r="AJ19" t="str">
            <v xml:space="preserve">       Crudo</v>
          </cell>
          <cell r="AK19">
            <v>29299.672023659998</v>
          </cell>
          <cell r="AL19">
            <v>19405.739676649999</v>
          </cell>
        </row>
        <row r="20">
          <cell r="B20" t="str">
            <v xml:space="preserve">           Facturado</v>
          </cell>
          <cell r="C20">
            <v>5702.2924079199993</v>
          </cell>
          <cell r="D20">
            <v>47734.806048550003</v>
          </cell>
          <cell r="E20">
            <v>54675.684838759989</v>
          </cell>
          <cell r="F20">
            <v>122702.22462533001</v>
          </cell>
          <cell r="G20">
            <v>0</v>
          </cell>
          <cell r="H20">
            <v>230815.00792055999</v>
          </cell>
          <cell r="J20" t="str">
            <v xml:space="preserve">           Facturado</v>
          </cell>
          <cell r="K20">
            <v>2753.0640475599998</v>
          </cell>
          <cell r="L20">
            <v>0</v>
          </cell>
          <cell r="M20">
            <v>2798.0999587000006</v>
          </cell>
          <cell r="N20">
            <v>151.12840165999998</v>
          </cell>
          <cell r="O20">
            <v>0</v>
          </cell>
          <cell r="P20">
            <v>5702.2924079199993</v>
          </cell>
          <cell r="R20" t="str">
            <v xml:space="preserve">           Facturado</v>
          </cell>
          <cell r="S20">
            <v>2976.0192089099996</v>
          </cell>
          <cell r="T20">
            <v>15814.550200360001</v>
          </cell>
          <cell r="U20">
            <v>7240.9233384500003</v>
          </cell>
          <cell r="V20">
            <v>11611.90160049</v>
          </cell>
          <cell r="W20">
            <v>92.128873830000003</v>
          </cell>
          <cell r="X20">
            <v>3500.2220096800002</v>
          </cell>
          <cell r="Y20">
            <v>6499.0608164100013</v>
          </cell>
          <cell r="Z20">
            <v>0</v>
          </cell>
          <cell r="AA20">
            <v>47734.806048550003</v>
          </cell>
          <cell r="AC20" t="str">
            <v xml:space="preserve">           Facturado</v>
          </cell>
          <cell r="AD20">
            <v>99094.922163529991</v>
          </cell>
          <cell r="AE20">
            <v>20382.345816900001</v>
          </cell>
          <cell r="AF20">
            <v>3224.9566448800001</v>
          </cell>
          <cell r="AG20">
            <v>0</v>
          </cell>
          <cell r="AH20">
            <v>122702.22462533001</v>
          </cell>
          <cell r="AI20">
            <v>2.0023435354232788E-8</v>
          </cell>
          <cell r="AJ20" t="str">
            <v xml:space="preserve">           Facturado</v>
          </cell>
          <cell r="AK20">
            <v>29299.715985659994</v>
          </cell>
          <cell r="AL20">
            <v>19405.771260649999</v>
          </cell>
        </row>
        <row r="21">
          <cell r="B21" t="str">
            <v xml:space="preserve">          Ajuste por calidad</v>
          </cell>
          <cell r="C21">
            <v>-0.13575899999999999</v>
          </cell>
          <cell r="D21">
            <v>-1.7492000000000001E-2</v>
          </cell>
          <cell r="E21">
            <v>-8.4964999999999999E-2</v>
          </cell>
          <cell r="F21">
            <v>-2.0503E-2</v>
          </cell>
          <cell r="G21">
            <v>0</v>
          </cell>
          <cell r="H21">
            <v>-0.25871900000000003</v>
          </cell>
          <cell r="J21" t="str">
            <v xml:space="preserve">          Ajuste por calidad</v>
          </cell>
          <cell r="K21">
            <v>-7.3257000000000003E-2</v>
          </cell>
          <cell r="L21">
            <v>0</v>
          </cell>
          <cell r="M21">
            <v>-5.8260999999999993E-2</v>
          </cell>
          <cell r="N21">
            <v>-4.2399999999999998E-3</v>
          </cell>
          <cell r="O21">
            <v>0</v>
          </cell>
          <cell r="P21">
            <v>-0.13575899999999999</v>
          </cell>
          <cell r="R21" t="str">
            <v xml:space="preserve">          Ajuste por calidad</v>
          </cell>
          <cell r="S21">
            <v>-2.2860000000000003E-3</v>
          </cell>
          <cell r="T21">
            <v>-1.1404000000000001E-2</v>
          </cell>
          <cell r="U21">
            <v>-1.8879999999999997E-3</v>
          </cell>
          <cell r="V21">
            <v>-1.024E-3</v>
          </cell>
          <cell r="W21">
            <v>-1.5300000000000003E-4</v>
          </cell>
          <cell r="X21">
            <v>-3.0800000000000001E-4</v>
          </cell>
          <cell r="Y21">
            <v>-4.3100000000000001E-4</v>
          </cell>
          <cell r="Z21">
            <v>0</v>
          </cell>
          <cell r="AA21">
            <v>-1.7492000000000001E-2</v>
          </cell>
          <cell r="AC21" t="str">
            <v xml:space="preserve">          Ajuste por calidad</v>
          </cell>
          <cell r="AD21">
            <v>-1.6147999999999999E-2</v>
          </cell>
          <cell r="AE21">
            <v>-3.3919999999999996E-3</v>
          </cell>
          <cell r="AF21">
            <v>-9.6599999999999995E-4</v>
          </cell>
          <cell r="AG21">
            <v>0</v>
          </cell>
          <cell r="AH21">
            <v>-2.0503E-2</v>
          </cell>
          <cell r="AI21">
            <v>2.9999999999995308E-6</v>
          </cell>
          <cell r="AJ21" t="str">
            <v xml:space="preserve">          Ajuste por calidad</v>
          </cell>
          <cell r="AK21">
            <v>-4.3962000000000001E-2</v>
          </cell>
          <cell r="AL21">
            <v>-3.1584000000000001E-2</v>
          </cell>
        </row>
        <row r="22">
          <cell r="B22" t="str">
            <v xml:space="preserve">      Gas</v>
          </cell>
          <cell r="C22">
            <v>12491.609667999999</v>
          </cell>
          <cell r="D22">
            <v>17936.631599</v>
          </cell>
          <cell r="E22">
            <v>6633.0841490000003</v>
          </cell>
          <cell r="F22">
            <v>7357.4892689999997</v>
          </cell>
          <cell r="G22">
            <v>0</v>
          </cell>
          <cell r="H22">
            <v>44418.814684999998</v>
          </cell>
          <cell r="J22" t="str">
            <v xml:space="preserve">      Gas</v>
          </cell>
          <cell r="K22">
            <v>1021.7132829999999</v>
          </cell>
          <cell r="L22">
            <v>9996.0377140000001</v>
          </cell>
          <cell r="M22">
            <v>148.62913300000002</v>
          </cell>
          <cell r="N22">
            <v>1325.2295379999998</v>
          </cell>
          <cell r="O22">
            <v>0</v>
          </cell>
          <cell r="P22">
            <v>12491.609667999999</v>
          </cell>
          <cell r="R22" t="str">
            <v xml:space="preserve">      Gas</v>
          </cell>
          <cell r="S22">
            <v>759.17265499999985</v>
          </cell>
          <cell r="T22">
            <v>3638.5698950000005</v>
          </cell>
          <cell r="U22">
            <v>1190.2969540000001</v>
          </cell>
          <cell r="V22">
            <v>2124.5191260000001</v>
          </cell>
          <cell r="W22">
            <v>1280.725142</v>
          </cell>
          <cell r="X22">
            <v>6353.0687940000007</v>
          </cell>
          <cell r="Y22">
            <v>2590.2790329999998</v>
          </cell>
          <cell r="Z22">
            <v>0</v>
          </cell>
          <cell r="AA22">
            <v>17936.631599</v>
          </cell>
          <cell r="AC22" t="str">
            <v xml:space="preserve">      Gas</v>
          </cell>
          <cell r="AD22">
            <v>5533.1837369999994</v>
          </cell>
          <cell r="AE22">
            <v>1651.5142340000002</v>
          </cell>
          <cell r="AF22">
            <v>172.79129799999998</v>
          </cell>
          <cell r="AG22">
            <v>0</v>
          </cell>
          <cell r="AH22">
            <v>7357.4892689999997</v>
          </cell>
          <cell r="AI22">
            <v>0</v>
          </cell>
          <cell r="AJ22" t="str">
            <v xml:space="preserve">      Gas</v>
          </cell>
          <cell r="AK22">
            <v>3411.9404169999993</v>
          </cell>
          <cell r="AL22">
            <v>2091.7008469999996</v>
          </cell>
        </row>
        <row r="23">
          <cell r="B23" t="str">
            <v xml:space="preserve">            Húmedo Amargo</v>
          </cell>
          <cell r="C23">
            <v>2193.1831029999998</v>
          </cell>
          <cell r="D23">
            <v>15896.733802000002</v>
          </cell>
          <cell r="E23">
            <v>6633.0841490000003</v>
          </cell>
          <cell r="F23">
            <v>7357.4892689999997</v>
          </cell>
          <cell r="G23">
            <v>0</v>
          </cell>
          <cell r="H23">
            <v>32080.490322999998</v>
          </cell>
          <cell r="J23" t="str">
            <v xml:space="preserve">            Húmedo Amargo</v>
          </cell>
          <cell r="K23">
            <v>1021.7132829999999</v>
          </cell>
          <cell r="L23">
            <v>0</v>
          </cell>
          <cell r="M23">
            <v>148.62913300000002</v>
          </cell>
          <cell r="N23">
            <v>1022.840687</v>
          </cell>
          <cell r="O23">
            <v>0</v>
          </cell>
          <cell r="P23">
            <v>2193.1831029999998</v>
          </cell>
          <cell r="R23" t="str">
            <v xml:space="preserve">            Húmedo Amargo</v>
          </cell>
          <cell r="S23">
            <v>0</v>
          </cell>
          <cell r="T23">
            <v>3638.5698950000005</v>
          </cell>
          <cell r="U23">
            <v>1190.2969540000001</v>
          </cell>
          <cell r="V23">
            <v>2124.5191260000001</v>
          </cell>
          <cell r="W23">
            <v>0</v>
          </cell>
          <cell r="X23">
            <v>6353.0687940000007</v>
          </cell>
          <cell r="Y23">
            <v>2590.2790329999998</v>
          </cell>
          <cell r="Z23">
            <v>0</v>
          </cell>
          <cell r="AA23">
            <v>15896.733802000002</v>
          </cell>
          <cell r="AC23" t="str">
            <v xml:space="preserve">            Húmedo Amargo</v>
          </cell>
          <cell r="AD23">
            <v>5533.1837369999994</v>
          </cell>
          <cell r="AE23">
            <v>1651.5142340000002</v>
          </cell>
          <cell r="AF23">
            <v>172.79129799999998</v>
          </cell>
          <cell r="AG23">
            <v>0</v>
          </cell>
          <cell r="AH23">
            <v>7357.4892689999997</v>
          </cell>
          <cell r="AI23">
            <v>0</v>
          </cell>
          <cell r="AJ23" t="str">
            <v xml:space="preserve">            Húmedo Amargo</v>
          </cell>
          <cell r="AK23">
            <v>3411.9404169999993</v>
          </cell>
          <cell r="AL23">
            <v>2091.7008469999996</v>
          </cell>
        </row>
        <row r="24">
          <cell r="B24" t="str">
            <v xml:space="preserve">            Húmedo Dulce</v>
          </cell>
          <cell r="C24">
            <v>2492.8237779999999</v>
          </cell>
          <cell r="D24">
            <v>2039.8977970000003</v>
          </cell>
          <cell r="E24">
            <v>0</v>
          </cell>
          <cell r="F24">
            <v>0</v>
          </cell>
          <cell r="G24">
            <v>0</v>
          </cell>
          <cell r="H24">
            <v>4532.7215750000005</v>
          </cell>
          <cell r="J24" t="str">
            <v xml:space="preserve">            Húmedo Dulce</v>
          </cell>
          <cell r="K24">
            <v>0</v>
          </cell>
          <cell r="L24">
            <v>2492.8237779999999</v>
          </cell>
          <cell r="M24">
            <v>0</v>
          </cell>
          <cell r="N24">
            <v>0</v>
          </cell>
          <cell r="O24">
            <v>0</v>
          </cell>
          <cell r="P24">
            <v>2492.8237779999999</v>
          </cell>
          <cell r="R24" t="str">
            <v xml:space="preserve">            Húmedo Dulce</v>
          </cell>
          <cell r="S24">
            <v>759.17265499999985</v>
          </cell>
          <cell r="T24">
            <v>0</v>
          </cell>
          <cell r="U24">
            <v>0</v>
          </cell>
          <cell r="V24">
            <v>0</v>
          </cell>
          <cell r="W24">
            <v>1280.725142</v>
          </cell>
          <cell r="X24">
            <v>0</v>
          </cell>
          <cell r="Y24">
            <v>0</v>
          </cell>
          <cell r="Z24">
            <v>0</v>
          </cell>
          <cell r="AA24">
            <v>2039.8977970000003</v>
          </cell>
          <cell r="AC24" t="str">
            <v xml:space="preserve">            Húmedo Dulce</v>
          </cell>
          <cell r="AD24">
            <v>0</v>
          </cell>
          <cell r="AE24">
            <v>0</v>
          </cell>
          <cell r="AF24">
            <v>0</v>
          </cell>
          <cell r="AG24">
            <v>0</v>
          </cell>
          <cell r="AH24">
            <v>0</v>
          </cell>
          <cell r="AI24">
            <v>0</v>
          </cell>
          <cell r="AJ24" t="str">
            <v xml:space="preserve">            Húmedo Dulce</v>
          </cell>
          <cell r="AK24">
            <v>0</v>
          </cell>
          <cell r="AL24">
            <v>0</v>
          </cell>
        </row>
        <row r="25">
          <cell r="B25" t="str">
            <v xml:space="preserve">            Seco</v>
          </cell>
          <cell r="C25">
            <v>7805.6027869999998</v>
          </cell>
          <cell r="D25">
            <v>0</v>
          </cell>
          <cell r="E25">
            <v>0</v>
          </cell>
          <cell r="F25">
            <v>0</v>
          </cell>
          <cell r="G25">
            <v>0</v>
          </cell>
          <cell r="H25">
            <v>7805.6027869999998</v>
          </cell>
          <cell r="J25" t="str">
            <v xml:space="preserve">            Seco</v>
          </cell>
          <cell r="K25">
            <v>0</v>
          </cell>
          <cell r="L25">
            <v>7503.2139360000001</v>
          </cell>
          <cell r="M25">
            <v>0</v>
          </cell>
          <cell r="N25">
            <v>302.38885100000005</v>
          </cell>
          <cell r="O25">
            <v>0</v>
          </cell>
          <cell r="P25">
            <v>7805.6027869999998</v>
          </cell>
          <cell r="R25" t="str">
            <v xml:space="preserve">            Seco</v>
          </cell>
          <cell r="S25">
            <v>0</v>
          </cell>
          <cell r="T25">
            <v>0</v>
          </cell>
          <cell r="U25">
            <v>0</v>
          </cell>
          <cell r="V25">
            <v>0</v>
          </cell>
          <cell r="W25">
            <v>0</v>
          </cell>
          <cell r="X25">
            <v>0</v>
          </cell>
          <cell r="Y25">
            <v>0</v>
          </cell>
          <cell r="Z25">
            <v>0</v>
          </cell>
          <cell r="AA25">
            <v>0</v>
          </cell>
          <cell r="AC25" t="str">
            <v xml:space="preserve">            Seco</v>
          </cell>
          <cell r="AD25">
            <v>0</v>
          </cell>
          <cell r="AE25">
            <v>0</v>
          </cell>
          <cell r="AF25">
            <v>0</v>
          </cell>
          <cell r="AG25">
            <v>0</v>
          </cell>
          <cell r="AH25">
            <v>0</v>
          </cell>
          <cell r="AI25">
            <v>0</v>
          </cell>
          <cell r="AJ25" t="str">
            <v xml:space="preserve">            Seco</v>
          </cell>
          <cell r="AK25">
            <v>0</v>
          </cell>
          <cell r="AL25">
            <v>0</v>
          </cell>
        </row>
        <row r="26">
          <cell r="B26" t="str">
            <v xml:space="preserve">        Condensado</v>
          </cell>
          <cell r="C26">
            <v>181.14622892</v>
          </cell>
          <cell r="D26">
            <v>937.32318802999998</v>
          </cell>
          <cell r="E26">
            <v>2496.6717109800002</v>
          </cell>
          <cell r="F26">
            <v>2272.9100333599999</v>
          </cell>
          <cell r="G26">
            <v>0</v>
          </cell>
          <cell r="H26">
            <v>5888.05116129</v>
          </cell>
          <cell r="J26" t="str">
            <v xml:space="preserve">        Condensado</v>
          </cell>
          <cell r="K26">
            <v>0</v>
          </cell>
          <cell r="L26">
            <v>181.14622892</v>
          </cell>
          <cell r="M26">
            <v>0</v>
          </cell>
          <cell r="N26">
            <v>0</v>
          </cell>
          <cell r="O26">
            <v>0</v>
          </cell>
          <cell r="P26">
            <v>181.14622892</v>
          </cell>
          <cell r="R26" t="str">
            <v xml:space="preserve">        Condensado</v>
          </cell>
          <cell r="S26">
            <v>0</v>
          </cell>
          <cell r="T26">
            <v>122.24199798999999</v>
          </cell>
          <cell r="U26">
            <v>210.82960305</v>
          </cell>
          <cell r="V26">
            <v>233.63072095999999</v>
          </cell>
          <cell r="W26">
            <v>65.927372460000001</v>
          </cell>
          <cell r="X26">
            <v>304.69349356999999</v>
          </cell>
          <cell r="Y26">
            <v>0</v>
          </cell>
          <cell r="Z26">
            <v>0</v>
          </cell>
          <cell r="AA26">
            <v>937.32318802999998</v>
          </cell>
          <cell r="AC26" t="str">
            <v xml:space="preserve">        Condensado</v>
          </cell>
          <cell r="AD26">
            <v>1676.71925076</v>
          </cell>
          <cell r="AE26">
            <v>538.65777446000004</v>
          </cell>
          <cell r="AF26">
            <v>57.533008140000014</v>
          </cell>
          <cell r="AG26">
            <v>0</v>
          </cell>
          <cell r="AH26">
            <v>2272.9100333599999</v>
          </cell>
          <cell r="AI26">
            <v>0</v>
          </cell>
          <cell r="AJ26" t="str">
            <v xml:space="preserve">        Condensado</v>
          </cell>
          <cell r="AK26">
            <v>1251.238122</v>
          </cell>
          <cell r="AL26">
            <v>794.60944800000016</v>
          </cell>
        </row>
        <row r="27">
          <cell r="B27" t="str">
            <v xml:space="preserve">   Ventas de servicios interorganismos</v>
          </cell>
          <cell r="C27">
            <v>9.1302389999999995</v>
          </cell>
          <cell r="D27">
            <v>3.8545710000000004</v>
          </cell>
          <cell r="E27">
            <v>2.2577429999999996</v>
          </cell>
          <cell r="F27">
            <v>0.26174799999999998</v>
          </cell>
          <cell r="G27">
            <v>0</v>
          </cell>
          <cell r="H27">
            <v>15.504301</v>
          </cell>
          <cell r="J27" t="str">
            <v xml:space="preserve">   Ventas de servicios interorganismos</v>
          </cell>
          <cell r="K27">
            <v>0.29987999999999998</v>
          </cell>
          <cell r="L27">
            <v>8.3437640000000002</v>
          </cell>
          <cell r="M27">
            <v>0.32275199999999998</v>
          </cell>
          <cell r="N27">
            <v>0.12934299999999999</v>
          </cell>
          <cell r="O27">
            <v>3.4500000000000003E-2</v>
          </cell>
          <cell r="P27">
            <v>9.1302389999999995</v>
          </cell>
          <cell r="R27" t="str">
            <v xml:space="preserve">   Ventas de servicios interorganismos</v>
          </cell>
          <cell r="S27">
            <v>0</v>
          </cell>
          <cell r="T27">
            <v>3.8545710000000004</v>
          </cell>
          <cell r="U27">
            <v>0</v>
          </cell>
          <cell r="V27">
            <v>0</v>
          </cell>
          <cell r="W27">
            <v>0</v>
          </cell>
          <cell r="X27">
            <v>0</v>
          </cell>
          <cell r="Y27">
            <v>0</v>
          </cell>
          <cell r="Z27">
            <v>0</v>
          </cell>
          <cell r="AA27">
            <v>3.8545710000000004</v>
          </cell>
          <cell r="AC27" t="str">
            <v xml:space="preserve">   Ventas de servicios interorganismos</v>
          </cell>
          <cell r="AD27">
            <v>0</v>
          </cell>
          <cell r="AE27">
            <v>0</v>
          </cell>
          <cell r="AF27">
            <v>0</v>
          </cell>
          <cell r="AG27">
            <v>0.26174799999999998</v>
          </cell>
          <cell r="AH27">
            <v>0.26174799999999998</v>
          </cell>
          <cell r="AI27">
            <v>0</v>
          </cell>
          <cell r="AJ27" t="str">
            <v xml:space="preserve">   Ventas de servicios interorganismos</v>
          </cell>
          <cell r="AK27">
            <v>0</v>
          </cell>
          <cell r="AL27">
            <v>0</v>
          </cell>
        </row>
        <row r="28">
          <cell r="B28" t="str">
            <v xml:space="preserve">        Pemex Refinación</v>
          </cell>
          <cell r="C28">
            <v>0.11424699999999999</v>
          </cell>
          <cell r="D28">
            <v>0</v>
          </cell>
          <cell r="E28">
            <v>0.16155</v>
          </cell>
          <cell r="F28">
            <v>0</v>
          </cell>
          <cell r="G28">
            <v>0</v>
          </cell>
          <cell r="H28">
            <v>0.27579700000000001</v>
          </cell>
          <cell r="J28" t="str">
            <v xml:space="preserve">        Pemex Refinación</v>
          </cell>
          <cell r="K28">
            <v>3.6137000000000002E-2</v>
          </cell>
          <cell r="L28">
            <v>0</v>
          </cell>
          <cell r="M28">
            <v>2.3387999999999999E-2</v>
          </cell>
          <cell r="N28">
            <v>5.4722E-2</v>
          </cell>
          <cell r="O28">
            <v>0</v>
          </cell>
          <cell r="P28">
            <v>0.11424699999999999</v>
          </cell>
          <cell r="R28" t="str">
            <v xml:space="preserve">        Pemex Refinación</v>
          </cell>
          <cell r="S28">
            <v>0</v>
          </cell>
          <cell r="T28">
            <v>0</v>
          </cell>
          <cell r="U28">
            <v>0</v>
          </cell>
          <cell r="V28">
            <v>0</v>
          </cell>
          <cell r="W28">
            <v>0</v>
          </cell>
          <cell r="X28">
            <v>0</v>
          </cell>
          <cell r="Y28">
            <v>0</v>
          </cell>
          <cell r="Z28">
            <v>0</v>
          </cell>
          <cell r="AA28">
            <v>0</v>
          </cell>
          <cell r="AC28" t="str">
            <v xml:space="preserve">        Pemex Refinación</v>
          </cell>
          <cell r="AD28">
            <v>0</v>
          </cell>
          <cell r="AE28">
            <v>0</v>
          </cell>
          <cell r="AF28">
            <v>0</v>
          </cell>
          <cell r="AG28">
            <v>0</v>
          </cell>
          <cell r="AH28">
            <v>0</v>
          </cell>
          <cell r="AI28">
            <v>0</v>
          </cell>
          <cell r="AJ28" t="str">
            <v xml:space="preserve">        Pemex Refinación</v>
          </cell>
          <cell r="AK28">
            <v>0</v>
          </cell>
          <cell r="AL28">
            <v>0</v>
          </cell>
        </row>
        <row r="29">
          <cell r="B29" t="str">
            <v xml:space="preserve">        Pemex Gas y Petroquímica Básica</v>
          </cell>
          <cell r="C29">
            <v>8.44224</v>
          </cell>
          <cell r="D29">
            <v>3.8545710000000004</v>
          </cell>
          <cell r="E29">
            <v>0</v>
          </cell>
          <cell r="F29">
            <v>0</v>
          </cell>
          <cell r="G29">
            <v>0</v>
          </cell>
          <cell r="H29">
            <v>12.296811000000002</v>
          </cell>
          <cell r="J29" t="str">
            <v xml:space="preserve">        Pemex Gas y Petroquímica Básica</v>
          </cell>
          <cell r="K29">
            <v>6.1204000000000001E-2</v>
          </cell>
          <cell r="L29">
            <v>8.3437640000000002</v>
          </cell>
          <cell r="M29">
            <v>0</v>
          </cell>
          <cell r="N29">
            <v>3.7272E-2</v>
          </cell>
          <cell r="O29">
            <v>0</v>
          </cell>
          <cell r="P29">
            <v>8.44224</v>
          </cell>
          <cell r="R29" t="str">
            <v xml:space="preserve">        Pemex Gas y Petroquímica Básica</v>
          </cell>
          <cell r="S29">
            <v>0</v>
          </cell>
          <cell r="T29">
            <v>3.8545710000000004</v>
          </cell>
          <cell r="U29">
            <v>0</v>
          </cell>
          <cell r="V29">
            <v>0</v>
          </cell>
          <cell r="W29">
            <v>0</v>
          </cell>
          <cell r="X29">
            <v>0</v>
          </cell>
          <cell r="Y29">
            <v>0</v>
          </cell>
          <cell r="Z29">
            <v>0</v>
          </cell>
          <cell r="AA29">
            <v>3.8545710000000004</v>
          </cell>
          <cell r="AC29" t="str">
            <v xml:space="preserve">        Pemex Gas y Petroquímica Básica</v>
          </cell>
          <cell r="AD29">
            <v>0</v>
          </cell>
          <cell r="AE29">
            <v>0</v>
          </cell>
          <cell r="AF29">
            <v>0</v>
          </cell>
          <cell r="AG29">
            <v>0</v>
          </cell>
          <cell r="AH29">
            <v>0</v>
          </cell>
          <cell r="AI29">
            <v>0</v>
          </cell>
          <cell r="AJ29" t="str">
            <v xml:space="preserve">        Pemex Gas y Petroquímica Básica</v>
          </cell>
          <cell r="AK29">
            <v>0</v>
          </cell>
          <cell r="AL29">
            <v>0</v>
          </cell>
        </row>
        <row r="30">
          <cell r="B30" t="str">
            <v xml:space="preserve">        Pemex Petroquímica</v>
          </cell>
          <cell r="C30">
            <v>0</v>
          </cell>
          <cell r="D30">
            <v>0</v>
          </cell>
          <cell r="E30">
            <v>0</v>
          </cell>
          <cell r="F30">
            <v>0</v>
          </cell>
          <cell r="G30">
            <v>0</v>
          </cell>
          <cell r="H30">
            <v>0</v>
          </cell>
          <cell r="J30" t="str">
            <v xml:space="preserve">        Pemex Petroquímica</v>
          </cell>
          <cell r="K30">
            <v>0</v>
          </cell>
          <cell r="L30">
            <v>0</v>
          </cell>
          <cell r="M30">
            <v>0</v>
          </cell>
          <cell r="N30">
            <v>0</v>
          </cell>
          <cell r="O30">
            <v>0</v>
          </cell>
          <cell r="P30">
            <v>0</v>
          </cell>
          <cell r="R30" t="str">
            <v xml:space="preserve">        Pemex Petroquímica</v>
          </cell>
          <cell r="S30">
            <v>0</v>
          </cell>
          <cell r="T30">
            <v>0</v>
          </cell>
          <cell r="U30">
            <v>0</v>
          </cell>
          <cell r="V30">
            <v>0</v>
          </cell>
          <cell r="W30">
            <v>0</v>
          </cell>
          <cell r="X30">
            <v>0</v>
          </cell>
          <cell r="Y30">
            <v>0</v>
          </cell>
          <cell r="Z30">
            <v>0</v>
          </cell>
          <cell r="AA30">
            <v>0</v>
          </cell>
          <cell r="AC30" t="str">
            <v xml:space="preserve">        Pemex Petroquímica</v>
          </cell>
          <cell r="AD30">
            <v>0</v>
          </cell>
          <cell r="AE30">
            <v>0</v>
          </cell>
          <cell r="AF30">
            <v>0</v>
          </cell>
          <cell r="AG30">
            <v>0</v>
          </cell>
          <cell r="AH30">
            <v>0</v>
          </cell>
          <cell r="AI30">
            <v>0</v>
          </cell>
          <cell r="AJ30" t="str">
            <v xml:space="preserve">        Pemex Petroquímica</v>
          </cell>
          <cell r="AK30">
            <v>0</v>
          </cell>
          <cell r="AL30">
            <v>0</v>
          </cell>
        </row>
        <row r="31">
          <cell r="B31" t="str">
            <v xml:space="preserve">        Pemex Corporativo</v>
          </cell>
          <cell r="C31">
            <v>0.57375200000000004</v>
          </cell>
          <cell r="D31">
            <v>0</v>
          </cell>
          <cell r="E31">
            <v>2.096193</v>
          </cell>
          <cell r="F31">
            <v>0.26174799999999998</v>
          </cell>
          <cell r="G31">
            <v>0</v>
          </cell>
          <cell r="H31">
            <v>2.9316930000000001</v>
          </cell>
          <cell r="J31" t="str">
            <v xml:space="preserve">        Pemex Corporativo</v>
          </cell>
          <cell r="K31">
            <v>0.202539</v>
          </cell>
          <cell r="L31">
            <v>0</v>
          </cell>
          <cell r="M31">
            <v>0.29936399999999996</v>
          </cell>
          <cell r="N31">
            <v>3.7349E-2</v>
          </cell>
          <cell r="O31">
            <v>3.4500000000000003E-2</v>
          </cell>
          <cell r="P31">
            <v>0.57375200000000004</v>
          </cell>
          <cell r="R31" t="str">
            <v xml:space="preserve">        Pemex Corporativo</v>
          </cell>
          <cell r="S31">
            <v>0</v>
          </cell>
          <cell r="T31">
            <v>0</v>
          </cell>
          <cell r="U31">
            <v>0</v>
          </cell>
          <cell r="V31">
            <v>0</v>
          </cell>
          <cell r="W31">
            <v>0</v>
          </cell>
          <cell r="X31">
            <v>0</v>
          </cell>
          <cell r="Y31">
            <v>0</v>
          </cell>
          <cell r="Z31">
            <v>0</v>
          </cell>
          <cell r="AA31">
            <v>0</v>
          </cell>
          <cell r="AC31" t="str">
            <v xml:space="preserve">        Pemex Corporativo</v>
          </cell>
          <cell r="AD31">
            <v>0</v>
          </cell>
          <cell r="AE31">
            <v>0</v>
          </cell>
          <cell r="AF31">
            <v>0</v>
          </cell>
          <cell r="AG31">
            <v>0.26174799999999998</v>
          </cell>
          <cell r="AH31">
            <v>0.26174799999999998</v>
          </cell>
          <cell r="AI31">
            <v>0</v>
          </cell>
          <cell r="AJ31" t="str">
            <v xml:space="preserve">        Pemex Corporativo</v>
          </cell>
          <cell r="AK31">
            <v>0</v>
          </cell>
          <cell r="AL31">
            <v>0</v>
          </cell>
        </row>
        <row r="32">
          <cell r="B32" t="str">
            <v xml:space="preserve">   Ventas de productos y servicios Interregiones</v>
          </cell>
          <cell r="C32">
            <v>0</v>
          </cell>
          <cell r="D32">
            <v>56.848570000000009</v>
          </cell>
          <cell r="E32">
            <v>0</v>
          </cell>
          <cell r="F32">
            <v>0</v>
          </cell>
          <cell r="G32">
            <v>0</v>
          </cell>
          <cell r="H32">
            <v>0</v>
          </cell>
          <cell r="J32" t="str">
            <v xml:space="preserve">   Ventas de productos y servicios Interregiones</v>
          </cell>
          <cell r="K32">
            <v>0</v>
          </cell>
          <cell r="L32">
            <v>0</v>
          </cell>
          <cell r="M32">
            <v>0</v>
          </cell>
          <cell r="N32">
            <v>0</v>
          </cell>
          <cell r="O32">
            <v>0</v>
          </cell>
          <cell r="P32">
            <v>0</v>
          </cell>
          <cell r="R32" t="str">
            <v xml:space="preserve">   Ventas de productos y servicios Interregiones</v>
          </cell>
          <cell r="S32">
            <v>0</v>
          </cell>
          <cell r="T32">
            <v>0</v>
          </cell>
          <cell r="U32">
            <v>31.166434999999996</v>
          </cell>
          <cell r="V32">
            <v>0</v>
          </cell>
          <cell r="W32">
            <v>25.682134999999999</v>
          </cell>
          <cell r="X32">
            <v>0</v>
          </cell>
          <cell r="Y32">
            <v>0</v>
          </cell>
          <cell r="Z32">
            <v>0</v>
          </cell>
          <cell r="AA32">
            <v>56.848570000000009</v>
          </cell>
          <cell r="AC32" t="str">
            <v xml:space="preserve">   Ventas de productos y servicios Interregiones</v>
          </cell>
          <cell r="AD32">
            <v>0</v>
          </cell>
          <cell r="AE32">
            <v>0</v>
          </cell>
          <cell r="AF32">
            <v>0</v>
          </cell>
          <cell r="AG32">
            <v>0</v>
          </cell>
          <cell r="AH32">
            <v>0</v>
          </cell>
          <cell r="AI32">
            <v>0</v>
          </cell>
          <cell r="AJ32" t="str">
            <v xml:space="preserve">   Ventas de productos y servicios Interregiones</v>
          </cell>
          <cell r="AK32">
            <v>0</v>
          </cell>
          <cell r="AL32">
            <v>0</v>
          </cell>
        </row>
        <row r="33">
          <cell r="B33" t="str">
            <v xml:space="preserve">   Ventas de productos y servicios Interdistritos</v>
          </cell>
          <cell r="C33">
            <v>0</v>
          </cell>
          <cell r="D33">
            <v>0</v>
          </cell>
          <cell r="E33">
            <v>0</v>
          </cell>
          <cell r="F33">
            <v>0</v>
          </cell>
          <cell r="G33">
            <v>0</v>
          </cell>
          <cell r="H33">
            <v>0</v>
          </cell>
          <cell r="J33" t="str">
            <v xml:space="preserve">   Ventas de productos y servicios Interdistritos</v>
          </cell>
          <cell r="K33">
            <v>0</v>
          </cell>
          <cell r="L33">
            <v>0</v>
          </cell>
          <cell r="M33">
            <v>0</v>
          </cell>
          <cell r="N33">
            <v>0</v>
          </cell>
          <cell r="O33">
            <v>0</v>
          </cell>
          <cell r="P33">
            <v>0</v>
          </cell>
          <cell r="R33" t="str">
            <v xml:space="preserve">   Ventas de productos y servicios Interdistritos</v>
          </cell>
          <cell r="S33">
            <v>0</v>
          </cell>
          <cell r="T33">
            <v>0</v>
          </cell>
          <cell r="U33">
            <v>0</v>
          </cell>
          <cell r="V33">
            <v>0</v>
          </cell>
          <cell r="W33">
            <v>0</v>
          </cell>
          <cell r="X33">
            <v>0</v>
          </cell>
          <cell r="Y33">
            <v>0</v>
          </cell>
          <cell r="Z33">
            <v>0</v>
          </cell>
          <cell r="AA33">
            <v>0</v>
          </cell>
          <cell r="AC33" t="str">
            <v xml:space="preserve">   Ventas de productos y servicios Interdistritos</v>
          </cell>
          <cell r="AD33">
            <v>0</v>
          </cell>
          <cell r="AE33">
            <v>0</v>
          </cell>
          <cell r="AF33">
            <v>0</v>
          </cell>
          <cell r="AG33">
            <v>0</v>
          </cell>
          <cell r="AH33">
            <v>0</v>
          </cell>
          <cell r="AI33">
            <v>0</v>
          </cell>
          <cell r="AJ33" t="str">
            <v xml:space="preserve">   Ventas de productos y servicios Interdistritos</v>
          </cell>
          <cell r="AK33">
            <v>0</v>
          </cell>
          <cell r="AL33">
            <v>0</v>
          </cell>
        </row>
        <row r="34">
          <cell r="B34" t="str">
            <v>EGRESOS</v>
          </cell>
          <cell r="C34">
            <v>10037.205180069999</v>
          </cell>
          <cell r="D34">
            <v>15672.93831514</v>
          </cell>
          <cell r="E34">
            <v>9590.4562020699996</v>
          </cell>
          <cell r="F34">
            <v>18351.633571410002</v>
          </cell>
          <cell r="G34">
            <v>5137.4083172300006</v>
          </cell>
          <cell r="H34">
            <v>58732.793011909998</v>
          </cell>
          <cell r="J34" t="str">
            <v>EGRESOS</v>
          </cell>
          <cell r="K34">
            <v>2870.2771401</v>
          </cell>
          <cell r="L34">
            <v>3620.3473875300006</v>
          </cell>
          <cell r="M34">
            <v>1696.95224981</v>
          </cell>
          <cell r="N34">
            <v>710.95773818999999</v>
          </cell>
          <cell r="O34">
            <v>1138.6706731999998</v>
          </cell>
          <cell r="P34">
            <v>10037.205180069999</v>
          </cell>
          <cell r="R34" t="str">
            <v>EGRESOS</v>
          </cell>
          <cell r="S34">
            <v>2795.4778658999999</v>
          </cell>
          <cell r="T34">
            <v>4322.0835472999997</v>
          </cell>
          <cell r="U34">
            <v>1566.63913385</v>
          </cell>
          <cell r="V34">
            <v>2139.4131096299998</v>
          </cell>
          <cell r="W34">
            <v>844.65005230999986</v>
          </cell>
          <cell r="X34">
            <v>1388.6081167299999</v>
          </cell>
          <cell r="Y34">
            <v>993.10878608999997</v>
          </cell>
          <cell r="Z34">
            <v>1622.9576909899999</v>
          </cell>
          <cell r="AA34">
            <v>15672.93831514</v>
          </cell>
          <cell r="AC34" t="str">
            <v>EGRESOS</v>
          </cell>
          <cell r="AD34">
            <v>13831.192413359999</v>
          </cell>
          <cell r="AE34">
            <v>2794.3605023799996</v>
          </cell>
          <cell r="AF34">
            <v>982.40710234999995</v>
          </cell>
          <cell r="AG34">
            <v>743.67355728000007</v>
          </cell>
          <cell r="AH34">
            <v>18351.633571410002</v>
          </cell>
          <cell r="AI34">
            <v>-3.9599945012014359E-6</v>
          </cell>
          <cell r="AJ34" t="str">
            <v>EGRESOS</v>
          </cell>
          <cell r="AK34">
            <v>2695.8524066099999</v>
          </cell>
          <cell r="AL34">
            <v>2272.0522990599998</v>
          </cell>
        </row>
        <row r="35">
          <cell r="B35" t="str">
            <v xml:space="preserve">   Variables</v>
          </cell>
          <cell r="C35">
            <v>2667.9133720699997</v>
          </cell>
          <cell r="D35">
            <v>5600.3313321400001</v>
          </cell>
          <cell r="E35">
            <v>3254.4986480699999</v>
          </cell>
          <cell r="F35">
            <v>10237.522939410002</v>
          </cell>
          <cell r="G35">
            <v>71.536166230000006</v>
          </cell>
          <cell r="H35">
            <v>21774.953883909999</v>
          </cell>
          <cell r="J35" t="str">
            <v xml:space="preserve">   Variables</v>
          </cell>
          <cell r="K35">
            <v>1026.0767111</v>
          </cell>
          <cell r="L35">
            <v>866.12514352999995</v>
          </cell>
          <cell r="M35">
            <v>352.06747281000003</v>
          </cell>
          <cell r="N35">
            <v>252.64356418999998</v>
          </cell>
          <cell r="O35">
            <v>171.0004892</v>
          </cell>
          <cell r="P35">
            <v>2667.9133720699997</v>
          </cell>
          <cell r="R35" t="str">
            <v xml:space="preserve">   Variables</v>
          </cell>
          <cell r="S35">
            <v>415.25835490000003</v>
          </cell>
          <cell r="T35">
            <v>2397.2586972999998</v>
          </cell>
          <cell r="U35">
            <v>587.05491085000006</v>
          </cell>
          <cell r="V35">
            <v>893.92280562999997</v>
          </cell>
          <cell r="W35">
            <v>158.22895731</v>
          </cell>
          <cell r="X35">
            <v>596.58976172999996</v>
          </cell>
          <cell r="Y35">
            <v>365.42727209000003</v>
          </cell>
          <cell r="Z35">
            <v>186.59057399</v>
          </cell>
          <cell r="AA35">
            <v>5600.3313321400001</v>
          </cell>
          <cell r="AC35" t="str">
            <v xml:space="preserve">   Variables</v>
          </cell>
          <cell r="AD35">
            <v>9985.844747359999</v>
          </cell>
          <cell r="AE35">
            <v>1747.1113733799998</v>
          </cell>
          <cell r="AF35">
            <v>139.38598834999999</v>
          </cell>
          <cell r="AG35">
            <v>-1634.81916572</v>
          </cell>
          <cell r="AH35">
            <v>10237.522939410002</v>
          </cell>
          <cell r="AI35">
            <v>-3.9599963201908395E-6</v>
          </cell>
          <cell r="AJ35" t="str">
            <v xml:space="preserve">   Variables</v>
          </cell>
          <cell r="AK35">
            <v>1109.1530916099998</v>
          </cell>
          <cell r="AL35">
            <v>920.98706705999996</v>
          </cell>
        </row>
        <row r="36">
          <cell r="B36" t="str">
            <v xml:space="preserve">      Compras de productos interorganismos</v>
          </cell>
          <cell r="C36">
            <v>1562.1607871000001</v>
          </cell>
          <cell r="D36">
            <v>3269.5864167499999</v>
          </cell>
          <cell r="E36">
            <v>1062.47255888</v>
          </cell>
          <cell r="F36">
            <v>5645.0640282900004</v>
          </cell>
          <cell r="G36">
            <v>0.64243322999999997</v>
          </cell>
          <cell r="H36">
            <v>11539.926224250001</v>
          </cell>
          <cell r="J36" t="str">
            <v xml:space="preserve">      Compras de productos interorganismos</v>
          </cell>
          <cell r="K36">
            <v>804.85540577000006</v>
          </cell>
          <cell r="L36">
            <v>410.70249848000003</v>
          </cell>
          <cell r="M36">
            <v>183.84929283</v>
          </cell>
          <cell r="N36">
            <v>161.45496532000004</v>
          </cell>
          <cell r="O36">
            <v>1.2986247</v>
          </cell>
          <cell r="P36">
            <v>1562.1607871000001</v>
          </cell>
          <cell r="R36" t="str">
            <v xml:space="preserve">      Compras de productos interorganismos</v>
          </cell>
          <cell r="S36">
            <v>450.62793254000007</v>
          </cell>
          <cell r="T36">
            <v>1737.67335288</v>
          </cell>
          <cell r="U36">
            <v>244.30354246000002</v>
          </cell>
          <cell r="V36">
            <v>602.32356898</v>
          </cell>
          <cell r="W36">
            <v>7.8102015800000002</v>
          </cell>
          <cell r="X36">
            <v>194.54454708000003</v>
          </cell>
          <cell r="Y36">
            <v>8.9338443999999999</v>
          </cell>
          <cell r="Z36">
            <v>23.369427979999998</v>
          </cell>
          <cell r="AA36">
            <v>3269.5864167499999</v>
          </cell>
          <cell r="AC36" t="str">
            <v xml:space="preserve">      Compras de productos interorganismos</v>
          </cell>
          <cell r="AD36">
            <v>4353.2425680799997</v>
          </cell>
          <cell r="AE36">
            <v>636.04063156000007</v>
          </cell>
          <cell r="AF36">
            <v>20.529952030000004</v>
          </cell>
          <cell r="AG36">
            <v>635.25087661999987</v>
          </cell>
          <cell r="AH36">
            <v>5645.0640282900004</v>
          </cell>
          <cell r="AI36">
            <v>0</v>
          </cell>
          <cell r="AJ36" t="str">
            <v xml:space="preserve">      Compras de productos interorganismos</v>
          </cell>
          <cell r="AK36">
            <v>10.689182839999999</v>
          </cell>
          <cell r="AL36">
            <v>4.1986570199999997</v>
          </cell>
        </row>
        <row r="37">
          <cell r="B37" t="str">
            <v xml:space="preserve">          Pemex Refinación</v>
          </cell>
          <cell r="C37">
            <v>549.96123148000004</v>
          </cell>
          <cell r="D37">
            <v>204.02153422999999</v>
          </cell>
          <cell r="E37">
            <v>1049.0410141</v>
          </cell>
          <cell r="F37">
            <v>415.12774237999992</v>
          </cell>
          <cell r="G37">
            <v>0.64243322999999997</v>
          </cell>
          <cell r="H37">
            <v>2218.7939554200002</v>
          </cell>
          <cell r="J37" t="str">
            <v xml:space="preserve">          Pemex Refinación</v>
          </cell>
          <cell r="K37">
            <v>66.193430769999992</v>
          </cell>
          <cell r="L37">
            <v>239.99340171</v>
          </cell>
          <cell r="M37">
            <v>150.16061822999998</v>
          </cell>
          <cell r="N37">
            <v>92.422378230000007</v>
          </cell>
          <cell r="O37">
            <v>1.1914025400000001</v>
          </cell>
          <cell r="P37">
            <v>549.96123148000004</v>
          </cell>
          <cell r="R37" t="str">
            <v xml:space="preserve">          Pemex Refinación</v>
          </cell>
          <cell r="S37">
            <v>68.771072290000006</v>
          </cell>
          <cell r="T37">
            <v>33.13888755</v>
          </cell>
          <cell r="U37">
            <v>12.47374628</v>
          </cell>
          <cell r="V37">
            <v>33.561771829999998</v>
          </cell>
          <cell r="W37">
            <v>7.5566814300000003</v>
          </cell>
          <cell r="X37">
            <v>18.251108160000001</v>
          </cell>
          <cell r="Y37">
            <v>8.7460359999999984</v>
          </cell>
          <cell r="Z37">
            <v>21.522231099999996</v>
          </cell>
          <cell r="AA37">
            <v>204.02153422999999</v>
          </cell>
          <cell r="AC37" t="str">
            <v xml:space="preserve">          Pemex Refinación</v>
          </cell>
          <cell r="AD37">
            <v>102.57651915999999</v>
          </cell>
          <cell r="AE37">
            <v>19.572896270000001</v>
          </cell>
          <cell r="AF37">
            <v>7.5497800699999997</v>
          </cell>
          <cell r="AG37">
            <v>285.42854688</v>
          </cell>
          <cell r="AH37">
            <v>415.12774237999992</v>
          </cell>
          <cell r="AI37">
            <v>0</v>
          </cell>
          <cell r="AJ37" t="str">
            <v xml:space="preserve">          Pemex Refinación</v>
          </cell>
          <cell r="AK37">
            <v>6.5597726799999991</v>
          </cell>
          <cell r="AL37">
            <v>4.1446269400000002</v>
          </cell>
        </row>
        <row r="38">
          <cell r="B38" t="str">
            <v xml:space="preserve">          Pemex Gas y Petroquímica Básica</v>
          </cell>
          <cell r="C38">
            <v>998.55219086000011</v>
          </cell>
          <cell r="D38">
            <v>3042.0457999200003</v>
          </cell>
          <cell r="E38">
            <v>0</v>
          </cell>
          <cell r="F38">
            <v>5223.2108265099996</v>
          </cell>
          <cell r="G38">
            <v>0</v>
          </cell>
          <cell r="H38">
            <v>9263.8088172900007</v>
          </cell>
          <cell r="J38" t="str">
            <v xml:space="preserve">          Pemex Gas y Petroquímica Básica</v>
          </cell>
          <cell r="K38">
            <v>734.48634245999995</v>
          </cell>
          <cell r="L38">
            <v>167.81700688999999</v>
          </cell>
          <cell r="M38">
            <v>28.614694550000003</v>
          </cell>
          <cell r="N38">
            <v>67.634146959999995</v>
          </cell>
          <cell r="O38">
            <v>0</v>
          </cell>
          <cell r="P38">
            <v>998.55219086000011</v>
          </cell>
          <cell r="R38" t="str">
            <v xml:space="preserve">          Pemex Gas y Petroquímica Básica</v>
          </cell>
          <cell r="S38">
            <v>377.25049536999995</v>
          </cell>
          <cell r="T38">
            <v>1694.7848621600001</v>
          </cell>
          <cell r="U38">
            <v>231.0261524</v>
          </cell>
          <cell r="V38">
            <v>563.23341439000001</v>
          </cell>
          <cell r="W38">
            <v>0</v>
          </cell>
          <cell r="X38">
            <v>175.75087590999996</v>
          </cell>
          <cell r="Y38">
            <v>0</v>
          </cell>
          <cell r="Z38">
            <v>0</v>
          </cell>
          <cell r="AA38">
            <v>3042.0457999200003</v>
          </cell>
          <cell r="AC38" t="str">
            <v xml:space="preserve">          Pemex Gas y Petroquímica Básica</v>
          </cell>
          <cell r="AD38">
            <v>4247.12577676</v>
          </cell>
          <cell r="AE38">
            <v>616.25602560999994</v>
          </cell>
          <cell r="AF38">
            <v>12.897888430000002</v>
          </cell>
          <cell r="AG38">
            <v>346.93113571000004</v>
          </cell>
          <cell r="AH38">
            <v>5223.2108265099996</v>
          </cell>
          <cell r="AI38">
            <v>0</v>
          </cell>
          <cell r="AJ38" t="str">
            <v xml:space="preserve">          Pemex Gas y Petroquímica Básica</v>
          </cell>
          <cell r="AK38">
            <v>0</v>
          </cell>
          <cell r="AL38">
            <v>0</v>
          </cell>
        </row>
        <row r="39">
          <cell r="B39" t="str">
            <v xml:space="preserve">          Pemex Petroquímica</v>
          </cell>
          <cell r="C39">
            <v>13.64736476</v>
          </cell>
          <cell r="D39">
            <v>23.519082599999997</v>
          </cell>
          <cell r="E39">
            <v>13.431544780000001</v>
          </cell>
          <cell r="F39">
            <v>6.7254594000000001</v>
          </cell>
          <cell r="G39">
            <v>0</v>
          </cell>
          <cell r="H39">
            <v>57.323451540000001</v>
          </cell>
          <cell r="J39" t="str">
            <v xml:space="preserve">          Pemex Petroquímica</v>
          </cell>
          <cell r="K39">
            <v>4.1756325399999996</v>
          </cell>
          <cell r="L39">
            <v>2.8920898800000003</v>
          </cell>
          <cell r="M39">
            <v>5.0739800500000003</v>
          </cell>
          <cell r="N39">
            <v>1.39844013</v>
          </cell>
          <cell r="O39">
            <v>0.10722216</v>
          </cell>
          <cell r="P39">
            <v>13.64736476</v>
          </cell>
          <cell r="R39" t="str">
            <v xml:space="preserve">          Pemex Petroquímica</v>
          </cell>
          <cell r="S39">
            <v>4.6063648800000001</v>
          </cell>
          <cell r="T39">
            <v>9.7496031699999985</v>
          </cell>
          <cell r="U39">
            <v>0.80364378000000003</v>
          </cell>
          <cell r="V39">
            <v>5.5283827600000004</v>
          </cell>
          <cell r="W39">
            <v>0.25352015</v>
          </cell>
          <cell r="X39">
            <v>0.54256301000000007</v>
          </cell>
          <cell r="Y39">
            <v>0.18780839999999999</v>
          </cell>
          <cell r="Z39">
            <v>1.8471968800000003</v>
          </cell>
          <cell r="AA39">
            <v>23.519082599999997</v>
          </cell>
          <cell r="AC39" t="str">
            <v xml:space="preserve">          Pemex Petroquímica</v>
          </cell>
          <cell r="AD39">
            <v>3.5402721600000002</v>
          </cell>
          <cell r="AE39">
            <v>0.21170968000000001</v>
          </cell>
          <cell r="AF39">
            <v>8.2283529999999994E-2</v>
          </cell>
          <cell r="AG39">
            <v>2.8911940300000003</v>
          </cell>
          <cell r="AH39">
            <v>6.7254594000000001</v>
          </cell>
          <cell r="AI39">
            <v>0</v>
          </cell>
          <cell r="AJ39" t="str">
            <v xml:space="preserve">          Pemex Petroquímica</v>
          </cell>
          <cell r="AK39">
            <v>4.1294101599999999</v>
          </cell>
          <cell r="AL39">
            <v>5.4030079999999994E-2</v>
          </cell>
        </row>
        <row r="40">
          <cell r="B40" t="str">
            <v xml:space="preserve">      Compras de servicios interorganismos</v>
          </cell>
          <cell r="C40">
            <v>27.571327039999996</v>
          </cell>
          <cell r="D40">
            <v>302.34048562000004</v>
          </cell>
          <cell r="E40">
            <v>38.308946759999998</v>
          </cell>
          <cell r="F40">
            <v>82.887360290000004</v>
          </cell>
          <cell r="G40">
            <v>0</v>
          </cell>
          <cell r="H40">
            <v>451.1081197100001</v>
          </cell>
          <cell r="J40" t="str">
            <v xml:space="preserve">      Compras de servicios interorganismos</v>
          </cell>
          <cell r="K40">
            <v>15.63006682</v>
          </cell>
          <cell r="L40">
            <v>0.90934402999999997</v>
          </cell>
          <cell r="M40">
            <v>8.8932640500000009</v>
          </cell>
          <cell r="N40">
            <v>0.58121064</v>
          </cell>
          <cell r="O40">
            <v>1.5574414999999999</v>
          </cell>
          <cell r="P40">
            <v>27.571327039999996</v>
          </cell>
          <cell r="R40" t="str">
            <v xml:space="preserve">      Compras de servicios interorganismos</v>
          </cell>
          <cell r="S40">
            <v>48.076954430000008</v>
          </cell>
          <cell r="T40">
            <v>62.137695819999983</v>
          </cell>
          <cell r="U40">
            <v>36.62219721999999</v>
          </cell>
          <cell r="V40">
            <v>61.052357229999998</v>
          </cell>
          <cell r="W40">
            <v>37.745156139999999</v>
          </cell>
          <cell r="X40">
            <v>19.638516710000001</v>
          </cell>
          <cell r="Y40">
            <v>35.829528189999998</v>
          </cell>
          <cell r="Z40">
            <v>1.23808001</v>
          </cell>
          <cell r="AA40">
            <v>302.34048562000004</v>
          </cell>
          <cell r="AC40" t="str">
            <v xml:space="preserve">      Compras de servicios interorganismos</v>
          </cell>
          <cell r="AD40">
            <v>70.96232298000001</v>
          </cell>
          <cell r="AE40">
            <v>11.037327000000001</v>
          </cell>
          <cell r="AF40">
            <v>0.78019499999999997</v>
          </cell>
          <cell r="AG40">
            <v>0.10751531</v>
          </cell>
          <cell r="AH40">
            <v>82.887360290000004</v>
          </cell>
          <cell r="AI40">
            <v>0</v>
          </cell>
          <cell r="AJ40" t="str">
            <v xml:space="preserve">      Compras de servicios interorganismos</v>
          </cell>
          <cell r="AK40">
            <v>26.691524759999993</v>
          </cell>
          <cell r="AL40">
            <v>8.9412384100000004</v>
          </cell>
        </row>
        <row r="41">
          <cell r="B41" t="str">
            <v xml:space="preserve">          Pemex Refinación</v>
          </cell>
          <cell r="C41">
            <v>8.1770878199999988</v>
          </cell>
          <cell r="D41">
            <v>252.13946594000001</v>
          </cell>
          <cell r="E41">
            <v>38.308946759999998</v>
          </cell>
          <cell r="F41">
            <v>82.887360290000004</v>
          </cell>
          <cell r="G41">
            <v>0</v>
          </cell>
          <cell r="H41">
            <v>381.51286081000001</v>
          </cell>
          <cell r="J41" t="str">
            <v xml:space="preserve">          Pemex Refinación</v>
          </cell>
          <cell r="K41">
            <v>0.63875649999999995</v>
          </cell>
          <cell r="L41">
            <v>0.16096066000000003</v>
          </cell>
          <cell r="M41">
            <v>5.8102693700000003</v>
          </cell>
          <cell r="N41">
            <v>9.6597899999999997E-3</v>
          </cell>
          <cell r="O41">
            <v>1.5574414999999999</v>
          </cell>
          <cell r="P41">
            <v>8.1770878199999988</v>
          </cell>
          <cell r="R41" t="str">
            <v xml:space="preserve">          Pemex Refinación</v>
          </cell>
          <cell r="S41">
            <v>2.8193309900000001</v>
          </cell>
          <cell r="T41">
            <v>62.137695819999983</v>
          </cell>
          <cell r="U41">
            <v>36.62219721999999</v>
          </cell>
          <cell r="V41">
            <v>61.052357229999998</v>
          </cell>
          <cell r="W41">
            <v>33.911441349999997</v>
          </cell>
          <cell r="X41">
            <v>19.638516710000001</v>
          </cell>
          <cell r="Y41">
            <v>35.829528189999998</v>
          </cell>
          <cell r="Z41">
            <v>0.12839843000000001</v>
          </cell>
          <cell r="AA41">
            <v>252.13946594000001</v>
          </cell>
          <cell r="AC41" t="str">
            <v xml:space="preserve">          Pemex Refinación</v>
          </cell>
          <cell r="AD41">
            <v>70.96232298000001</v>
          </cell>
          <cell r="AE41">
            <v>11.037327000000001</v>
          </cell>
          <cell r="AF41">
            <v>0.78019499999999997</v>
          </cell>
          <cell r="AG41">
            <v>0.10751531</v>
          </cell>
          <cell r="AH41">
            <v>82.887360290000004</v>
          </cell>
          <cell r="AI41">
            <v>0</v>
          </cell>
          <cell r="AJ41" t="str">
            <v xml:space="preserve">          Pemex Refinación</v>
          </cell>
          <cell r="AK41">
            <v>26.691524759999993</v>
          </cell>
          <cell r="AL41">
            <v>8.9412384100000004</v>
          </cell>
        </row>
        <row r="42">
          <cell r="B42" t="str">
            <v xml:space="preserve">          Pemex Gas y Petroquímica Básica</v>
          </cell>
          <cell r="C42">
            <v>19.394239220000006</v>
          </cell>
          <cell r="D42">
            <v>49.085071440000007</v>
          </cell>
          <cell r="E42">
            <v>0</v>
          </cell>
          <cell r="F42">
            <v>0</v>
          </cell>
          <cell r="G42">
            <v>0</v>
          </cell>
          <cell r="H42">
            <v>68.479310659999996</v>
          </cell>
          <cell r="J42" t="str">
            <v xml:space="preserve">          Pemex Gas y Petroquímica Básica</v>
          </cell>
          <cell r="K42">
            <v>14.991310319999998</v>
          </cell>
          <cell r="L42">
            <v>0.7483833700000001</v>
          </cell>
          <cell r="M42">
            <v>3.0829946799999997</v>
          </cell>
          <cell r="N42">
            <v>0.57155084999999994</v>
          </cell>
          <cell r="O42">
            <v>0</v>
          </cell>
          <cell r="P42">
            <v>19.394239220000006</v>
          </cell>
          <cell r="R42" t="str">
            <v xml:space="preserve">          Pemex Gas y Petroquímica Básica</v>
          </cell>
          <cell r="S42">
            <v>45.251356780000002</v>
          </cell>
          <cell r="T42">
            <v>0</v>
          </cell>
          <cell r="U42">
            <v>0</v>
          </cell>
          <cell r="V42">
            <v>0</v>
          </cell>
          <cell r="W42">
            <v>3.8337147900000001</v>
          </cell>
          <cell r="X42">
            <v>0</v>
          </cell>
          <cell r="Y42">
            <v>0</v>
          </cell>
          <cell r="Z42">
            <v>0</v>
          </cell>
          <cell r="AA42">
            <v>49.085071440000007</v>
          </cell>
          <cell r="AC42" t="str">
            <v xml:space="preserve">          Pemex Gas y Petroquímica Básica</v>
          </cell>
          <cell r="AD42">
            <v>0</v>
          </cell>
          <cell r="AE42">
            <v>0</v>
          </cell>
          <cell r="AF42">
            <v>0</v>
          </cell>
          <cell r="AG42">
            <v>0</v>
          </cell>
          <cell r="AH42">
            <v>0</v>
          </cell>
          <cell r="AI42">
            <v>0</v>
          </cell>
          <cell r="AJ42" t="str">
            <v xml:space="preserve">          Pemex Gas y Petroquímica Básica</v>
          </cell>
          <cell r="AK42">
            <v>0</v>
          </cell>
          <cell r="AL42">
            <v>0</v>
          </cell>
        </row>
        <row r="43">
          <cell r="B43" t="str">
            <v xml:space="preserve">          Pemex Petroquímica</v>
          </cell>
          <cell r="C43">
            <v>0</v>
          </cell>
          <cell r="D43">
            <v>1.11594824</v>
          </cell>
          <cell r="E43">
            <v>0</v>
          </cell>
          <cell r="F43">
            <v>0</v>
          </cell>
          <cell r="G43">
            <v>0</v>
          </cell>
          <cell r="H43">
            <v>1.11594824</v>
          </cell>
          <cell r="J43" t="str">
            <v xml:space="preserve">          Pemex Petroquímica</v>
          </cell>
          <cell r="K43">
            <v>0</v>
          </cell>
          <cell r="L43">
            <v>0</v>
          </cell>
          <cell r="M43">
            <v>0</v>
          </cell>
          <cell r="N43">
            <v>0</v>
          </cell>
          <cell r="O43">
            <v>0</v>
          </cell>
          <cell r="P43">
            <v>0</v>
          </cell>
          <cell r="R43" t="str">
            <v xml:space="preserve">          Pemex Petroquímica</v>
          </cell>
          <cell r="S43">
            <v>6.2666599999999986E-3</v>
          </cell>
          <cell r="T43">
            <v>0</v>
          </cell>
          <cell r="U43">
            <v>0</v>
          </cell>
          <cell r="V43">
            <v>0</v>
          </cell>
          <cell r="W43">
            <v>0</v>
          </cell>
          <cell r="X43">
            <v>0</v>
          </cell>
          <cell r="Y43">
            <v>0</v>
          </cell>
          <cell r="Z43">
            <v>1.1096815799999999</v>
          </cell>
          <cell r="AA43">
            <v>1.11594824</v>
          </cell>
          <cell r="AC43" t="str">
            <v xml:space="preserve">          Pemex Petroquímica</v>
          </cell>
          <cell r="AD43">
            <v>0</v>
          </cell>
          <cell r="AE43">
            <v>0</v>
          </cell>
          <cell r="AF43">
            <v>0</v>
          </cell>
          <cell r="AG43">
            <v>0</v>
          </cell>
          <cell r="AH43">
            <v>0</v>
          </cell>
          <cell r="AI43">
            <v>0</v>
          </cell>
          <cell r="AJ43" t="str">
            <v xml:space="preserve">          Pemex Petroquímica</v>
          </cell>
          <cell r="AK43">
            <v>0</v>
          </cell>
          <cell r="AL43">
            <v>0</v>
          </cell>
        </row>
        <row r="44">
          <cell r="B44" t="str">
            <v xml:space="preserve">     Compras de productos y servicios interregiones</v>
          </cell>
          <cell r="C44">
            <v>0</v>
          </cell>
          <cell r="D44">
            <v>42.483564000000015</v>
          </cell>
          <cell r="E44">
            <v>687.90466400000014</v>
          </cell>
          <cell r="F44">
            <v>666.16613100000006</v>
          </cell>
          <cell r="G44">
            <v>0</v>
          </cell>
          <cell r="H44">
            <v>0</v>
          </cell>
          <cell r="J44" t="str">
            <v xml:space="preserve">     Compras de productos y servicios interregiones</v>
          </cell>
          <cell r="K44">
            <v>0</v>
          </cell>
          <cell r="L44">
            <v>0</v>
          </cell>
          <cell r="M44">
            <v>0</v>
          </cell>
          <cell r="N44">
            <v>0</v>
          </cell>
          <cell r="O44">
            <v>0</v>
          </cell>
          <cell r="P44">
            <v>0</v>
          </cell>
          <cell r="R44" t="str">
            <v xml:space="preserve">     Compras de productos y servicios interregiones</v>
          </cell>
          <cell r="S44">
            <v>0</v>
          </cell>
          <cell r="T44">
            <v>10.847832</v>
          </cell>
          <cell r="U44">
            <v>6.3242939999999983</v>
          </cell>
          <cell r="V44">
            <v>11.462937000000004</v>
          </cell>
          <cell r="W44">
            <v>4.2115300000000016</v>
          </cell>
          <cell r="X44">
            <v>3.3351600000000001</v>
          </cell>
          <cell r="Y44">
            <v>6.3018109999999989</v>
          </cell>
          <cell r="Z44">
            <v>0</v>
          </cell>
          <cell r="AA44">
            <v>42.483564000000015</v>
          </cell>
          <cell r="AC44" t="str">
            <v xml:space="preserve">     Compras de productos y servicios interregiones</v>
          </cell>
          <cell r="AD44">
            <v>561.36351100000002</v>
          </cell>
          <cell r="AE44">
            <v>99.283872000000002</v>
          </cell>
          <cell r="AF44">
            <v>5.5187439999999999</v>
          </cell>
          <cell r="AG44">
            <v>0</v>
          </cell>
          <cell r="AH44">
            <v>666.16613100000006</v>
          </cell>
          <cell r="AI44">
            <v>4.0000001035878086E-6</v>
          </cell>
          <cell r="AJ44" t="str">
            <v xml:space="preserve">     Compras de productos y servicios interregiones</v>
          </cell>
          <cell r="AK44">
            <v>353.844651</v>
          </cell>
          <cell r="AL44">
            <v>231.418722</v>
          </cell>
        </row>
        <row r="45">
          <cell r="B45" t="str">
            <v xml:space="preserve">      Compras de productos y servicios interdistritos</v>
          </cell>
          <cell r="C45">
            <v>0</v>
          </cell>
          <cell r="D45">
            <v>0</v>
          </cell>
          <cell r="E45">
            <v>0</v>
          </cell>
          <cell r="F45">
            <v>0</v>
          </cell>
          <cell r="G45">
            <v>0</v>
          </cell>
          <cell r="H45">
            <v>0</v>
          </cell>
          <cell r="J45" t="str">
            <v xml:space="preserve">      Compras de productos y servicios interdistritos</v>
          </cell>
          <cell r="K45">
            <v>0</v>
          </cell>
          <cell r="L45">
            <v>0</v>
          </cell>
          <cell r="M45">
            <v>0</v>
          </cell>
          <cell r="N45">
            <v>0</v>
          </cell>
          <cell r="O45">
            <v>0</v>
          </cell>
          <cell r="P45">
            <v>0</v>
          </cell>
          <cell r="R45" t="str">
            <v xml:space="preserve">      Compras de productos y servicios interdistritos</v>
          </cell>
          <cell r="S45">
            <v>0</v>
          </cell>
          <cell r="T45">
            <v>50.437601999999998</v>
          </cell>
          <cell r="U45">
            <v>21.749682999999997</v>
          </cell>
          <cell r="V45">
            <v>39.201565000000002</v>
          </cell>
          <cell r="W45">
            <v>0.42274100000000014</v>
          </cell>
          <cell r="X45">
            <v>16.900668</v>
          </cell>
          <cell r="Y45">
            <v>21.979907000000001</v>
          </cell>
          <cell r="Z45">
            <v>0</v>
          </cell>
          <cell r="AA45">
            <v>0</v>
          </cell>
          <cell r="AC45" t="str">
            <v xml:space="preserve">      Compras de productos y servicios interdistritos</v>
          </cell>
          <cell r="AD45">
            <v>1787.1514876799999</v>
          </cell>
          <cell r="AE45">
            <v>312.05998454000007</v>
          </cell>
          <cell r="AF45">
            <v>9.5196585700000007</v>
          </cell>
          <cell r="AG45">
            <v>0</v>
          </cell>
          <cell r="AH45">
            <v>0</v>
          </cell>
          <cell r="AI45">
            <v>-2108.73113079</v>
          </cell>
          <cell r="AJ45" t="str">
            <v xml:space="preserve">      Compras de productos y servicios interdistritos</v>
          </cell>
          <cell r="AK45">
            <v>0</v>
          </cell>
          <cell r="AL45">
            <v>62.551842489999991</v>
          </cell>
        </row>
        <row r="46">
          <cell r="B46" t="str">
            <v xml:space="preserve">      Servicios del corporativo</v>
          </cell>
          <cell r="C46">
            <v>441.29829599999999</v>
          </cell>
          <cell r="D46">
            <v>550.18712100000005</v>
          </cell>
          <cell r="E46">
            <v>215.41959400000002</v>
          </cell>
          <cell r="F46">
            <v>281.25492199999997</v>
          </cell>
          <cell r="G46">
            <v>70.893733000000012</v>
          </cell>
          <cell r="H46">
            <v>1559.0536660000002</v>
          </cell>
          <cell r="J46" t="str">
            <v xml:space="preserve">      Servicios del corporativo</v>
          </cell>
          <cell r="K46">
            <v>112.50197599999998</v>
          </cell>
          <cell r="L46">
            <v>64.237936000000005</v>
          </cell>
          <cell r="M46">
            <v>74.088523000000009</v>
          </cell>
          <cell r="N46">
            <v>22.325444000000005</v>
          </cell>
          <cell r="O46">
            <v>168.14442300000002</v>
          </cell>
          <cell r="P46">
            <v>441.29829599999999</v>
          </cell>
          <cell r="R46" t="str">
            <v xml:space="preserve">      Servicios del corporativo</v>
          </cell>
          <cell r="S46">
            <v>112.00753600000002</v>
          </cell>
          <cell r="T46">
            <v>85.650589000000011</v>
          </cell>
          <cell r="U46">
            <v>42.597093999999998</v>
          </cell>
          <cell r="V46">
            <v>58.837237000000002</v>
          </cell>
          <cell r="W46">
            <v>40.505271</v>
          </cell>
          <cell r="X46">
            <v>34.191778000000006</v>
          </cell>
          <cell r="Y46">
            <v>14.414553</v>
          </cell>
          <cell r="Z46">
            <v>161.98306599999998</v>
          </cell>
          <cell r="AA46">
            <v>550.18712100000005</v>
          </cell>
          <cell r="AC46" t="str">
            <v xml:space="preserve">      Servicios del corporativo</v>
          </cell>
          <cell r="AD46">
            <v>87.628308000000004</v>
          </cell>
          <cell r="AE46">
            <v>19.929357999999997</v>
          </cell>
          <cell r="AF46">
            <v>10.497144000000002</v>
          </cell>
          <cell r="AG46">
            <v>163.20012</v>
          </cell>
          <cell r="AH46">
            <v>281.25492199999997</v>
          </cell>
          <cell r="AI46">
            <v>-8.0000000366453605E-6</v>
          </cell>
          <cell r="AJ46" t="str">
            <v xml:space="preserve">      Servicios del corporativo</v>
          </cell>
          <cell r="AK46">
            <v>28.981237000000007</v>
          </cell>
          <cell r="AL46">
            <v>25.558258999999993</v>
          </cell>
        </row>
        <row r="47">
          <cell r="B47" t="str">
            <v xml:space="preserve">          Médicos</v>
          </cell>
          <cell r="C47">
            <v>331.24642499999993</v>
          </cell>
          <cell r="D47">
            <v>412.98033200000003</v>
          </cell>
          <cell r="E47">
            <v>161.69781499999999</v>
          </cell>
          <cell r="F47">
            <v>211.11499400000002</v>
          </cell>
          <cell r="G47">
            <v>53.214108999999993</v>
          </cell>
          <cell r="H47">
            <v>1170.2536750000004</v>
          </cell>
          <cell r="J47" t="str">
            <v xml:space="preserve">          Médicos</v>
          </cell>
          <cell r="K47">
            <v>84.446001999999979</v>
          </cell>
          <cell r="L47">
            <v>48.218149000000011</v>
          </cell>
          <cell r="M47">
            <v>55.61217400000001</v>
          </cell>
          <cell r="N47">
            <v>16.757878000000002</v>
          </cell>
          <cell r="O47">
            <v>126.212222</v>
          </cell>
          <cell r="P47">
            <v>331.24642499999993</v>
          </cell>
          <cell r="R47" t="str">
            <v xml:space="preserve">          Médicos</v>
          </cell>
          <cell r="S47">
            <v>84.074868999999993</v>
          </cell>
          <cell r="T47">
            <v>64.290866999999992</v>
          </cell>
          <cell r="U47">
            <v>31.974144000000006</v>
          </cell>
          <cell r="V47">
            <v>44.164285000000007</v>
          </cell>
          <cell r="W47">
            <v>30.403982999999997</v>
          </cell>
          <cell r="X47">
            <v>25.664962999999997</v>
          </cell>
          <cell r="Y47">
            <v>10.819823000000001</v>
          </cell>
          <cell r="Z47">
            <v>121.58739500000001</v>
          </cell>
          <cell r="AA47">
            <v>412.98033200000003</v>
          </cell>
          <cell r="AC47" t="str">
            <v xml:space="preserve">          Médicos</v>
          </cell>
          <cell r="AD47">
            <v>65.775382000000008</v>
          </cell>
          <cell r="AE47">
            <v>14.959331999999998</v>
          </cell>
          <cell r="AF47">
            <v>7.8793439999999997</v>
          </cell>
          <cell r="AG47">
            <v>122.50094199999998</v>
          </cell>
          <cell r="AH47">
            <v>211.11499400000002</v>
          </cell>
          <cell r="AI47">
            <v>-5.9999999848514562E-6</v>
          </cell>
          <cell r="AJ47" t="str">
            <v xml:space="preserve">          Médicos</v>
          </cell>
          <cell r="AK47">
            <v>21.75384</v>
          </cell>
          <cell r="AL47">
            <v>19.184485000000006</v>
          </cell>
        </row>
        <row r="48">
          <cell r="B48" t="str">
            <v xml:space="preserve">          Telecomunicaciones</v>
          </cell>
          <cell r="C48">
            <v>110.05187100000001</v>
          </cell>
          <cell r="D48">
            <v>137.20678899999999</v>
          </cell>
          <cell r="E48">
            <v>53.721779000000005</v>
          </cell>
          <cell r="F48">
            <v>70.139927999999998</v>
          </cell>
          <cell r="G48">
            <v>17.679624</v>
          </cell>
          <cell r="H48">
            <v>388.79999100000003</v>
          </cell>
          <cell r="J48" t="str">
            <v xml:space="preserve">          Telecomunicaciones</v>
          </cell>
          <cell r="K48">
            <v>28.055973999999996</v>
          </cell>
          <cell r="L48">
            <v>16.019787000000001</v>
          </cell>
          <cell r="M48">
            <v>18.476348999999999</v>
          </cell>
          <cell r="N48">
            <v>5.5675659999999993</v>
          </cell>
          <cell r="O48">
            <v>41.932201000000006</v>
          </cell>
          <cell r="P48">
            <v>110.05187100000001</v>
          </cell>
          <cell r="R48" t="str">
            <v xml:space="preserve">          Telecomunicaciones</v>
          </cell>
          <cell r="S48">
            <v>27.932667000000002</v>
          </cell>
          <cell r="T48">
            <v>21.359722000000001</v>
          </cell>
          <cell r="U48">
            <v>10.622950000000003</v>
          </cell>
          <cell r="V48">
            <v>14.672952</v>
          </cell>
          <cell r="W48">
            <v>10.101288</v>
          </cell>
          <cell r="X48">
            <v>8.5268150000000009</v>
          </cell>
          <cell r="Y48">
            <v>3.5947300000000002</v>
          </cell>
          <cell r="Z48">
            <v>40.395671000000007</v>
          </cell>
          <cell r="AA48">
            <v>137.20678899999999</v>
          </cell>
          <cell r="AC48" t="str">
            <v xml:space="preserve">          Telecomunicaciones</v>
          </cell>
          <cell r="AD48">
            <v>21.852926000000004</v>
          </cell>
          <cell r="AE48">
            <v>4.9700260000000007</v>
          </cell>
          <cell r="AF48">
            <v>2.6178000000000003</v>
          </cell>
          <cell r="AG48">
            <v>40.699178000000003</v>
          </cell>
          <cell r="AH48">
            <v>70.139927999999998</v>
          </cell>
          <cell r="AI48">
            <v>-2.0000000091613401E-6</v>
          </cell>
          <cell r="AJ48" t="str">
            <v xml:space="preserve">          Telecomunicaciones</v>
          </cell>
          <cell r="AK48">
            <v>7.2273969999999998</v>
          </cell>
          <cell r="AL48">
            <v>6.3737740000000001</v>
          </cell>
        </row>
        <row r="49">
          <cell r="B49" t="str">
            <v xml:space="preserve">      Recuperación de costos (-)</v>
          </cell>
          <cell r="C49">
            <v>0</v>
          </cell>
          <cell r="D49">
            <v>592.70460700000001</v>
          </cell>
          <cell r="E49">
            <v>422.35463112999997</v>
          </cell>
          <cell r="F49">
            <v>324.64654686</v>
          </cell>
          <cell r="G49">
            <v>0</v>
          </cell>
          <cell r="H49">
            <v>0</v>
          </cell>
          <cell r="J49" t="str">
            <v xml:space="preserve">      Recuperación de costos (-)</v>
          </cell>
          <cell r="K49">
            <v>0</v>
          </cell>
          <cell r="L49">
            <v>0</v>
          </cell>
          <cell r="M49">
            <v>0</v>
          </cell>
          <cell r="N49">
            <v>0</v>
          </cell>
          <cell r="O49">
            <v>0</v>
          </cell>
          <cell r="P49">
            <v>0</v>
          </cell>
          <cell r="R49" t="str">
            <v xml:space="preserve">      Recuperación de costos (-)</v>
          </cell>
          <cell r="S49">
            <v>291.67852200000004</v>
          </cell>
          <cell r="T49">
            <v>96.09441200000002</v>
          </cell>
          <cell r="U49">
            <v>0</v>
          </cell>
          <cell r="V49">
            <v>251.29468600000007</v>
          </cell>
          <cell r="W49">
            <v>8.2347409999999996</v>
          </cell>
          <cell r="X49">
            <v>96.09441200000002</v>
          </cell>
          <cell r="Y49">
            <v>0</v>
          </cell>
          <cell r="Z49">
            <v>0</v>
          </cell>
          <cell r="AA49">
            <v>592.70460700000001</v>
          </cell>
          <cell r="AC49" t="str">
            <v xml:space="preserve">      Recuperación de costos (-)</v>
          </cell>
          <cell r="AD49">
            <v>0</v>
          </cell>
          <cell r="AE49">
            <v>0</v>
          </cell>
          <cell r="AF49">
            <v>0</v>
          </cell>
          <cell r="AG49">
            <v>2433.3776776499999</v>
          </cell>
          <cell r="AH49">
            <v>324.64654686</v>
          </cell>
          <cell r="AI49">
            <v>-2108.73113079</v>
          </cell>
          <cell r="AJ49" t="str">
            <v xml:space="preserve">      Recuperación de costos (-)</v>
          </cell>
          <cell r="AK49">
            <v>193.75314320000001</v>
          </cell>
          <cell r="AL49">
            <v>0</v>
          </cell>
        </row>
        <row r="50">
          <cell r="B50" t="str">
            <v xml:space="preserve">      Reserva Explor. y Declin. Campos</v>
          </cell>
          <cell r="C50">
            <v>636.88296192999996</v>
          </cell>
          <cell r="D50">
            <v>2028.4383517700001</v>
          </cell>
          <cell r="E50">
            <v>1672.74751556</v>
          </cell>
          <cell r="F50">
            <v>3886.7970446899999</v>
          </cell>
          <cell r="G50">
            <v>0</v>
          </cell>
          <cell r="H50">
            <v>8224.8658739500006</v>
          </cell>
          <cell r="J50" t="str">
            <v xml:space="preserve">      Reserva Explor. y Declin. Campos</v>
          </cell>
          <cell r="K50">
            <v>93.089262509999998</v>
          </cell>
          <cell r="L50">
            <v>390.27536501999998</v>
          </cell>
          <cell r="M50">
            <v>85.236392930000008</v>
          </cell>
          <cell r="N50">
            <v>68.281944230000008</v>
          </cell>
          <cell r="O50">
            <v>0</v>
          </cell>
          <cell r="P50">
            <v>636.88296192999996</v>
          </cell>
          <cell r="R50" t="str">
            <v xml:space="preserve">      Reserva Explor. y Declin. Campos</v>
          </cell>
          <cell r="S50">
            <v>96.224453929999996</v>
          </cell>
          <cell r="T50">
            <v>546.60603760000004</v>
          </cell>
          <cell r="U50">
            <v>235.45810017000002</v>
          </cell>
          <cell r="V50">
            <v>372.33982641999995</v>
          </cell>
          <cell r="W50">
            <v>75.768798590000003</v>
          </cell>
          <cell r="X50">
            <v>424.07350394000002</v>
          </cell>
          <cell r="Y50">
            <v>277.96762849999999</v>
          </cell>
          <cell r="Z50">
            <v>0</v>
          </cell>
          <cell r="AA50">
            <v>2028.4383517700001</v>
          </cell>
          <cell r="AC50" t="str">
            <v xml:space="preserve">      Reserva Explor. y Declin. Campos</v>
          </cell>
          <cell r="AD50">
            <v>3125.4965496200002</v>
          </cell>
          <cell r="AE50">
            <v>668.76020027999994</v>
          </cell>
          <cell r="AF50">
            <v>92.540294750000001</v>
          </cell>
          <cell r="AG50">
            <v>0</v>
          </cell>
          <cell r="AH50">
            <v>3886.7970446899999</v>
          </cell>
          <cell r="AI50">
            <v>3.9999576983973384E-8</v>
          </cell>
          <cell r="AJ50" t="str">
            <v xml:space="preserve">      Reserva Explor. y Declin. Campos</v>
          </cell>
          <cell r="AK50">
            <v>882.69963920999999</v>
          </cell>
          <cell r="AL50">
            <v>588.3183481399999</v>
          </cell>
        </row>
        <row r="51">
          <cell r="B51" t="str">
            <v xml:space="preserve">   Fijos</v>
          </cell>
          <cell r="C51">
            <v>7369.2918079999999</v>
          </cell>
          <cell r="D51">
            <v>10072.606983</v>
          </cell>
          <cell r="E51">
            <v>6335.9575539999987</v>
          </cell>
          <cell r="F51">
            <v>8114.1106319999999</v>
          </cell>
          <cell r="G51">
            <v>5065.8721509999987</v>
          </cell>
          <cell r="H51">
            <v>36957.839128</v>
          </cell>
          <cell r="J51" t="str">
            <v xml:space="preserve">   Fijos</v>
          </cell>
          <cell r="K51">
            <v>1844.200429</v>
          </cell>
          <cell r="L51">
            <v>2754.222244</v>
          </cell>
          <cell r="M51">
            <v>1344.8847769999998</v>
          </cell>
          <cell r="N51">
            <v>458.31417399999998</v>
          </cell>
          <cell r="O51">
            <v>967.67018399999984</v>
          </cell>
          <cell r="P51">
            <v>7369.2918079999999</v>
          </cell>
          <cell r="R51" t="str">
            <v xml:space="preserve">   Fijos</v>
          </cell>
          <cell r="S51">
            <v>2380.2195110000002</v>
          </cell>
          <cell r="T51">
            <v>1924.8248500000002</v>
          </cell>
          <cell r="U51">
            <v>979.58422300000018</v>
          </cell>
          <cell r="V51">
            <v>1245.4903039999999</v>
          </cell>
          <cell r="W51">
            <v>686.42109499999992</v>
          </cell>
          <cell r="X51">
            <v>792.01835500000004</v>
          </cell>
          <cell r="Y51">
            <v>627.68151399999988</v>
          </cell>
          <cell r="Z51">
            <v>1436.3671170000002</v>
          </cell>
          <cell r="AA51">
            <v>10072.606983</v>
          </cell>
          <cell r="AC51" t="str">
            <v xml:space="preserve">   Fijos</v>
          </cell>
          <cell r="AD51">
            <v>3845.3476659999997</v>
          </cell>
          <cell r="AE51">
            <v>1047.2491289999998</v>
          </cell>
          <cell r="AF51">
            <v>843.0211139999999</v>
          </cell>
          <cell r="AG51">
            <v>2378.4927229999998</v>
          </cell>
          <cell r="AH51">
            <v>8114.1106319999999</v>
          </cell>
          <cell r="AI51">
            <v>0</v>
          </cell>
          <cell r="AJ51" t="str">
            <v xml:space="preserve">   Fijos</v>
          </cell>
          <cell r="AK51">
            <v>1586.6993149999998</v>
          </cell>
          <cell r="AL51">
            <v>1351.0652319999997</v>
          </cell>
        </row>
        <row r="52">
          <cell r="B52" t="str">
            <v xml:space="preserve">      SIDIP - Jubilaciones + RPLC</v>
          </cell>
          <cell r="C52">
            <v>3991.1426500000002</v>
          </cell>
          <cell r="D52">
            <v>6095.8273200000012</v>
          </cell>
          <cell r="E52">
            <v>3435.2040650000004</v>
          </cell>
          <cell r="F52">
            <v>5098.6974570000002</v>
          </cell>
          <cell r="G52">
            <v>5020.3169830000006</v>
          </cell>
          <cell r="H52">
            <v>23641.188475000003</v>
          </cell>
          <cell r="J52" t="str">
            <v xml:space="preserve">      SIDIP - Jubilaciones + RPLC</v>
          </cell>
          <cell r="K52">
            <v>1337.0868799999998</v>
          </cell>
          <cell r="L52">
            <v>823.112123</v>
          </cell>
          <cell r="M52">
            <v>943.28245900000002</v>
          </cell>
          <cell r="N52">
            <v>281.911472</v>
          </cell>
          <cell r="O52">
            <v>605.74971600000003</v>
          </cell>
          <cell r="P52">
            <v>3991.1426500000002</v>
          </cell>
          <cell r="R52" t="str">
            <v xml:space="preserve">      SIDIP - Jubilaciones + RPLC</v>
          </cell>
          <cell r="S52">
            <v>1386.3123499999999</v>
          </cell>
          <cell r="T52">
            <v>1162.123531</v>
          </cell>
          <cell r="U52">
            <v>580.18714199999999</v>
          </cell>
          <cell r="V52">
            <v>757.79867200000001</v>
          </cell>
          <cell r="W52">
            <v>528.89075600000001</v>
          </cell>
          <cell r="X52">
            <v>410.95742300000001</v>
          </cell>
          <cell r="Y52">
            <v>281.08888899999999</v>
          </cell>
          <cell r="Z52">
            <v>988.46854499999995</v>
          </cell>
          <cell r="AA52">
            <v>6095.8273200000012</v>
          </cell>
          <cell r="AC52" t="str">
            <v xml:space="preserve">      SIDIP - Jubilaciones + RPLC</v>
          </cell>
          <cell r="AD52">
            <v>2541.493207</v>
          </cell>
          <cell r="AE52">
            <v>393.61150000000004</v>
          </cell>
          <cell r="AF52">
            <v>272.31257900000003</v>
          </cell>
          <cell r="AG52">
            <v>1891.2801709999999</v>
          </cell>
          <cell r="AH52">
            <v>5098.6974570000002</v>
          </cell>
          <cell r="AI52">
            <v>0</v>
          </cell>
          <cell r="AJ52" t="str">
            <v xml:space="preserve">      SIDIP - Jubilaciones + RPLC</v>
          </cell>
          <cell r="AK52">
            <v>521.52904100000001</v>
          </cell>
          <cell r="AL52">
            <v>510.393889</v>
          </cell>
        </row>
        <row r="53">
          <cell r="B53" t="str">
            <v xml:space="preserve">         Gastos de Operación (SIDIP)</v>
          </cell>
          <cell r="C53">
            <v>2382.1478380000003</v>
          </cell>
          <cell r="D53">
            <v>3399.3152669999999</v>
          </cell>
          <cell r="E53">
            <v>2003.2042009999998</v>
          </cell>
          <cell r="F53">
            <v>3589.797247</v>
          </cell>
          <cell r="G53">
            <v>1923.920292</v>
          </cell>
          <cell r="H53">
            <v>13298.384845</v>
          </cell>
          <cell r="J53" t="str">
            <v xml:space="preserve">         Gastos de Operación (SIDIP)</v>
          </cell>
          <cell r="K53">
            <v>759.72292399999981</v>
          </cell>
          <cell r="L53">
            <v>510.34213100000005</v>
          </cell>
          <cell r="M53">
            <v>563.66141500000003</v>
          </cell>
          <cell r="N53">
            <v>167.143856</v>
          </cell>
          <cell r="O53">
            <v>381.277512</v>
          </cell>
          <cell r="P53">
            <v>2382.1478380000003</v>
          </cell>
          <cell r="R53" t="str">
            <v xml:space="preserve">         Gastos de Operación (SIDIP)</v>
          </cell>
          <cell r="S53">
            <v>743.35022599999991</v>
          </cell>
          <cell r="T53">
            <v>627.14333499999998</v>
          </cell>
          <cell r="U53">
            <v>328.90024199999999</v>
          </cell>
          <cell r="V53">
            <v>458.97678400000001</v>
          </cell>
          <cell r="W53">
            <v>280.81683199999998</v>
          </cell>
          <cell r="X53">
            <v>257.92977500000001</v>
          </cell>
          <cell r="Y53">
            <v>149.19385299999999</v>
          </cell>
          <cell r="Z53">
            <v>553.00422000000003</v>
          </cell>
          <cell r="AA53">
            <v>3399.3152669999999</v>
          </cell>
          <cell r="AC53" t="str">
            <v xml:space="preserve">         Gastos de Operación (SIDIP)</v>
          </cell>
          <cell r="AD53">
            <v>2085.9797829999998</v>
          </cell>
          <cell r="AE53">
            <v>254.20656399999996</v>
          </cell>
          <cell r="AF53">
            <v>176.14250300000003</v>
          </cell>
          <cell r="AG53">
            <v>1073.4683970000001</v>
          </cell>
          <cell r="AH53">
            <v>3589.797247</v>
          </cell>
          <cell r="AI53">
            <v>0</v>
          </cell>
          <cell r="AJ53" t="str">
            <v xml:space="preserve">         Gastos de Operación (SIDIP)</v>
          </cell>
          <cell r="AK53">
            <v>305.32499300000001</v>
          </cell>
          <cell r="AL53">
            <v>300.77317300000004</v>
          </cell>
        </row>
        <row r="54">
          <cell r="B54" t="str">
            <v xml:space="preserve">             Servicios Personales  (2)</v>
          </cell>
          <cell r="C54">
            <v>1624.0518679999996</v>
          </cell>
          <cell r="D54">
            <v>2382.5911809999998</v>
          </cell>
          <cell r="E54">
            <v>1132.5286409999999</v>
          </cell>
          <cell r="F54">
            <v>1106.481389</v>
          </cell>
          <cell r="G54">
            <v>815.31913399999996</v>
          </cell>
          <cell r="H54">
            <v>7060.972213</v>
          </cell>
          <cell r="J54" t="str">
            <v xml:space="preserve">             Servicios Personales  (2)</v>
          </cell>
          <cell r="K54">
            <v>556.30999500000007</v>
          </cell>
          <cell r="L54">
            <v>317.37096600000007</v>
          </cell>
          <cell r="M54">
            <v>368.35810299999991</v>
          </cell>
          <cell r="N54">
            <v>121.10864599999999</v>
          </cell>
          <cell r="O54">
            <v>260.90415800000005</v>
          </cell>
          <cell r="P54">
            <v>1624.0518679999996</v>
          </cell>
          <cell r="R54" t="str">
            <v xml:space="preserve">             Servicios Personales  (2)</v>
          </cell>
          <cell r="S54">
            <v>573.49800699999992</v>
          </cell>
          <cell r="T54">
            <v>424.75154399999997</v>
          </cell>
          <cell r="U54">
            <v>239.57928600000002</v>
          </cell>
          <cell r="V54">
            <v>300.18944100000004</v>
          </cell>
          <cell r="W54">
            <v>211.53314900000004</v>
          </cell>
          <cell r="X54">
            <v>188.519735</v>
          </cell>
          <cell r="Y54">
            <v>94.819046999999998</v>
          </cell>
          <cell r="Z54">
            <v>349.70097199999998</v>
          </cell>
          <cell r="AA54">
            <v>2382.5911809999998</v>
          </cell>
          <cell r="AC54" t="str">
            <v xml:space="preserve">             Servicios Personales  (2)</v>
          </cell>
          <cell r="AD54">
            <v>422.25332800000001</v>
          </cell>
          <cell r="AE54">
            <v>99.121024999999975</v>
          </cell>
          <cell r="AF54">
            <v>81.902068</v>
          </cell>
          <cell r="AG54">
            <v>503.20496799999995</v>
          </cell>
          <cell r="AH54">
            <v>1106.481389</v>
          </cell>
          <cell r="AI54">
            <v>0</v>
          </cell>
          <cell r="AJ54" t="str">
            <v xml:space="preserve">             Servicios Personales  (2)</v>
          </cell>
          <cell r="AK54">
            <v>219.61097699999999</v>
          </cell>
          <cell r="AL54">
            <v>202.25847299999998</v>
          </cell>
        </row>
        <row r="55">
          <cell r="B55" t="str">
            <v xml:space="preserve">             Materiales y Suministros</v>
          </cell>
          <cell r="C55">
            <v>150.71684999999999</v>
          </cell>
          <cell r="D55">
            <v>245.27042800000001</v>
          </cell>
          <cell r="E55">
            <v>211.83376099999998</v>
          </cell>
          <cell r="F55">
            <v>910.62012000000004</v>
          </cell>
          <cell r="G55">
            <v>19.863658000000001</v>
          </cell>
          <cell r="H55">
            <v>1538.304817</v>
          </cell>
          <cell r="J55" t="str">
            <v xml:space="preserve">             Materiales y Suministros</v>
          </cell>
          <cell r="K55">
            <v>56.93419999999999</v>
          </cell>
          <cell r="L55">
            <v>30.619985999999997</v>
          </cell>
          <cell r="M55">
            <v>42.965395000000001</v>
          </cell>
          <cell r="N55">
            <v>10.368748</v>
          </cell>
          <cell r="O55">
            <v>9.8285210000000021</v>
          </cell>
          <cell r="P55">
            <v>150.71684999999999</v>
          </cell>
          <cell r="R55" t="str">
            <v xml:space="preserve">             Materiales y Suministros</v>
          </cell>
          <cell r="S55">
            <v>59.712634000000001</v>
          </cell>
          <cell r="T55">
            <v>45.796733999999994</v>
          </cell>
          <cell r="U55">
            <v>21.018359</v>
          </cell>
          <cell r="V55">
            <v>51.482309999999998</v>
          </cell>
          <cell r="W55">
            <v>19.790210999999999</v>
          </cell>
          <cell r="X55">
            <v>14.053528</v>
          </cell>
          <cell r="Y55">
            <v>12.783139999999998</v>
          </cell>
          <cell r="Z55">
            <v>20.633512</v>
          </cell>
          <cell r="AA55">
            <v>245.27042800000001</v>
          </cell>
          <cell r="AC55" t="str">
            <v xml:space="preserve">             Materiales y Suministros</v>
          </cell>
          <cell r="AD55">
            <v>749.09433400000012</v>
          </cell>
          <cell r="AE55">
            <v>30.938728000000001</v>
          </cell>
          <cell r="AF55">
            <v>8.8686639999999972</v>
          </cell>
          <cell r="AG55">
            <v>121.71839399999999</v>
          </cell>
          <cell r="AH55">
            <v>910.62012000000004</v>
          </cell>
          <cell r="AI55">
            <v>0</v>
          </cell>
          <cell r="AJ55" t="str">
            <v xml:space="preserve">             Materiales y Suministros</v>
          </cell>
          <cell r="AK55">
            <v>25.568016</v>
          </cell>
          <cell r="AL55">
            <v>34.869942000000002</v>
          </cell>
        </row>
        <row r="56">
          <cell r="B56" t="str">
            <v xml:space="preserve">             Servicios Generales</v>
          </cell>
          <cell r="C56">
            <v>607.37911999999994</v>
          </cell>
          <cell r="D56">
            <v>771.4536579999999</v>
          </cell>
          <cell r="E56">
            <v>658.84179899999992</v>
          </cell>
          <cell r="F56">
            <v>1572.6957380000001</v>
          </cell>
          <cell r="G56">
            <v>1088.7375</v>
          </cell>
          <cell r="H56">
            <v>4699.1078150000003</v>
          </cell>
          <cell r="J56" t="str">
            <v xml:space="preserve">             Servicios Generales</v>
          </cell>
          <cell r="K56">
            <v>146.47872900000002</v>
          </cell>
          <cell r="L56">
            <v>162.351179</v>
          </cell>
          <cell r="M56">
            <v>152.33791699999998</v>
          </cell>
          <cell r="N56">
            <v>35.666461999999996</v>
          </cell>
          <cell r="O56">
            <v>110.54483299999998</v>
          </cell>
          <cell r="P56">
            <v>607.37911999999994</v>
          </cell>
          <cell r="R56" t="str">
            <v xml:space="preserve">             Servicios Generales</v>
          </cell>
          <cell r="S56">
            <v>110.139585</v>
          </cell>
          <cell r="T56">
            <v>156.595057</v>
          </cell>
          <cell r="U56">
            <v>68.302596999999992</v>
          </cell>
          <cell r="V56">
            <v>107.30503299999999</v>
          </cell>
          <cell r="W56">
            <v>49.493472000000004</v>
          </cell>
          <cell r="X56">
            <v>55.356512000000002</v>
          </cell>
          <cell r="Y56">
            <v>41.591666000000004</v>
          </cell>
          <cell r="Z56">
            <v>182.669736</v>
          </cell>
          <cell r="AA56">
            <v>771.4536579999999</v>
          </cell>
          <cell r="AC56" t="str">
            <v xml:space="preserve">             Servicios Generales</v>
          </cell>
          <cell r="AD56">
            <v>914.63212099999998</v>
          </cell>
          <cell r="AE56">
            <v>124.14681099999999</v>
          </cell>
          <cell r="AF56">
            <v>85.371771000000024</v>
          </cell>
          <cell r="AG56">
            <v>448.54503499999998</v>
          </cell>
          <cell r="AH56">
            <v>1572.6957380000001</v>
          </cell>
          <cell r="AI56">
            <v>0</v>
          </cell>
          <cell r="AJ56" t="str">
            <v xml:space="preserve">             Servicios Generales</v>
          </cell>
          <cell r="AK56">
            <v>60.146000000000001</v>
          </cell>
          <cell r="AL56">
            <v>63.64475800000001</v>
          </cell>
        </row>
        <row r="57">
          <cell r="B57" t="str">
            <v xml:space="preserve">         Menos jubilaciones (226)</v>
          </cell>
          <cell r="C57">
            <v>0</v>
          </cell>
          <cell r="D57">
            <v>0.71136299999999997</v>
          </cell>
          <cell r="E57">
            <v>0</v>
          </cell>
          <cell r="F57">
            <v>0.16206999999999999</v>
          </cell>
          <cell r="G57">
            <v>7.3449530000000003</v>
          </cell>
          <cell r="H57">
            <v>8.2183859999999989</v>
          </cell>
          <cell r="J57" t="str">
            <v xml:space="preserve">         Menos jubilaciones (226)</v>
          </cell>
          <cell r="K57">
            <v>0</v>
          </cell>
          <cell r="L57">
            <v>0</v>
          </cell>
          <cell r="M57">
            <v>0</v>
          </cell>
          <cell r="N57">
            <v>0</v>
          </cell>
          <cell r="O57">
            <v>0</v>
          </cell>
          <cell r="P57">
            <v>0</v>
          </cell>
          <cell r="R57" t="str">
            <v xml:space="preserve">         Menos jubilaciones (226)</v>
          </cell>
          <cell r="S57">
            <v>0</v>
          </cell>
          <cell r="T57">
            <v>0</v>
          </cell>
          <cell r="U57">
            <v>0</v>
          </cell>
          <cell r="V57">
            <v>0</v>
          </cell>
          <cell r="W57">
            <v>0</v>
          </cell>
          <cell r="X57">
            <v>0</v>
          </cell>
          <cell r="Y57">
            <v>0</v>
          </cell>
          <cell r="Z57">
            <v>0.71136299999999997</v>
          </cell>
          <cell r="AA57">
            <v>0.71136299999999997</v>
          </cell>
          <cell r="AC57" t="str">
            <v xml:space="preserve">         Menos jubilaciones (226)</v>
          </cell>
          <cell r="AD57">
            <v>0</v>
          </cell>
          <cell r="AE57">
            <v>0</v>
          </cell>
          <cell r="AF57">
            <v>0</v>
          </cell>
          <cell r="AG57">
            <v>0.16206999999999999</v>
          </cell>
          <cell r="AH57">
            <v>0.16206999999999999</v>
          </cell>
          <cell r="AI57">
            <v>0</v>
          </cell>
          <cell r="AJ57" t="str">
            <v xml:space="preserve">         Menos jubilaciones (226)</v>
          </cell>
          <cell r="AK57">
            <v>0</v>
          </cell>
          <cell r="AL57">
            <v>0</v>
          </cell>
        </row>
        <row r="58">
          <cell r="B58" t="str">
            <v xml:space="preserve">         Más pasivo laboral contingente  (3)</v>
          </cell>
          <cell r="C58">
            <v>1608.9948119999999</v>
          </cell>
          <cell r="D58">
            <v>2697.2234160000003</v>
          </cell>
          <cell r="E58">
            <v>1431.9998639999997</v>
          </cell>
          <cell r="F58">
            <v>1509.0622800000001</v>
          </cell>
          <cell r="G58">
            <v>3103.7416439999997</v>
          </cell>
          <cell r="H58">
            <v>10351.022015999997</v>
          </cell>
          <cell r="J58" t="str">
            <v xml:space="preserve">         Más pasivo laboral contingente  (3)</v>
          </cell>
          <cell r="K58">
            <v>577.36395599999992</v>
          </cell>
          <cell r="L58">
            <v>312.769992</v>
          </cell>
          <cell r="M58">
            <v>379.62104399999998</v>
          </cell>
          <cell r="N58">
            <v>114.76761600000002</v>
          </cell>
          <cell r="O58">
            <v>224.472204</v>
          </cell>
          <cell r="P58">
            <v>1608.9948119999999</v>
          </cell>
          <cell r="R58" t="str">
            <v xml:space="preserve">         Más pasivo laboral contingente  (3)</v>
          </cell>
          <cell r="S58">
            <v>642.96212400000013</v>
          </cell>
          <cell r="T58">
            <v>534.98019599999998</v>
          </cell>
          <cell r="U58">
            <v>251.28689999999997</v>
          </cell>
          <cell r="V58">
            <v>298.821888</v>
          </cell>
          <cell r="W58">
            <v>248.07392400000006</v>
          </cell>
          <cell r="X58">
            <v>153.027648</v>
          </cell>
          <cell r="Y58">
            <v>131.895036</v>
          </cell>
          <cell r="Z58">
            <v>436.17568800000009</v>
          </cell>
          <cell r="AA58">
            <v>2697.2234160000003</v>
          </cell>
          <cell r="AC58" t="str">
            <v xml:space="preserve">         Más pasivo laboral contingente  (3)</v>
          </cell>
          <cell r="AD58">
            <v>455.51342399999999</v>
          </cell>
          <cell r="AE58">
            <v>139.40493599999996</v>
          </cell>
          <cell r="AF58">
            <v>96.170075999999995</v>
          </cell>
          <cell r="AG58">
            <v>817.97384399999999</v>
          </cell>
          <cell r="AH58">
            <v>1509.0622800000001</v>
          </cell>
          <cell r="AI58">
            <v>0</v>
          </cell>
          <cell r="AJ58" t="str">
            <v xml:space="preserve">         Más pasivo laboral contingente  (3)</v>
          </cell>
          <cell r="AK58">
            <v>216.20404799999994</v>
          </cell>
          <cell r="AL58">
            <v>209.62071599999993</v>
          </cell>
        </row>
        <row r="59">
          <cell r="B59" t="str">
            <v xml:space="preserve">     Depreciación y Amortización</v>
          </cell>
          <cell r="C59">
            <v>3378.1491579999993</v>
          </cell>
          <cell r="D59">
            <v>3976.7796629999998</v>
          </cell>
          <cell r="E59">
            <v>2900.7534890000002</v>
          </cell>
          <cell r="F59">
            <v>3015.4131749999997</v>
          </cell>
          <cell r="G59">
            <v>45.555168000000002</v>
          </cell>
          <cell r="H59">
            <v>13316.650652999999</v>
          </cell>
          <cell r="J59" t="str">
            <v xml:space="preserve">     Depreciación y Amortización</v>
          </cell>
          <cell r="K59">
            <v>507.11354900000003</v>
          </cell>
          <cell r="L59">
            <v>1931.1101210000002</v>
          </cell>
          <cell r="M59">
            <v>401.60231800000008</v>
          </cell>
          <cell r="N59">
            <v>176.40270200000001</v>
          </cell>
          <cell r="O59">
            <v>361.92046799999997</v>
          </cell>
          <cell r="P59">
            <v>3378.1491579999993</v>
          </cell>
          <cell r="R59" t="str">
            <v xml:space="preserve">     Depreciación y Amortización</v>
          </cell>
          <cell r="S59">
            <v>993.90716100000009</v>
          </cell>
          <cell r="T59">
            <v>762.7013189999999</v>
          </cell>
          <cell r="U59">
            <v>399.39708100000007</v>
          </cell>
          <cell r="V59">
            <v>487.69163200000003</v>
          </cell>
          <cell r="W59">
            <v>157.530339</v>
          </cell>
          <cell r="X59">
            <v>381.06093199999992</v>
          </cell>
          <cell r="Y59">
            <v>346.592625</v>
          </cell>
          <cell r="Z59">
            <v>447.898572</v>
          </cell>
          <cell r="AA59">
            <v>3976.7796629999998</v>
          </cell>
          <cell r="AC59" t="str">
            <v xml:space="preserve">     Depreciación y Amortización</v>
          </cell>
          <cell r="AD59">
            <v>1303.8544590000001</v>
          </cell>
          <cell r="AE59">
            <v>653.63762900000006</v>
          </cell>
          <cell r="AF59">
            <v>570.70853499999998</v>
          </cell>
          <cell r="AG59">
            <v>487.21255199999996</v>
          </cell>
          <cell r="AH59">
            <v>3015.4131749999997</v>
          </cell>
          <cell r="AI59">
            <v>0</v>
          </cell>
          <cell r="AJ59" t="str">
            <v xml:space="preserve">     Depreciación y Amortización</v>
          </cell>
          <cell r="AK59">
            <v>1065.1702740000001</v>
          </cell>
          <cell r="AL59">
            <v>840.67134299999998</v>
          </cell>
        </row>
        <row r="60">
          <cell r="B60" t="str">
            <v xml:space="preserve">          Plataformas</v>
          </cell>
          <cell r="C60">
            <v>30.732132000000004</v>
          </cell>
          <cell r="D60">
            <v>0</v>
          </cell>
          <cell r="E60">
            <v>358.16099999999989</v>
          </cell>
          <cell r="F60">
            <v>483.86802000000006</v>
          </cell>
          <cell r="G60">
            <v>3.4998479999999996</v>
          </cell>
          <cell r="H60">
            <v>876.26099999999997</v>
          </cell>
          <cell r="J60" t="str">
            <v xml:space="preserve">          Plataformas</v>
          </cell>
          <cell r="K60">
            <v>10.679856000000001</v>
          </cell>
          <cell r="L60">
            <v>0</v>
          </cell>
          <cell r="M60">
            <v>20.052275999999999</v>
          </cell>
          <cell r="N60">
            <v>0</v>
          </cell>
          <cell r="O60">
            <v>0</v>
          </cell>
          <cell r="P60">
            <v>30.732132000000004</v>
          </cell>
          <cell r="R60" t="str">
            <v xml:space="preserve">          Plataformas</v>
          </cell>
          <cell r="S60">
            <v>0</v>
          </cell>
          <cell r="T60">
            <v>0</v>
          </cell>
          <cell r="U60">
            <v>0</v>
          </cell>
          <cell r="V60">
            <v>0</v>
          </cell>
          <cell r="W60">
            <v>0</v>
          </cell>
          <cell r="X60">
            <v>0</v>
          </cell>
          <cell r="Y60">
            <v>0</v>
          </cell>
          <cell r="Z60">
            <v>0</v>
          </cell>
          <cell r="AA60">
            <v>0</v>
          </cell>
          <cell r="AC60" t="str">
            <v xml:space="preserve">          Plataformas</v>
          </cell>
          <cell r="AD60">
            <v>311.35282800000004</v>
          </cell>
          <cell r="AE60">
            <v>84.13993200000003</v>
          </cell>
          <cell r="AF60">
            <v>63.86305200000001</v>
          </cell>
          <cell r="AG60">
            <v>24.512208000000005</v>
          </cell>
          <cell r="AH60">
            <v>483.86802000000006</v>
          </cell>
          <cell r="AI60">
            <v>0</v>
          </cell>
          <cell r="AJ60" t="str">
            <v xml:space="preserve">          Plataformas</v>
          </cell>
          <cell r="AK60">
            <v>175.46998800000003</v>
          </cell>
          <cell r="AL60">
            <v>153.15007199999999</v>
          </cell>
        </row>
        <row r="61">
          <cell r="B61" t="str">
            <v xml:space="preserve">          Pozos</v>
          </cell>
          <cell r="C61">
            <v>2351.284498</v>
          </cell>
          <cell r="D61">
            <v>2428.375035</v>
          </cell>
          <cell r="E61">
            <v>1400.3995249999998</v>
          </cell>
          <cell r="F61">
            <v>1421.3566229999999</v>
          </cell>
          <cell r="G61">
            <v>0</v>
          </cell>
          <cell r="H61">
            <v>7601.4156810000004</v>
          </cell>
          <cell r="J61" t="str">
            <v xml:space="preserve">          Pozos</v>
          </cell>
          <cell r="K61">
            <v>327.74543299999999</v>
          </cell>
          <cell r="L61">
            <v>1683.9495529999999</v>
          </cell>
          <cell r="M61">
            <v>235.10857000000001</v>
          </cell>
          <cell r="N61">
            <v>104.480942</v>
          </cell>
          <cell r="O61">
            <v>0</v>
          </cell>
          <cell r="P61">
            <v>2351.284498</v>
          </cell>
          <cell r="R61" t="str">
            <v xml:space="preserve">          Pozos</v>
          </cell>
          <cell r="S61">
            <v>802.67616899999996</v>
          </cell>
          <cell r="T61">
            <v>429.80114699999996</v>
          </cell>
          <cell r="U61">
            <v>261.00495699999999</v>
          </cell>
          <cell r="V61">
            <v>229.18024000000003</v>
          </cell>
          <cell r="W61">
            <v>83.541819000000004</v>
          </cell>
          <cell r="X61">
            <v>308.07203599999997</v>
          </cell>
          <cell r="Y61">
            <v>314.09866499999998</v>
          </cell>
          <cell r="Z61">
            <v>0</v>
          </cell>
          <cell r="AA61">
            <v>2428.375035</v>
          </cell>
          <cell r="AC61" t="str">
            <v xml:space="preserve">          Pozos</v>
          </cell>
          <cell r="AD61">
            <v>522.96761100000003</v>
          </cell>
          <cell r="AE61">
            <v>440.42722100000003</v>
          </cell>
          <cell r="AF61">
            <v>457.96179100000006</v>
          </cell>
          <cell r="AG61">
            <v>0</v>
          </cell>
          <cell r="AH61">
            <v>1421.3566229999999</v>
          </cell>
          <cell r="AI61">
            <v>0</v>
          </cell>
          <cell r="AJ61" t="str">
            <v xml:space="preserve">          Pozos</v>
          </cell>
          <cell r="AK61">
            <v>660.67713000000003</v>
          </cell>
          <cell r="AL61">
            <v>483.96678300000002</v>
          </cell>
        </row>
        <row r="62">
          <cell r="B62" t="str">
            <v xml:space="preserve">          Otros</v>
          </cell>
          <cell r="C62">
            <v>996.13252799999975</v>
          </cell>
          <cell r="D62">
            <v>1548.404628</v>
          </cell>
          <cell r="E62">
            <v>1142.1929640000003</v>
          </cell>
          <cell r="F62">
            <v>1110.1885319999999</v>
          </cell>
          <cell r="G62">
            <v>42.055320000000002</v>
          </cell>
          <cell r="H62">
            <v>4838.9739720000007</v>
          </cell>
          <cell r="J62" t="str">
            <v xml:space="preserve">          Otros</v>
          </cell>
          <cell r="K62">
            <v>168.68825999999999</v>
          </cell>
          <cell r="L62">
            <v>247.16056799999993</v>
          </cell>
          <cell r="M62">
            <v>146.441472</v>
          </cell>
          <cell r="N62">
            <v>71.921759999999992</v>
          </cell>
          <cell r="O62">
            <v>361.92046799999997</v>
          </cell>
          <cell r="P62">
            <v>996.13252799999975</v>
          </cell>
          <cell r="R62" t="str">
            <v xml:space="preserve">          Otros</v>
          </cell>
          <cell r="S62">
            <v>191.23099199999999</v>
          </cell>
          <cell r="T62">
            <v>332.900172</v>
          </cell>
          <cell r="U62">
            <v>138.39212400000002</v>
          </cell>
          <cell r="V62">
            <v>258.51139200000006</v>
          </cell>
          <cell r="W62">
            <v>73.988519999999994</v>
          </cell>
          <cell r="X62">
            <v>72.988895999999997</v>
          </cell>
          <cell r="Y62">
            <v>32.493960000000008</v>
          </cell>
          <cell r="Z62">
            <v>447.898572</v>
          </cell>
          <cell r="AA62">
            <v>1548.404628</v>
          </cell>
          <cell r="AC62" t="str">
            <v xml:space="preserve">          Otros</v>
          </cell>
          <cell r="AD62">
            <v>469.53402</v>
          </cell>
          <cell r="AE62">
            <v>129.07047599999996</v>
          </cell>
          <cell r="AF62">
            <v>48.883692000000018</v>
          </cell>
          <cell r="AG62">
            <v>462.70034399999992</v>
          </cell>
          <cell r="AH62">
            <v>1110.1885319999999</v>
          </cell>
          <cell r="AI62">
            <v>0</v>
          </cell>
          <cell r="AJ62" t="str">
            <v xml:space="preserve">          Otros</v>
          </cell>
          <cell r="AK62">
            <v>229.023156</v>
          </cell>
          <cell r="AL62">
            <v>203.55448799999999</v>
          </cell>
        </row>
        <row r="63">
          <cell r="B63" t="str">
            <v xml:space="preserve">     (1) Incluye el derecho sobre la extracción de petróleo,  y el aprovechamiento sobre rendimientos excedentes</v>
          </cell>
          <cell r="J63" t="str">
            <v xml:space="preserve">     (1) Incluye el derecho sobre la extracción de petróleo,  y el aprovechamiento sobre rendimientos excedentes</v>
          </cell>
          <cell r="R63" t="str">
            <v xml:space="preserve">     (1) Incluye el derecho sobre la extracción de petróleo,  y el aprovechamiento sobre rendimientos excedentes</v>
          </cell>
          <cell r="AC63" t="str">
            <v xml:space="preserve">     (1) Incluye el derecho sobre la extracción de petróleo,  y el aprovechamiento sobre rendimientos excedentes</v>
          </cell>
          <cell r="AJ63" t="str">
            <v xml:space="preserve">     (1) Incluye el derecho sobre la extracción de petróleo,  y el aprovechamiento sobre rendimientos excedentes</v>
          </cell>
        </row>
        <row r="64">
          <cell r="B64" t="str">
            <v xml:space="preserve">     (2) Incluye los renglones 201, 224, 225, 226, 232, 234,  239</v>
          </cell>
          <cell r="J64" t="str">
            <v xml:space="preserve">     (2) Incluye los renglones 201, 224, 225, 226, 232, 234,  239</v>
          </cell>
          <cell r="R64" t="str">
            <v xml:space="preserve">     (2) Incluye los renglones 201, 224, 225, 226, 232, 234,  239</v>
          </cell>
          <cell r="AC64" t="str">
            <v xml:space="preserve">     (2) Incluye los renglones 201, 224, 225, 226, 232, 234,  239</v>
          </cell>
          <cell r="AJ64" t="str">
            <v xml:space="preserve">     (2) Incluye los renglones 201, 224, 225, 226, 232, 234,  239</v>
          </cell>
        </row>
        <row r="65">
          <cell r="B65" t="str">
            <v xml:space="preserve">     (3) Incluye  jubilaciones y muerte.</v>
          </cell>
          <cell r="J65" t="str">
            <v xml:space="preserve">     (3) Incluye  jubilaciones y muerte.</v>
          </cell>
          <cell r="R65" t="str">
            <v xml:space="preserve">     (3) Incluye  jubilaciones y muerte.</v>
          </cell>
          <cell r="AC65" t="str">
            <v xml:space="preserve">     (3) Incluye  jubilaciones y muerte.</v>
          </cell>
          <cell r="AJ65" t="str">
            <v xml:space="preserve">     (3) Incluye  jubilaciones y muerte.</v>
          </cell>
        </row>
        <row r="66">
          <cell r="I66">
            <v>-2.100000529026147E-7</v>
          </cell>
          <cell r="Q66">
            <v>5.2053999991130695E-4</v>
          </cell>
          <cell r="AB66">
            <v>3.1099999660000321E-6</v>
          </cell>
          <cell r="AI66">
            <v>-6.0999946072115563E-7</v>
          </cell>
        </row>
        <row r="67">
          <cell r="D67" t="str">
            <v>PEMEX EXPLORACION Y PRODUCCION</v>
          </cell>
          <cell r="L67" t="str">
            <v>PEMEX EXPLORACION Y PRODUCCION</v>
          </cell>
          <cell r="U67" t="str">
            <v>PEMEX EXPLORACION Y PRODUCCION</v>
          </cell>
          <cell r="AE67" t="str">
            <v>PEMEX EXPLORACION Y PRODUCCION</v>
          </cell>
          <cell r="AL67" t="str">
            <v>PEMEX EXPLORACION Y PRODUCCION</v>
          </cell>
        </row>
        <row r="68">
          <cell r="D68" t="str">
            <v>RESULTADOS DE OPERACIÓN, Ene-Jun Real Jul-Dic P.O.6.2,  2000 (Preliminar)</v>
          </cell>
          <cell r="L68" t="str">
            <v>RESULTADOS DE OPERACIÓN, Ene-Jun Real Jul-Dic P.O.6.2,  2000 (Preliminar)</v>
          </cell>
          <cell r="U68" t="str">
            <v>RESULTADOS DE OPERACIÓN, Ene-Jun Real Jul-Dic P.O.6.2,  2000 (Preliminar)</v>
          </cell>
          <cell r="AE68" t="str">
            <v>RESULTADOS DE OPERACIÓN, Ene-Jun Real Jul-Dic P.O.6.2,  2000 (Preliminar)</v>
          </cell>
          <cell r="AL68" t="str">
            <v>RESULTADOS DE OPERACIÓN, Ene-Jun Real Jul-Dic P.O.6.2,  2000 (Preliminar)</v>
          </cell>
        </row>
        <row r="69">
          <cell r="D69" t="str">
            <v>Total PEP y Regiones</v>
          </cell>
          <cell r="H69" t="str">
            <v>S I R O</v>
          </cell>
          <cell r="L69" t="str">
            <v>Región Norte y Distritos</v>
          </cell>
          <cell r="P69" t="str">
            <v>S I R O</v>
          </cell>
          <cell r="U69" t="str">
            <v>Región Sur y Activos</v>
          </cell>
          <cell r="AA69" t="str">
            <v>S I R O</v>
          </cell>
          <cell r="AE69" t="str">
            <v>Región Marina Noreste y Activos</v>
          </cell>
          <cell r="AH69" t="str">
            <v>S I R O</v>
          </cell>
          <cell r="AL69" t="str">
            <v>Región Marina Suroeste y Activos</v>
          </cell>
        </row>
        <row r="70">
          <cell r="D70" t="str">
            <v xml:space="preserve">(Millones de Dólares) </v>
          </cell>
          <cell r="H70" t="str">
            <v>versión 6.0_6.2</v>
          </cell>
          <cell r="L70" t="str">
            <v xml:space="preserve">(Millones de Dólares) </v>
          </cell>
          <cell r="P70" t="str">
            <v>versión 6.0_6.2</v>
          </cell>
          <cell r="U70" t="str">
            <v xml:space="preserve">(Millones de Dólares) </v>
          </cell>
          <cell r="AA70" t="str">
            <v>versión 6.0_6.2</v>
          </cell>
          <cell r="AE70" t="str">
            <v xml:space="preserve">(Millones de Dólares) </v>
          </cell>
          <cell r="AH70" t="str">
            <v>versión 6.0_6.2</v>
          </cell>
          <cell r="AL70" t="str">
            <v xml:space="preserve">(Millones de Dólares) </v>
          </cell>
        </row>
        <row r="72">
          <cell r="B72" t="str">
            <v xml:space="preserve">          CONCEPTO</v>
          </cell>
          <cell r="C72" t="str">
            <v>Norte</v>
          </cell>
          <cell r="D72" t="str">
            <v>Sur</v>
          </cell>
          <cell r="E72" t="str">
            <v>M. Suroeste</v>
          </cell>
          <cell r="F72" t="str">
            <v>M. Noreste</v>
          </cell>
          <cell r="G72" t="str">
            <v>Sede</v>
          </cell>
          <cell r="H72" t="str">
            <v>TOTAL PEP</v>
          </cell>
          <cell r="J72" t="str">
            <v xml:space="preserve">          CONCEPTO</v>
          </cell>
          <cell r="K72" t="str">
            <v>Poza Rica</v>
          </cell>
          <cell r="L72" t="str">
            <v>Reynosa</v>
          </cell>
          <cell r="M72" t="str">
            <v>Altamira</v>
          </cell>
          <cell r="N72" t="str">
            <v>Veracruz</v>
          </cell>
          <cell r="O72" t="str">
            <v>Sede</v>
          </cell>
          <cell r="P72" t="str">
            <v>REGION</v>
          </cell>
          <cell r="R72" t="str">
            <v xml:space="preserve">          CONCEPTO</v>
          </cell>
          <cell r="S72" t="str">
            <v>Cinco Presidentes</v>
          </cell>
          <cell r="T72" t="str">
            <v>Samaria-Sitio Grande</v>
          </cell>
          <cell r="U72" t="str">
            <v>Bellota-Chinchorro</v>
          </cell>
          <cell r="V72" t="str">
            <v>Jujo-Tecominoacan</v>
          </cell>
          <cell r="W72" t="str">
            <v>Chilapilla-Colomo</v>
          </cell>
          <cell r="X72" t="str">
            <v>Muspac</v>
          </cell>
          <cell r="Y72" t="str">
            <v>Luna</v>
          </cell>
          <cell r="Z72" t="str">
            <v>Sede</v>
          </cell>
          <cell r="AA72" t="str">
            <v>REGION</v>
          </cell>
          <cell r="AC72" t="str">
            <v xml:space="preserve">          CONCEPTO</v>
          </cell>
          <cell r="AD72" t="str">
            <v>Cantarell</v>
          </cell>
          <cell r="AE72" t="str">
            <v>Ku-Malloob-Zaap</v>
          </cell>
          <cell r="AF72" t="str">
            <v>Ek-Balam</v>
          </cell>
          <cell r="AG72" t="str">
            <v>Sede</v>
          </cell>
          <cell r="AH72" t="str">
            <v>REGION</v>
          </cell>
          <cell r="AJ72" t="str">
            <v xml:space="preserve">          CONCEPTO</v>
          </cell>
          <cell r="AK72" t="str">
            <v>Abkatún</v>
          </cell>
          <cell r="AL72" t="str">
            <v>Pol-Chuc</v>
          </cell>
        </row>
        <row r="73">
          <cell r="B73" t="str">
            <v>UTILIDAD DESPUES DE IMPUESTOS Y DERECHOS</v>
          </cell>
          <cell r="C73">
            <v>234.09549871000002</v>
          </cell>
          <cell r="D73">
            <v>679.87848668000004</v>
          </cell>
          <cell r="E73">
            <v>683.90642592999995</v>
          </cell>
          <cell r="F73">
            <v>1384.4015949599998</v>
          </cell>
          <cell r="G73">
            <v>-543.62058979000005</v>
          </cell>
          <cell r="H73">
            <v>2982.2820064899997</v>
          </cell>
          <cell r="J73" t="str">
            <v>UTILIDAD DESPUES DE IMPUESTOS Y DERECHOS</v>
          </cell>
          <cell r="K73">
            <v>13.91299338</v>
          </cell>
          <cell r="L73">
            <v>169.41224672999996</v>
          </cell>
          <cell r="M73">
            <v>31.228369610000001</v>
          </cell>
          <cell r="N73">
            <v>19.54240953</v>
          </cell>
          <cell r="O73">
            <v>-133.81361326000001</v>
          </cell>
          <cell r="P73">
            <v>234.09549871000002</v>
          </cell>
          <cell r="R73" t="str">
            <v>UTILIDAD DESPUES DE IMPUESTOS Y DERECHOS</v>
          </cell>
          <cell r="S73">
            <v>8.6897133100000001</v>
          </cell>
          <cell r="T73">
            <v>200.4768411</v>
          </cell>
          <cell r="U73">
            <v>92.708845920000002</v>
          </cell>
          <cell r="V73">
            <v>156.46940576999998</v>
          </cell>
          <cell r="W73">
            <v>5.52706594</v>
          </cell>
          <cell r="X73">
            <v>112.50205689000002</v>
          </cell>
          <cell r="Y73">
            <v>103.50456086</v>
          </cell>
          <cell r="Z73">
            <v>-192.79924606000003</v>
          </cell>
          <cell r="AA73">
            <v>679.87848668000004</v>
          </cell>
          <cell r="AC73" t="str">
            <v>UTILIDAD DESPUES DE IMPUESTOS Y DERECHOS</v>
          </cell>
          <cell r="AD73">
            <v>1110.2395678400003</v>
          </cell>
          <cell r="AE73">
            <v>243.90520882999999</v>
          </cell>
          <cell r="AF73">
            <v>30.256817679999997</v>
          </cell>
          <cell r="AG73">
            <v>-111.13237002</v>
          </cell>
          <cell r="AH73">
            <v>1384.4015949599998</v>
          </cell>
          <cell r="AJ73" t="str">
            <v>UTILIDAD DESPUES DE IMPUESTOS Y DERECHOS</v>
          </cell>
          <cell r="AK73">
            <v>371.53946901</v>
          </cell>
          <cell r="AL73">
            <v>235.28897502999999</v>
          </cell>
        </row>
        <row r="74">
          <cell r="B74" t="str">
            <v>IMPUESTOS Y DERECHOS (1)</v>
          </cell>
          <cell r="C74">
            <v>501.26460321999997</v>
          </cell>
          <cell r="D74">
            <v>4410.0579402899994</v>
          </cell>
          <cell r="E74">
            <v>4808.6916426499993</v>
          </cell>
          <cell r="F74">
            <v>9984.5399036100007</v>
          </cell>
          <cell r="G74">
            <v>0</v>
          </cell>
          <cell r="H74">
            <v>19704.554089770001</v>
          </cell>
          <cell r="J74" t="str">
            <v>IMPUESTOS Y DERECHOS (1)</v>
          </cell>
          <cell r="K74">
            <v>45.581429880000002</v>
          </cell>
          <cell r="L74">
            <v>348.18189492000005</v>
          </cell>
          <cell r="M74">
            <v>67.577511819999998</v>
          </cell>
          <cell r="N74">
            <v>39.923766600000008</v>
          </cell>
          <cell r="O74">
            <v>0</v>
          </cell>
          <cell r="P74">
            <v>501.26460321999997</v>
          </cell>
          <cell r="R74" t="str">
            <v>IMPUESTOS Y DERECHOS (1)</v>
          </cell>
          <cell r="S74">
            <v>55.405637980000002</v>
          </cell>
          <cell r="T74">
            <v>1300.67684467</v>
          </cell>
          <cell r="U74">
            <v>601.48636191999992</v>
          </cell>
          <cell r="V74">
            <v>1015.13690142</v>
          </cell>
          <cell r="W74">
            <v>35.87087665</v>
          </cell>
          <cell r="X74">
            <v>729.95389800000009</v>
          </cell>
          <cell r="Y74">
            <v>671.52742008999996</v>
          </cell>
          <cell r="Z74">
            <v>0</v>
          </cell>
          <cell r="AA74">
            <v>4410.0579402899994</v>
          </cell>
          <cell r="AC74" t="str">
            <v>IMPUESTOS Y DERECHOS (1)</v>
          </cell>
          <cell r="AD74">
            <v>8012.5853254200001</v>
          </cell>
          <cell r="AE74">
            <v>1758.39221477</v>
          </cell>
          <cell r="AF74">
            <v>213.56236338999997</v>
          </cell>
          <cell r="AG74">
            <v>0</v>
          </cell>
          <cell r="AH74">
            <v>9984.5399036100007</v>
          </cell>
          <cell r="AJ74" t="str">
            <v>IMPUESTOS Y DERECHOS (1)</v>
          </cell>
          <cell r="AK74">
            <v>2613.4421101900002</v>
          </cell>
          <cell r="AL74">
            <v>1653.91273729</v>
          </cell>
        </row>
        <row r="75">
          <cell r="B75" t="str">
            <v>UTILIDAD ANTES DE IMP. Y DERECHOS</v>
          </cell>
          <cell r="C75">
            <v>735.36010192999993</v>
          </cell>
          <cell r="D75">
            <v>5089.93642697</v>
          </cell>
          <cell r="E75">
            <v>5492.5980685800005</v>
          </cell>
          <cell r="F75">
            <v>11368.941498569997</v>
          </cell>
          <cell r="G75">
            <v>-543.62058979000005</v>
          </cell>
          <cell r="H75">
            <v>22686.836096259998</v>
          </cell>
          <cell r="J75" t="str">
            <v>UTILIDAD ANTES DE IMP. Y DERECHOS</v>
          </cell>
          <cell r="K75">
            <v>59.494423259999991</v>
          </cell>
          <cell r="L75">
            <v>517.59414164999998</v>
          </cell>
          <cell r="M75">
            <v>98.805881429999999</v>
          </cell>
          <cell r="N75">
            <v>59.466176130000001</v>
          </cell>
          <cell r="O75">
            <v>-133.81361326000001</v>
          </cell>
          <cell r="P75">
            <v>735.36010192999993</v>
          </cell>
          <cell r="R75" t="str">
            <v>UTILIDAD ANTES DE IMP. Y DERECHOS</v>
          </cell>
          <cell r="S75">
            <v>64.095351289999996</v>
          </cell>
          <cell r="T75">
            <v>1501.1536857700003</v>
          </cell>
          <cell r="U75">
            <v>694.19520783999997</v>
          </cell>
          <cell r="V75">
            <v>1171.6063071900001</v>
          </cell>
          <cell r="W75">
            <v>41.397942590000007</v>
          </cell>
          <cell r="X75">
            <v>842.45595489000004</v>
          </cell>
          <cell r="Y75">
            <v>775.03198094999993</v>
          </cell>
          <cell r="Z75">
            <v>-192.79924606000003</v>
          </cell>
          <cell r="AA75">
            <v>5089.93642697</v>
          </cell>
          <cell r="AC75" t="str">
            <v>UTILIDAD ANTES DE IMP. Y DERECHOS</v>
          </cell>
          <cell r="AD75">
            <v>9122.8248932599981</v>
          </cell>
          <cell r="AE75">
            <v>2002.2974236</v>
          </cell>
          <cell r="AF75">
            <v>243.81918107000001</v>
          </cell>
          <cell r="AG75">
            <v>-111.13237002</v>
          </cell>
          <cell r="AH75">
            <v>11368.941498569997</v>
          </cell>
          <cell r="AJ75" t="str">
            <v>UTILIDAD ANTES DE IMP. Y DERECHOS</v>
          </cell>
          <cell r="AK75">
            <v>2984.9815792000004</v>
          </cell>
          <cell r="AL75">
            <v>1889.2017123200001</v>
          </cell>
        </row>
        <row r="76">
          <cell r="B76" t="str">
            <v>Gastos Indirectos de Administración</v>
          </cell>
          <cell r="C76">
            <v>138.80980421000001</v>
          </cell>
          <cell r="D76">
            <v>226.56609529000002</v>
          </cell>
          <cell r="E76">
            <v>173.84552615999999</v>
          </cell>
          <cell r="F76">
            <v>507.36032968000006</v>
          </cell>
          <cell r="G76">
            <v>10.576106749999999</v>
          </cell>
          <cell r="H76">
            <v>513.53727250999998</v>
          </cell>
          <cell r="J76" t="str">
            <v>Gastos Indirectos de Administración</v>
          </cell>
          <cell r="K76">
            <v>36.200389340000001</v>
          </cell>
          <cell r="L76">
            <v>167.54856722000002</v>
          </cell>
          <cell r="M76">
            <v>32.596719659999998</v>
          </cell>
          <cell r="N76">
            <v>20.52095452</v>
          </cell>
          <cell r="O76">
            <v>15.756265479999996</v>
          </cell>
          <cell r="P76">
            <v>138.80980421000001</v>
          </cell>
          <cell r="R76" t="str">
            <v>Gastos Indirectos de Administración</v>
          </cell>
          <cell r="S76">
            <v>34.82076095</v>
          </cell>
          <cell r="T76">
            <v>90.397540279999987</v>
          </cell>
          <cell r="U76">
            <v>46.249482270000001</v>
          </cell>
          <cell r="V76">
            <v>61.134715569999997</v>
          </cell>
          <cell r="W76">
            <v>23.289649349999998</v>
          </cell>
          <cell r="X76">
            <v>71.11122773000001</v>
          </cell>
          <cell r="Y76">
            <v>67.865375599999993</v>
          </cell>
          <cell r="Z76">
            <v>24.496588559999999</v>
          </cell>
          <cell r="AA76">
            <v>226.56609529000002</v>
          </cell>
          <cell r="AC76" t="str">
            <v>Gastos Indirectos de Administración</v>
          </cell>
          <cell r="AD76">
            <v>509.93459302999997</v>
          </cell>
          <cell r="AE76">
            <v>59.824546619999992</v>
          </cell>
          <cell r="AF76">
            <v>13.899695059999999</v>
          </cell>
          <cell r="AG76">
            <v>34.833864890000001</v>
          </cell>
          <cell r="AH76">
            <v>507.36032968000006</v>
          </cell>
          <cell r="AJ76" t="str">
            <v>Gastos Indirectos de Administración</v>
          </cell>
          <cell r="AK76">
            <v>281.01869467000006</v>
          </cell>
          <cell r="AL76">
            <v>202.80419430000001</v>
          </cell>
        </row>
        <row r="77">
          <cell r="B77" t="str">
            <v xml:space="preserve">     Corporativo</v>
          </cell>
          <cell r="C77">
            <v>66.402216080000002</v>
          </cell>
          <cell r="D77">
            <v>109.04929919</v>
          </cell>
          <cell r="E77">
            <v>83.75266357000001</v>
          </cell>
          <cell r="F77">
            <v>243.75698691999997</v>
          </cell>
          <cell r="G77">
            <v>10.576106749999999</v>
          </cell>
          <cell r="H77">
            <v>513.53727250999998</v>
          </cell>
          <cell r="J77" t="str">
            <v xml:space="preserve">     Corporativo</v>
          </cell>
          <cell r="K77">
            <v>8.2589987699999998</v>
          </cell>
          <cell r="L77">
            <v>38.758253879999998</v>
          </cell>
          <cell r="M77">
            <v>7.4182736499999997</v>
          </cell>
          <cell r="N77">
            <v>4.4781695399999997</v>
          </cell>
          <cell r="O77">
            <v>7.4885205600000013</v>
          </cell>
          <cell r="P77">
            <v>66.402216080000002</v>
          </cell>
          <cell r="R77" t="str">
            <v xml:space="preserve">     Corporativo</v>
          </cell>
          <cell r="S77">
            <v>7.8825820599999998</v>
          </cell>
          <cell r="T77">
            <v>23.002881289999998</v>
          </cell>
          <cell r="U77">
            <v>11.390702400000002</v>
          </cell>
          <cell r="V77">
            <v>15.579459889999997</v>
          </cell>
          <cell r="W77">
            <v>5.3698233800000006</v>
          </cell>
          <cell r="X77">
            <v>18.044622950000001</v>
          </cell>
          <cell r="Y77">
            <v>16.136670390000003</v>
          </cell>
          <cell r="Z77">
            <v>11.64255629</v>
          </cell>
          <cell r="AA77">
            <v>109.04929919</v>
          </cell>
          <cell r="AC77" t="str">
            <v xml:space="preserve">     Corporativo</v>
          </cell>
          <cell r="AD77">
            <v>198.14175144000004</v>
          </cell>
          <cell r="AE77">
            <v>23.648938799999996</v>
          </cell>
          <cell r="AF77">
            <v>5.41071641</v>
          </cell>
          <cell r="AG77">
            <v>16.555580209999999</v>
          </cell>
          <cell r="AH77">
            <v>243.75698691999997</v>
          </cell>
          <cell r="AJ77" t="str">
            <v xml:space="preserve">     Corporativo</v>
          </cell>
          <cell r="AK77">
            <v>34.407452960000001</v>
          </cell>
          <cell r="AL77">
            <v>23.875912769999996</v>
          </cell>
        </row>
        <row r="78">
          <cell r="B78" t="str">
            <v xml:space="preserve">     Sede PEP</v>
          </cell>
          <cell r="C78">
            <v>72.407588130000008</v>
          </cell>
          <cell r="D78">
            <v>117.51679610000002</v>
          </cell>
          <cell r="E78">
            <v>90.09286259000001</v>
          </cell>
          <cell r="F78">
            <v>263.60334275999998</v>
          </cell>
          <cell r="G78">
            <v>0</v>
          </cell>
          <cell r="H78">
            <v>0</v>
          </cell>
          <cell r="J78" t="str">
            <v xml:space="preserve">     Sede PEP</v>
          </cell>
          <cell r="K78">
            <v>8.9862394999999999</v>
          </cell>
          <cell r="L78">
            <v>42.237212700000001</v>
          </cell>
          <cell r="M78">
            <v>8.0691803399999991</v>
          </cell>
          <cell r="N78">
            <v>4.8472112999999997</v>
          </cell>
          <cell r="O78">
            <v>8.2677449200000002</v>
          </cell>
          <cell r="P78">
            <v>72.407588130000008</v>
          </cell>
          <cell r="R78" t="str">
            <v xml:space="preserve">     Sede PEP</v>
          </cell>
          <cell r="S78">
            <v>8.5662042800000009</v>
          </cell>
          <cell r="T78">
            <v>24.620463439999998</v>
          </cell>
          <cell r="U78">
            <v>12.241697889999999</v>
          </cell>
          <cell r="V78">
            <v>16.67199295</v>
          </cell>
          <cell r="W78">
            <v>5.8210178400000006</v>
          </cell>
          <cell r="X78">
            <v>19.320225620000002</v>
          </cell>
          <cell r="Y78">
            <v>17.421161980000001</v>
          </cell>
          <cell r="Z78">
            <v>12.854032269999999</v>
          </cell>
          <cell r="AA78">
            <v>117.51679610000002</v>
          </cell>
          <cell r="AC78" t="str">
            <v xml:space="preserve">     Sede PEP</v>
          </cell>
          <cell r="AD78">
            <v>214.32237362000001</v>
          </cell>
          <cell r="AE78">
            <v>25.160328219999993</v>
          </cell>
          <cell r="AF78">
            <v>5.8423561200000007</v>
          </cell>
          <cell r="AG78">
            <v>18.278284679999999</v>
          </cell>
          <cell r="AH78">
            <v>263.60334275999998</v>
          </cell>
          <cell r="AJ78" t="str">
            <v xml:space="preserve">     Sede PEP</v>
          </cell>
          <cell r="AK78">
            <v>36.734604549999993</v>
          </cell>
          <cell r="AL78">
            <v>25.525121260000002</v>
          </cell>
        </row>
        <row r="79">
          <cell r="B79" t="str">
            <v xml:space="preserve">     Sede regional</v>
          </cell>
          <cell r="C79">
            <v>0</v>
          </cell>
          <cell r="D79">
            <v>0</v>
          </cell>
          <cell r="E79">
            <v>0</v>
          </cell>
          <cell r="F79">
            <v>0</v>
          </cell>
          <cell r="G79">
            <v>0</v>
          </cell>
          <cell r="H79">
            <v>0</v>
          </cell>
          <cell r="J79" t="str">
            <v xml:space="preserve">     Sede regional</v>
          </cell>
          <cell r="K79">
            <v>18.955151070000003</v>
          </cell>
          <cell r="L79">
            <v>86.553100639999997</v>
          </cell>
          <cell r="M79">
            <v>17.109265669999999</v>
          </cell>
          <cell r="N79">
            <v>11.195573680000001</v>
          </cell>
          <cell r="O79">
            <v>0</v>
          </cell>
          <cell r="P79">
            <v>0</v>
          </cell>
          <cell r="R79" t="str">
            <v xml:space="preserve">     Sede regional</v>
          </cell>
          <cell r="S79">
            <v>18.371974609999999</v>
          </cell>
          <cell r="T79">
            <v>42.774195550000002</v>
          </cell>
          <cell r="U79">
            <v>22.617081980000005</v>
          </cell>
          <cell r="V79">
            <v>28.883262729999995</v>
          </cell>
          <cell r="W79">
            <v>12.09880813</v>
          </cell>
          <cell r="X79">
            <v>33.746379160000004</v>
          </cell>
          <cell r="Y79">
            <v>34.307543229999993</v>
          </cell>
          <cell r="Z79">
            <v>0</v>
          </cell>
          <cell r="AA79">
            <v>0</v>
          </cell>
          <cell r="AC79" t="str">
            <v xml:space="preserve">     Sede regional</v>
          </cell>
          <cell r="AD79">
            <v>97.470467970000016</v>
          </cell>
          <cell r="AE79">
            <v>11.015279600000001</v>
          </cell>
          <cell r="AF79">
            <v>2.6466225300000001</v>
          </cell>
          <cell r="AG79">
            <v>0</v>
          </cell>
          <cell r="AH79">
            <v>0</v>
          </cell>
          <cell r="AJ79" t="str">
            <v xml:space="preserve">     Sede regional</v>
          </cell>
          <cell r="AK79">
            <v>209.87663716000003</v>
          </cell>
          <cell r="AL79">
            <v>153.40316027</v>
          </cell>
        </row>
        <row r="80">
          <cell r="B80" t="str">
            <v>Servicios Corporativos Financieros</v>
          </cell>
          <cell r="C80">
            <v>0</v>
          </cell>
          <cell r="D80">
            <v>0</v>
          </cell>
          <cell r="E80">
            <v>0</v>
          </cell>
          <cell r="F80">
            <v>0</v>
          </cell>
          <cell r="G80">
            <v>0</v>
          </cell>
          <cell r="H80">
            <v>0</v>
          </cell>
          <cell r="J80" t="str">
            <v>Servicios Corporativos Financieros</v>
          </cell>
          <cell r="K80">
            <v>0</v>
          </cell>
          <cell r="L80">
            <v>0</v>
          </cell>
          <cell r="M80">
            <v>0</v>
          </cell>
          <cell r="N80">
            <v>0</v>
          </cell>
          <cell r="O80">
            <v>0</v>
          </cell>
          <cell r="P80">
            <v>0</v>
          </cell>
          <cell r="R80" t="str">
            <v>Servicios Corporativos Financieros</v>
          </cell>
          <cell r="S80">
            <v>0</v>
          </cell>
          <cell r="T80">
            <v>0</v>
          </cell>
          <cell r="U80">
            <v>0</v>
          </cell>
          <cell r="V80">
            <v>0</v>
          </cell>
          <cell r="W80">
            <v>0</v>
          </cell>
          <cell r="X80">
            <v>0</v>
          </cell>
          <cell r="Y80">
            <v>0</v>
          </cell>
          <cell r="Z80">
            <v>0</v>
          </cell>
          <cell r="AA80">
            <v>0</v>
          </cell>
          <cell r="AC80" t="str">
            <v>Servicios Corporativos Financieros</v>
          </cell>
          <cell r="AD80">
            <v>0</v>
          </cell>
          <cell r="AE80">
            <v>0</v>
          </cell>
          <cell r="AF80">
            <v>0</v>
          </cell>
          <cell r="AG80">
            <v>0</v>
          </cell>
          <cell r="AH80">
            <v>0</v>
          </cell>
          <cell r="AJ80" t="str">
            <v>Servicios Corporativos Financieros</v>
          </cell>
          <cell r="AK80">
            <v>0</v>
          </cell>
          <cell r="AL80">
            <v>0</v>
          </cell>
        </row>
        <row r="81">
          <cell r="B81" t="str">
            <v>UTILIDAD ANTES DE GASTOS INDIRECTOS</v>
          </cell>
          <cell r="C81">
            <v>874.16990614000008</v>
          </cell>
          <cell r="D81">
            <v>5316.5025222599998</v>
          </cell>
          <cell r="E81">
            <v>5666.4435947400007</v>
          </cell>
          <cell r="F81">
            <v>11876.30182825</v>
          </cell>
          <cell r="G81">
            <v>-533.04448304000005</v>
          </cell>
          <cell r="H81">
            <v>23200.373368770004</v>
          </cell>
          <cell r="J81" t="str">
            <v>UTILIDAD ANTES DE GASTOS INDIRECTOS</v>
          </cell>
          <cell r="K81">
            <v>95.694812599999992</v>
          </cell>
          <cell r="L81">
            <v>685.14270886999998</v>
          </cell>
          <cell r="M81">
            <v>131.40260109000002</v>
          </cell>
          <cell r="N81">
            <v>79.987130649999997</v>
          </cell>
          <cell r="O81">
            <v>-118.05734778</v>
          </cell>
          <cell r="P81">
            <v>874.16990614000008</v>
          </cell>
          <cell r="R81" t="str">
            <v>UTILIDAD ANTES DE GASTOS INDIRECTOS</v>
          </cell>
          <cell r="S81">
            <v>98.916112240000004</v>
          </cell>
          <cell r="T81">
            <v>1591.55122605</v>
          </cell>
          <cell r="U81">
            <v>740.44469011000001</v>
          </cell>
          <cell r="V81">
            <v>1232.7410227599999</v>
          </cell>
          <cell r="W81">
            <v>64.68759193999999</v>
          </cell>
          <cell r="X81">
            <v>913.56718262000004</v>
          </cell>
          <cell r="Y81">
            <v>842.89735654999993</v>
          </cell>
          <cell r="Z81">
            <v>-168.30265750000001</v>
          </cell>
          <cell r="AA81">
            <v>5316.5025222599998</v>
          </cell>
          <cell r="AC81" t="str">
            <v>UTILIDAD ANTES DE GASTOS INDIRECTOS</v>
          </cell>
          <cell r="AD81">
            <v>9632.7594862900005</v>
          </cell>
          <cell r="AE81">
            <v>2062.1219702199996</v>
          </cell>
          <cell r="AF81">
            <v>257.71887613000001</v>
          </cell>
          <cell r="AG81">
            <v>-76.298505130000009</v>
          </cell>
          <cell r="AH81">
            <v>11876.30182825</v>
          </cell>
          <cell r="AJ81" t="str">
            <v>UTILIDAD ANTES DE GASTOS INDIRECTOS</v>
          </cell>
          <cell r="AK81">
            <v>3266.0002738699995</v>
          </cell>
          <cell r="AL81">
            <v>2092.0059066200001</v>
          </cell>
        </row>
        <row r="82">
          <cell r="B82" t="str">
            <v>INGRESOS</v>
          </cell>
          <cell r="C82">
            <v>1916.1702513499999</v>
          </cell>
          <cell r="D82">
            <v>6944.4958404700001</v>
          </cell>
          <cell r="E82">
            <v>6662.8090695700002</v>
          </cell>
          <cell r="F82">
            <v>13781.9277943</v>
          </cell>
          <cell r="G82">
            <v>0</v>
          </cell>
          <cell r="H82">
            <v>29299.518455649999</v>
          </cell>
          <cell r="J82" t="str">
            <v>INGRESOS</v>
          </cell>
          <cell r="K82">
            <v>394.02067963000002</v>
          </cell>
          <cell r="L82">
            <v>1060.55768932</v>
          </cell>
          <cell r="M82">
            <v>307.63401116</v>
          </cell>
          <cell r="N82">
            <v>153.95420357999998</v>
          </cell>
          <cell r="O82">
            <v>3.6677699999999999E-3</v>
          </cell>
          <cell r="P82">
            <v>1916.1702513499999</v>
          </cell>
          <cell r="R82" t="str">
            <v>INGRESOS</v>
          </cell>
          <cell r="S82">
            <v>389.37608234999999</v>
          </cell>
          <cell r="T82">
            <v>2040.8588724099995</v>
          </cell>
          <cell r="U82">
            <v>903.14477682000006</v>
          </cell>
          <cell r="V82">
            <v>1454.6923035699999</v>
          </cell>
          <cell r="W82">
            <v>152.35912460000003</v>
          </cell>
          <cell r="X82">
            <v>1058.01982559</v>
          </cell>
          <cell r="Y82">
            <v>946.04485509000017</v>
          </cell>
          <cell r="Z82">
            <v>0</v>
          </cell>
          <cell r="AA82">
            <v>6944.4958404700001</v>
          </cell>
          <cell r="AC82" t="str">
            <v>INGRESOS</v>
          </cell>
          <cell r="AD82">
            <v>11069.14067828</v>
          </cell>
          <cell r="AE82">
            <v>2352.9643672200004</v>
          </cell>
          <cell r="AF82">
            <v>359.79491189000004</v>
          </cell>
          <cell r="AG82">
            <v>2.7836619999999999E-2</v>
          </cell>
          <cell r="AH82">
            <v>13781.9277943</v>
          </cell>
          <cell r="AJ82" t="str">
            <v>INGRESOS</v>
          </cell>
          <cell r="AK82">
            <v>3545.9700331499998</v>
          </cell>
          <cell r="AL82">
            <v>2328.3704351200004</v>
          </cell>
        </row>
        <row r="83">
          <cell r="B83" t="str">
            <v xml:space="preserve">   Ventas de productos</v>
          </cell>
          <cell r="C83">
            <v>1915.20938338</v>
          </cell>
          <cell r="D83">
            <v>6938.2045222799998</v>
          </cell>
          <cell r="E83">
            <v>6662.5688502600005</v>
          </cell>
          <cell r="F83">
            <v>13781.89995768</v>
          </cell>
          <cell r="G83">
            <v>0</v>
          </cell>
          <cell r="H83">
            <v>29297.8827136</v>
          </cell>
          <cell r="J83" t="str">
            <v xml:space="preserve">   Ventas de productos</v>
          </cell>
          <cell r="K83">
            <v>393.98894652000001</v>
          </cell>
          <cell r="L83">
            <v>1059.6803626599999</v>
          </cell>
          <cell r="M83">
            <v>307.59954078999999</v>
          </cell>
          <cell r="N83">
            <v>153.94053355000003</v>
          </cell>
          <cell r="O83">
            <v>0</v>
          </cell>
          <cell r="P83">
            <v>1915.20938338</v>
          </cell>
          <cell r="R83" t="str">
            <v xml:space="preserve">   Ventas de productos</v>
          </cell>
          <cell r="S83">
            <v>389.37608234999999</v>
          </cell>
          <cell r="T83">
            <v>2040.4520542599998</v>
          </cell>
          <cell r="U83">
            <v>899.89879929000006</v>
          </cell>
          <cell r="V83">
            <v>1454.6923035699999</v>
          </cell>
          <cell r="W83">
            <v>149.72060205999998</v>
          </cell>
          <cell r="X83">
            <v>1058.01982559</v>
          </cell>
          <cell r="Y83">
            <v>946.04485509000017</v>
          </cell>
          <cell r="Z83">
            <v>0</v>
          </cell>
          <cell r="AA83">
            <v>6938.2045222799998</v>
          </cell>
          <cell r="AC83" t="str">
            <v xml:space="preserve">   Ventas de productos</v>
          </cell>
          <cell r="AD83">
            <v>11069.14067828</v>
          </cell>
          <cell r="AE83">
            <v>2352.9643672200004</v>
          </cell>
          <cell r="AF83">
            <v>359.79491189000004</v>
          </cell>
          <cell r="AG83">
            <v>0</v>
          </cell>
          <cell r="AH83">
            <v>13781.89995768</v>
          </cell>
          <cell r="AJ83" t="str">
            <v xml:space="preserve">   Ventas de productos</v>
          </cell>
          <cell r="AK83">
            <v>3545.9700331499998</v>
          </cell>
          <cell r="AL83">
            <v>2328.3704351200004</v>
          </cell>
        </row>
        <row r="84">
          <cell r="B84" t="str">
            <v xml:space="preserve">       Crudo</v>
          </cell>
          <cell r="C84">
            <v>595.63261584999998</v>
          </cell>
          <cell r="D84">
            <v>4972.4500098799999</v>
          </cell>
          <cell r="E84">
            <v>5711.0886881599999</v>
          </cell>
          <cell r="F84">
            <v>12781.163885530001</v>
          </cell>
          <cell r="G84">
            <v>0</v>
          </cell>
          <cell r="H84">
            <v>24060.335199419995</v>
          </cell>
          <cell r="J84" t="str">
            <v xml:space="preserve">       Crudo</v>
          </cell>
          <cell r="K84">
            <v>287.70804456000002</v>
          </cell>
          <cell r="L84">
            <v>0</v>
          </cell>
          <cell r="M84">
            <v>292.12053163999997</v>
          </cell>
          <cell r="N84">
            <v>15.804039769999999</v>
          </cell>
          <cell r="O84">
            <v>0</v>
          </cell>
          <cell r="P84">
            <v>595.63261584999998</v>
          </cell>
          <cell r="R84" t="str">
            <v xml:space="preserve">       Crudo</v>
          </cell>
          <cell r="S84">
            <v>310.34678139000005</v>
          </cell>
          <cell r="T84">
            <v>1648.49469142</v>
          </cell>
          <cell r="U84">
            <v>754.07869417000006</v>
          </cell>
          <cell r="V84">
            <v>1209.1701977500002</v>
          </cell>
          <cell r="W84">
            <v>9.5802300099999993</v>
          </cell>
          <cell r="X84">
            <v>364.41829750000005</v>
          </cell>
          <cell r="Y84">
            <v>676.36111752000011</v>
          </cell>
          <cell r="Z84">
            <v>0</v>
          </cell>
          <cell r="AA84">
            <v>4972.4500098799999</v>
          </cell>
          <cell r="AC84" t="str">
            <v xml:space="preserve">       Crudo</v>
          </cell>
          <cell r="AD84">
            <v>10320.204146120001</v>
          </cell>
          <cell r="AE84">
            <v>2125.0843455300001</v>
          </cell>
          <cell r="AF84">
            <v>335.87539355999996</v>
          </cell>
          <cell r="AG84">
            <v>0</v>
          </cell>
          <cell r="AH84">
            <v>12781.163885530001</v>
          </cell>
          <cell r="AJ84" t="str">
            <v xml:space="preserve">       Crudo</v>
          </cell>
          <cell r="AK84">
            <v>3060.0849645899998</v>
          </cell>
          <cell r="AL84">
            <v>2027.4365336399999</v>
          </cell>
        </row>
        <row r="85">
          <cell r="B85" t="str">
            <v xml:space="preserve">           Facturado</v>
          </cell>
          <cell r="C85">
            <v>595.64700629999993</v>
          </cell>
          <cell r="D85">
            <v>4972.4518636800003</v>
          </cell>
          <cell r="E85">
            <v>5711.0976935899998</v>
          </cell>
          <cell r="F85">
            <v>12781.16605854</v>
          </cell>
          <cell r="G85">
            <v>0</v>
          </cell>
          <cell r="H85">
            <v>24060.362622109995</v>
          </cell>
          <cell r="J85" t="str">
            <v xml:space="preserve">           Facturado</v>
          </cell>
          <cell r="K85">
            <v>287.71581085999998</v>
          </cell>
          <cell r="L85">
            <v>0</v>
          </cell>
          <cell r="M85">
            <v>292.12670614999996</v>
          </cell>
          <cell r="N85">
            <v>15.8044893</v>
          </cell>
          <cell r="O85">
            <v>0</v>
          </cell>
          <cell r="P85">
            <v>595.64700629999993</v>
          </cell>
          <cell r="R85" t="str">
            <v xml:space="preserve">           Facturado</v>
          </cell>
          <cell r="S85">
            <v>310.34702322000004</v>
          </cell>
          <cell r="T85">
            <v>1648.4958998700001</v>
          </cell>
          <cell r="U85">
            <v>754.07889436000005</v>
          </cell>
          <cell r="V85">
            <v>1209.1703064000003</v>
          </cell>
          <cell r="W85">
            <v>9.5802462099999985</v>
          </cell>
          <cell r="X85">
            <v>364.41833018000005</v>
          </cell>
          <cell r="Y85">
            <v>676.3611632100002</v>
          </cell>
          <cell r="Z85">
            <v>0</v>
          </cell>
          <cell r="AA85">
            <v>4972.4518636800003</v>
          </cell>
          <cell r="AC85" t="str">
            <v xml:space="preserve">           Facturado</v>
          </cell>
          <cell r="AD85">
            <v>10320.205857540001</v>
          </cell>
          <cell r="AE85">
            <v>2125.0847050699999</v>
          </cell>
          <cell r="AF85">
            <v>335.87549594000001</v>
          </cell>
          <cell r="AG85">
            <v>0</v>
          </cell>
          <cell r="AH85">
            <v>12781.16605854</v>
          </cell>
          <cell r="AJ85" t="str">
            <v xml:space="preserve">           Facturado</v>
          </cell>
          <cell r="AK85">
            <v>3060.0896241400005</v>
          </cell>
          <cell r="AL85">
            <v>2027.4398813599998</v>
          </cell>
        </row>
        <row r="86">
          <cell r="B86" t="str">
            <v xml:space="preserve">          Ajuste por calidad</v>
          </cell>
          <cell r="C86">
            <v>-1.4390449999999999E-2</v>
          </cell>
          <cell r="D86">
            <v>-1.8537999999999998E-3</v>
          </cell>
          <cell r="E86">
            <v>-9.00543E-3</v>
          </cell>
          <cell r="F86">
            <v>-2.17301E-3</v>
          </cell>
          <cell r="G86">
            <v>0</v>
          </cell>
          <cell r="H86">
            <v>-2.7422690000000003E-2</v>
          </cell>
          <cell r="J86" t="str">
            <v xml:space="preserve">          Ajuste por calidad</v>
          </cell>
          <cell r="K86">
            <v>-7.7663000000000003E-3</v>
          </cell>
          <cell r="L86">
            <v>0</v>
          </cell>
          <cell r="M86">
            <v>-6.1745099999999994E-3</v>
          </cell>
          <cell r="N86">
            <v>-4.4953000000000001E-4</v>
          </cell>
          <cell r="O86">
            <v>0</v>
          </cell>
          <cell r="P86">
            <v>-1.4390449999999999E-2</v>
          </cell>
          <cell r="R86" t="str">
            <v xml:space="preserve">          Ajuste por calidad</v>
          </cell>
          <cell r="S86">
            <v>-2.4183000000000001E-4</v>
          </cell>
          <cell r="T86">
            <v>-1.2084499999999998E-3</v>
          </cell>
          <cell r="U86">
            <v>-2.0018999999999999E-4</v>
          </cell>
          <cell r="V86">
            <v>-1.0864999999999998E-4</v>
          </cell>
          <cell r="W86">
            <v>-1.6199999999999997E-5</v>
          </cell>
          <cell r="X86">
            <v>-3.2680000000000006E-5</v>
          </cell>
          <cell r="Y86">
            <v>-4.5690000000000005E-5</v>
          </cell>
          <cell r="Z86">
            <v>0</v>
          </cell>
          <cell r="AA86">
            <v>-1.8537999999999998E-3</v>
          </cell>
          <cell r="AC86" t="str">
            <v xml:space="preserve">          Ajuste por calidad</v>
          </cell>
          <cell r="AD86">
            <v>-1.7114200000000002E-3</v>
          </cell>
          <cell r="AE86">
            <v>-3.5954000000000004E-4</v>
          </cell>
          <cell r="AF86">
            <v>-1.0237999999999999E-4</v>
          </cell>
          <cell r="AG86">
            <v>0</v>
          </cell>
          <cell r="AH86">
            <v>-2.17301E-3</v>
          </cell>
          <cell r="AJ86" t="str">
            <v xml:space="preserve">          Ajuste por calidad</v>
          </cell>
          <cell r="AK86">
            <v>-4.6595500000000002E-3</v>
          </cell>
          <cell r="AL86">
            <v>-3.3477200000000002E-3</v>
          </cell>
        </row>
        <row r="87">
          <cell r="B87" t="str">
            <v xml:space="preserve">      Gas</v>
          </cell>
          <cell r="C87">
            <v>1300.7393971600002</v>
          </cell>
          <cell r="D87">
            <v>1868.1502507500004</v>
          </cell>
          <cell r="E87">
            <v>691.45139747000007</v>
          </cell>
          <cell r="F87">
            <v>764.03255248000005</v>
          </cell>
          <cell r="G87">
            <v>0</v>
          </cell>
          <cell r="H87">
            <v>4624.3735978599998</v>
          </cell>
          <cell r="J87" t="str">
            <v xml:space="preserve">      Gas</v>
          </cell>
          <cell r="K87">
            <v>106.28090195999999</v>
          </cell>
          <cell r="L87">
            <v>1040.84299229</v>
          </cell>
          <cell r="M87">
            <v>15.479009150000001</v>
          </cell>
          <cell r="N87">
            <v>138.13649378</v>
          </cell>
          <cell r="O87">
            <v>0</v>
          </cell>
          <cell r="P87">
            <v>1300.7393971600002</v>
          </cell>
          <cell r="R87" t="str">
            <v xml:space="preserve">      Gas</v>
          </cell>
          <cell r="S87">
            <v>79.029300959999986</v>
          </cell>
          <cell r="T87">
            <v>379.21622844999996</v>
          </cell>
          <cell r="U87">
            <v>123.88568902999997</v>
          </cell>
          <cell r="V87">
            <v>221.17663241999998</v>
          </cell>
          <cell r="W87">
            <v>133.28979085999998</v>
          </cell>
          <cell r="X87">
            <v>661.86887153999999</v>
          </cell>
          <cell r="Y87">
            <v>269.68373757000001</v>
          </cell>
          <cell r="Z87">
            <v>0</v>
          </cell>
          <cell r="AA87">
            <v>1868.1502507500004</v>
          </cell>
          <cell r="AC87" t="str">
            <v xml:space="preserve">      Gas</v>
          </cell>
          <cell r="AD87">
            <v>574.30983979000007</v>
          </cell>
          <cell r="AE87">
            <v>171.78324328999997</v>
          </cell>
          <cell r="AF87">
            <v>17.939469419999998</v>
          </cell>
          <cell r="AG87">
            <v>0</v>
          </cell>
          <cell r="AH87">
            <v>764.03255248000005</v>
          </cell>
          <cell r="AJ87" t="str">
            <v xml:space="preserve">      Gas</v>
          </cell>
          <cell r="AK87">
            <v>355.56005439</v>
          </cell>
          <cell r="AL87">
            <v>218.1478851</v>
          </cell>
        </row>
        <row r="88">
          <cell r="B88" t="str">
            <v xml:space="preserve">            Húmedo Amargo</v>
          </cell>
          <cell r="C88">
            <v>228.35195195999998</v>
          </cell>
          <cell r="D88">
            <v>1655.8311590000001</v>
          </cell>
          <cell r="E88">
            <v>691.45139747000007</v>
          </cell>
          <cell r="F88">
            <v>764.03255248000005</v>
          </cell>
          <cell r="G88">
            <v>0</v>
          </cell>
          <cell r="H88">
            <v>3339.6670609100001</v>
          </cell>
          <cell r="J88" t="str">
            <v xml:space="preserve">            Húmedo Amargo</v>
          </cell>
          <cell r="K88">
            <v>106.28090195999999</v>
          </cell>
          <cell r="L88">
            <v>0</v>
          </cell>
          <cell r="M88">
            <v>15.479009150000001</v>
          </cell>
          <cell r="N88">
            <v>106.59204086</v>
          </cell>
          <cell r="O88">
            <v>0</v>
          </cell>
          <cell r="P88">
            <v>228.35195195999998</v>
          </cell>
          <cell r="R88" t="str">
            <v xml:space="preserve">            Húmedo Amargo</v>
          </cell>
          <cell r="S88">
            <v>0</v>
          </cell>
          <cell r="T88">
            <v>379.21622844999996</v>
          </cell>
          <cell r="U88">
            <v>123.88568902999997</v>
          </cell>
          <cell r="V88">
            <v>221.17663241999998</v>
          </cell>
          <cell r="W88">
            <v>0</v>
          </cell>
          <cell r="X88">
            <v>661.86887153999999</v>
          </cell>
          <cell r="Y88">
            <v>269.68373757000001</v>
          </cell>
          <cell r="Z88">
            <v>0</v>
          </cell>
          <cell r="AA88">
            <v>1655.8311590000001</v>
          </cell>
          <cell r="AC88" t="str">
            <v xml:space="preserve">            Húmedo Amargo</v>
          </cell>
          <cell r="AD88">
            <v>574.30983979000007</v>
          </cell>
          <cell r="AE88">
            <v>171.78324328999997</v>
          </cell>
          <cell r="AF88">
            <v>17.939469419999998</v>
          </cell>
          <cell r="AG88">
            <v>0</v>
          </cell>
          <cell r="AH88">
            <v>764.03255248000005</v>
          </cell>
          <cell r="AJ88" t="str">
            <v xml:space="preserve">            Húmedo Amargo</v>
          </cell>
          <cell r="AK88">
            <v>355.56005439</v>
          </cell>
          <cell r="AL88">
            <v>218.1478851</v>
          </cell>
        </row>
        <row r="89">
          <cell r="B89" t="str">
            <v xml:space="preserve">            Húmedo Dulce</v>
          </cell>
          <cell r="C89">
            <v>259.32331531999995</v>
          </cell>
          <cell r="D89">
            <v>212.31909174999998</v>
          </cell>
          <cell r="E89">
            <v>0</v>
          </cell>
          <cell r="F89">
            <v>0</v>
          </cell>
          <cell r="G89">
            <v>0</v>
          </cell>
          <cell r="H89">
            <v>471.64240706999999</v>
          </cell>
          <cell r="J89" t="str">
            <v xml:space="preserve">            Húmedo Dulce</v>
          </cell>
          <cell r="K89">
            <v>0</v>
          </cell>
          <cell r="L89">
            <v>259.32331531999995</v>
          </cell>
          <cell r="M89">
            <v>0</v>
          </cell>
          <cell r="N89">
            <v>0</v>
          </cell>
          <cell r="O89">
            <v>0</v>
          </cell>
          <cell r="P89">
            <v>259.32331531999995</v>
          </cell>
          <cell r="R89" t="str">
            <v xml:space="preserve">            Húmedo Dulce</v>
          </cell>
          <cell r="S89">
            <v>79.029300959999986</v>
          </cell>
          <cell r="T89">
            <v>0</v>
          </cell>
          <cell r="U89">
            <v>0</v>
          </cell>
          <cell r="V89">
            <v>0</v>
          </cell>
          <cell r="W89">
            <v>133.28979085999998</v>
          </cell>
          <cell r="X89">
            <v>0</v>
          </cell>
          <cell r="Y89">
            <v>0</v>
          </cell>
          <cell r="Z89">
            <v>0</v>
          </cell>
          <cell r="AA89">
            <v>212.31909174999998</v>
          </cell>
          <cell r="AC89" t="str">
            <v xml:space="preserve">            Húmedo Dulce</v>
          </cell>
          <cell r="AD89">
            <v>0</v>
          </cell>
          <cell r="AE89">
            <v>0</v>
          </cell>
          <cell r="AF89">
            <v>0</v>
          </cell>
          <cell r="AG89">
            <v>0</v>
          </cell>
          <cell r="AH89">
            <v>0</v>
          </cell>
          <cell r="AJ89" t="str">
            <v xml:space="preserve">            Húmedo Dulce</v>
          </cell>
          <cell r="AK89">
            <v>0</v>
          </cell>
          <cell r="AL89">
            <v>0</v>
          </cell>
        </row>
        <row r="90">
          <cell r="B90" t="str">
            <v xml:space="preserve">            Seco</v>
          </cell>
          <cell r="C90">
            <v>813.06412989000012</v>
          </cell>
          <cell r="D90">
            <v>0</v>
          </cell>
          <cell r="E90">
            <v>0</v>
          </cell>
          <cell r="F90">
            <v>0</v>
          </cell>
          <cell r="G90">
            <v>0</v>
          </cell>
          <cell r="H90">
            <v>813.06412989000012</v>
          </cell>
          <cell r="J90" t="str">
            <v xml:space="preserve">            Seco</v>
          </cell>
          <cell r="K90">
            <v>0</v>
          </cell>
          <cell r="L90">
            <v>781.51967697000009</v>
          </cell>
          <cell r="M90">
            <v>0</v>
          </cell>
          <cell r="N90">
            <v>31.54445291</v>
          </cell>
          <cell r="O90">
            <v>0</v>
          </cell>
          <cell r="P90">
            <v>813.06412989000012</v>
          </cell>
          <cell r="R90" t="str">
            <v xml:space="preserve">            Seco</v>
          </cell>
          <cell r="S90">
            <v>0</v>
          </cell>
          <cell r="T90">
            <v>0</v>
          </cell>
          <cell r="U90">
            <v>0</v>
          </cell>
          <cell r="V90">
            <v>0</v>
          </cell>
          <cell r="W90">
            <v>0</v>
          </cell>
          <cell r="X90">
            <v>0</v>
          </cell>
          <cell r="Y90">
            <v>0</v>
          </cell>
          <cell r="Z90">
            <v>0</v>
          </cell>
          <cell r="AA90">
            <v>0</v>
          </cell>
          <cell r="AC90" t="str">
            <v xml:space="preserve">            Seco</v>
          </cell>
          <cell r="AD90">
            <v>0</v>
          </cell>
          <cell r="AE90">
            <v>0</v>
          </cell>
          <cell r="AF90">
            <v>0</v>
          </cell>
          <cell r="AG90">
            <v>0</v>
          </cell>
          <cell r="AH90">
            <v>0</v>
          </cell>
          <cell r="AJ90" t="str">
            <v xml:space="preserve">            Seco</v>
          </cell>
          <cell r="AK90">
            <v>0</v>
          </cell>
          <cell r="AL90">
            <v>0</v>
          </cell>
        </row>
        <row r="91">
          <cell r="B91" t="str">
            <v xml:space="preserve">        Condensado</v>
          </cell>
          <cell r="C91">
            <v>18.837370369999999</v>
          </cell>
          <cell r="D91">
            <v>97.604261649999998</v>
          </cell>
          <cell r="E91">
            <v>260.02876463000001</v>
          </cell>
          <cell r="F91">
            <v>236.70351967000002</v>
          </cell>
          <cell r="G91">
            <v>0</v>
          </cell>
          <cell r="H91">
            <v>613.1739163200001</v>
          </cell>
          <cell r="J91" t="str">
            <v xml:space="preserve">        Condensado</v>
          </cell>
          <cell r="K91">
            <v>0</v>
          </cell>
          <cell r="L91">
            <v>18.837370369999999</v>
          </cell>
          <cell r="M91">
            <v>0</v>
          </cell>
          <cell r="N91">
            <v>0</v>
          </cell>
          <cell r="O91">
            <v>0</v>
          </cell>
          <cell r="P91">
            <v>18.837370369999999</v>
          </cell>
          <cell r="R91" t="str">
            <v xml:space="preserve">        Condensado</v>
          </cell>
          <cell r="S91">
            <v>0</v>
          </cell>
          <cell r="T91">
            <v>12.741134389999999</v>
          </cell>
          <cell r="U91">
            <v>21.934416090000003</v>
          </cell>
          <cell r="V91">
            <v>24.345473399999999</v>
          </cell>
          <cell r="W91">
            <v>6.8505811899999998</v>
          </cell>
          <cell r="X91">
            <v>31.732656549999994</v>
          </cell>
          <cell r="Y91">
            <v>0</v>
          </cell>
          <cell r="Z91">
            <v>0</v>
          </cell>
          <cell r="AA91">
            <v>97.604261649999998</v>
          </cell>
          <cell r="AC91" t="str">
            <v xml:space="preserve">        Condensado</v>
          </cell>
          <cell r="AD91">
            <v>174.62669237000003</v>
          </cell>
          <cell r="AE91">
            <v>56.096778399999998</v>
          </cell>
          <cell r="AF91">
            <v>5.9800489099999989</v>
          </cell>
          <cell r="AG91">
            <v>0</v>
          </cell>
          <cell r="AH91">
            <v>236.70351967000002</v>
          </cell>
          <cell r="AJ91" t="str">
            <v xml:space="preserve">        Condensado</v>
          </cell>
          <cell r="AK91">
            <v>130.32501417</v>
          </cell>
          <cell r="AL91">
            <v>82.786016380000007</v>
          </cell>
        </row>
        <row r="92">
          <cell r="B92" t="str">
            <v xml:space="preserve">   Ventas de servicios interorganismos</v>
          </cell>
          <cell r="C92">
            <v>0.96086797000000002</v>
          </cell>
          <cell r="D92">
            <v>0.40681814999999999</v>
          </cell>
          <cell r="E92">
            <v>0.24021931000000002</v>
          </cell>
          <cell r="F92">
            <v>2.7836619999999999E-2</v>
          </cell>
          <cell r="G92">
            <v>0</v>
          </cell>
          <cell r="H92">
            <v>1.6357420499999999</v>
          </cell>
          <cell r="J92" t="str">
            <v xml:space="preserve">   Ventas de servicios interorganismos</v>
          </cell>
          <cell r="K92">
            <v>3.1733109999999995E-2</v>
          </cell>
          <cell r="L92">
            <v>0.87732665999999992</v>
          </cell>
          <cell r="M92">
            <v>3.447037E-2</v>
          </cell>
          <cell r="N92">
            <v>1.367003E-2</v>
          </cell>
          <cell r="O92">
            <v>3.6677699999999999E-3</v>
          </cell>
          <cell r="P92">
            <v>0.96086797000000002</v>
          </cell>
          <cell r="R92" t="str">
            <v xml:space="preserve">   Ventas de servicios interorganismos</v>
          </cell>
          <cell r="S92">
            <v>0</v>
          </cell>
          <cell r="T92">
            <v>0.40681814999999999</v>
          </cell>
          <cell r="U92">
            <v>0</v>
          </cell>
          <cell r="V92">
            <v>0</v>
          </cell>
          <cell r="W92">
            <v>0</v>
          </cell>
          <cell r="X92">
            <v>0</v>
          </cell>
          <cell r="Y92">
            <v>0</v>
          </cell>
          <cell r="Z92">
            <v>0</v>
          </cell>
          <cell r="AA92">
            <v>0.40681814999999999</v>
          </cell>
          <cell r="AC92" t="str">
            <v xml:space="preserve">   Ventas de servicios interorganismos</v>
          </cell>
          <cell r="AD92">
            <v>0</v>
          </cell>
          <cell r="AE92">
            <v>0</v>
          </cell>
          <cell r="AF92">
            <v>0</v>
          </cell>
          <cell r="AG92">
            <v>2.7836619999999999E-2</v>
          </cell>
          <cell r="AH92">
            <v>2.7836619999999999E-2</v>
          </cell>
          <cell r="AJ92" t="str">
            <v xml:space="preserve">   Ventas de servicios interorganismos</v>
          </cell>
          <cell r="AK92">
            <v>0</v>
          </cell>
          <cell r="AL92">
            <v>0</v>
          </cell>
        </row>
        <row r="93">
          <cell r="B93" t="str">
            <v xml:space="preserve">        Pemex Refinación</v>
          </cell>
          <cell r="C93">
            <v>1.208302E-2</v>
          </cell>
          <cell r="D93">
            <v>0</v>
          </cell>
          <cell r="E93">
            <v>1.7187940000000002E-2</v>
          </cell>
          <cell r="F93">
            <v>0</v>
          </cell>
          <cell r="G93">
            <v>0</v>
          </cell>
          <cell r="H93">
            <v>2.9270960000000002E-2</v>
          </cell>
          <cell r="J93" t="str">
            <v xml:space="preserve">        Pemex Refinación</v>
          </cell>
          <cell r="K93">
            <v>3.8122E-3</v>
          </cell>
          <cell r="L93">
            <v>0</v>
          </cell>
          <cell r="M93">
            <v>2.4877300000000001E-3</v>
          </cell>
          <cell r="N93">
            <v>5.7830799999999995E-3</v>
          </cell>
          <cell r="O93">
            <v>0</v>
          </cell>
          <cell r="P93">
            <v>1.208302E-2</v>
          </cell>
          <cell r="R93" t="str">
            <v xml:space="preserve">        Pemex Refinación</v>
          </cell>
          <cell r="S93">
            <v>0</v>
          </cell>
          <cell r="T93">
            <v>0</v>
          </cell>
          <cell r="U93">
            <v>0</v>
          </cell>
          <cell r="V93">
            <v>0</v>
          </cell>
          <cell r="W93">
            <v>0</v>
          </cell>
          <cell r="X93">
            <v>0</v>
          </cell>
          <cell r="Y93">
            <v>0</v>
          </cell>
          <cell r="Z93">
            <v>0</v>
          </cell>
          <cell r="AA93">
            <v>0</v>
          </cell>
          <cell r="AC93" t="str">
            <v xml:space="preserve">        Pemex Refinación</v>
          </cell>
          <cell r="AD93">
            <v>0</v>
          </cell>
          <cell r="AE93">
            <v>0</v>
          </cell>
          <cell r="AF93">
            <v>0</v>
          </cell>
          <cell r="AG93">
            <v>0</v>
          </cell>
          <cell r="AH93">
            <v>0</v>
          </cell>
          <cell r="AJ93" t="str">
            <v xml:space="preserve">        Pemex Refinación</v>
          </cell>
          <cell r="AK93">
            <v>0</v>
          </cell>
          <cell r="AL93">
            <v>0</v>
          </cell>
        </row>
        <row r="94">
          <cell r="B94" t="str">
            <v xml:space="preserve">        Pemex Gas y Petroquímica Básica</v>
          </cell>
          <cell r="C94">
            <v>0.88777866999999999</v>
          </cell>
          <cell r="D94">
            <v>0.40681814999999999</v>
          </cell>
          <cell r="E94">
            <v>0</v>
          </cell>
          <cell r="F94">
            <v>0</v>
          </cell>
          <cell r="G94">
            <v>0</v>
          </cell>
          <cell r="H94">
            <v>1.29459682</v>
          </cell>
          <cell r="J94" t="str">
            <v xml:space="preserve">        Pemex Gas y Petroquímica Básica</v>
          </cell>
          <cell r="K94">
            <v>6.5150199999999998E-3</v>
          </cell>
          <cell r="L94">
            <v>0.87732665999999992</v>
          </cell>
          <cell r="M94">
            <v>0</v>
          </cell>
          <cell r="N94">
            <v>3.9369900000000005E-3</v>
          </cell>
          <cell r="O94">
            <v>0</v>
          </cell>
          <cell r="P94">
            <v>0.88777866999999999</v>
          </cell>
          <cell r="R94" t="str">
            <v xml:space="preserve">        Pemex Gas y Petroquímica Básica</v>
          </cell>
          <cell r="S94">
            <v>0</v>
          </cell>
          <cell r="T94">
            <v>0.40681814999999999</v>
          </cell>
          <cell r="U94">
            <v>0</v>
          </cell>
          <cell r="V94">
            <v>0</v>
          </cell>
          <cell r="W94">
            <v>0</v>
          </cell>
          <cell r="X94">
            <v>0</v>
          </cell>
          <cell r="Y94">
            <v>0</v>
          </cell>
          <cell r="Z94">
            <v>0</v>
          </cell>
          <cell r="AA94">
            <v>0.40681814999999999</v>
          </cell>
          <cell r="AC94" t="str">
            <v xml:space="preserve">        Pemex Gas y Petroquímica Básica</v>
          </cell>
          <cell r="AD94">
            <v>0</v>
          </cell>
          <cell r="AE94">
            <v>0</v>
          </cell>
          <cell r="AF94">
            <v>0</v>
          </cell>
          <cell r="AG94">
            <v>0</v>
          </cell>
          <cell r="AH94">
            <v>0</v>
          </cell>
          <cell r="AJ94" t="str">
            <v xml:space="preserve">        Pemex Gas y Petroquímica Básica</v>
          </cell>
          <cell r="AK94">
            <v>0</v>
          </cell>
          <cell r="AL94">
            <v>0</v>
          </cell>
        </row>
        <row r="95">
          <cell r="B95" t="str">
            <v xml:space="preserve">        Pemex Petroquímica</v>
          </cell>
          <cell r="C95">
            <v>0</v>
          </cell>
          <cell r="D95">
            <v>0</v>
          </cell>
          <cell r="E95">
            <v>0</v>
          </cell>
          <cell r="F95">
            <v>0</v>
          </cell>
          <cell r="G95">
            <v>0</v>
          </cell>
          <cell r="H95">
            <v>0</v>
          </cell>
          <cell r="J95" t="str">
            <v xml:space="preserve">        Pemex Petroquímica</v>
          </cell>
          <cell r="K95">
            <v>0</v>
          </cell>
          <cell r="L95">
            <v>0</v>
          </cell>
          <cell r="M95">
            <v>0</v>
          </cell>
          <cell r="N95">
            <v>0</v>
          </cell>
          <cell r="O95">
            <v>0</v>
          </cell>
          <cell r="P95">
            <v>0</v>
          </cell>
          <cell r="R95" t="str">
            <v xml:space="preserve">        Pemex Petroquímica</v>
          </cell>
          <cell r="S95">
            <v>0</v>
          </cell>
          <cell r="T95">
            <v>0</v>
          </cell>
          <cell r="U95">
            <v>0</v>
          </cell>
          <cell r="V95">
            <v>0</v>
          </cell>
          <cell r="W95">
            <v>0</v>
          </cell>
          <cell r="X95">
            <v>0</v>
          </cell>
          <cell r="Y95">
            <v>0</v>
          </cell>
          <cell r="Z95">
            <v>0</v>
          </cell>
          <cell r="AA95">
            <v>0</v>
          </cell>
          <cell r="AC95" t="str">
            <v xml:space="preserve">        Pemex Petroquímica</v>
          </cell>
          <cell r="AD95">
            <v>0</v>
          </cell>
          <cell r="AE95">
            <v>0</v>
          </cell>
          <cell r="AF95">
            <v>0</v>
          </cell>
          <cell r="AG95">
            <v>0</v>
          </cell>
          <cell r="AH95">
            <v>0</v>
          </cell>
          <cell r="AJ95" t="str">
            <v xml:space="preserve">        Pemex Petroquímica</v>
          </cell>
          <cell r="AK95">
            <v>0</v>
          </cell>
          <cell r="AL95">
            <v>0</v>
          </cell>
        </row>
        <row r="96">
          <cell r="B96" t="str">
            <v xml:space="preserve">        Pemex Corporativo</v>
          </cell>
          <cell r="C96">
            <v>6.1006279999999996E-2</v>
          </cell>
          <cell r="D96">
            <v>0</v>
          </cell>
          <cell r="E96">
            <v>0.22303137000000001</v>
          </cell>
          <cell r="F96">
            <v>2.7836619999999999E-2</v>
          </cell>
          <cell r="G96">
            <v>0</v>
          </cell>
          <cell r="H96">
            <v>0.31187427000000001</v>
          </cell>
          <cell r="J96" t="str">
            <v xml:space="preserve">        Pemex Corporativo</v>
          </cell>
          <cell r="K96">
            <v>2.1405890000000004E-2</v>
          </cell>
          <cell r="L96">
            <v>0</v>
          </cell>
          <cell r="M96">
            <v>3.1982640000000007E-2</v>
          </cell>
          <cell r="N96">
            <v>3.9499600000000006E-3</v>
          </cell>
          <cell r="O96">
            <v>3.6677699999999999E-3</v>
          </cell>
          <cell r="P96">
            <v>6.1006279999999996E-2</v>
          </cell>
          <cell r="R96" t="str">
            <v xml:space="preserve">        Pemex Corporativo</v>
          </cell>
          <cell r="S96">
            <v>0</v>
          </cell>
          <cell r="T96">
            <v>0</v>
          </cell>
          <cell r="U96">
            <v>0</v>
          </cell>
          <cell r="V96">
            <v>0</v>
          </cell>
          <cell r="W96">
            <v>0</v>
          </cell>
          <cell r="X96">
            <v>0</v>
          </cell>
          <cell r="Y96">
            <v>0</v>
          </cell>
          <cell r="Z96">
            <v>0</v>
          </cell>
          <cell r="AA96">
            <v>0</v>
          </cell>
          <cell r="AC96" t="str">
            <v xml:space="preserve">        Pemex Corporativo</v>
          </cell>
          <cell r="AD96">
            <v>0</v>
          </cell>
          <cell r="AE96">
            <v>0</v>
          </cell>
          <cell r="AF96">
            <v>0</v>
          </cell>
          <cell r="AG96">
            <v>2.7836619999999999E-2</v>
          </cell>
          <cell r="AH96">
            <v>2.7836619999999999E-2</v>
          </cell>
          <cell r="AJ96" t="str">
            <v xml:space="preserve">        Pemex Corporativo</v>
          </cell>
          <cell r="AK96">
            <v>0</v>
          </cell>
          <cell r="AL96">
            <v>0</v>
          </cell>
        </row>
        <row r="97">
          <cell r="B97" t="str">
            <v xml:space="preserve">   Ventas de productos y servicios Interregiones</v>
          </cell>
          <cell r="C97">
            <v>0</v>
          </cell>
          <cell r="D97">
            <v>5.8845000399999998</v>
          </cell>
          <cell r="E97">
            <v>0</v>
          </cell>
          <cell r="F97">
            <v>0</v>
          </cell>
          <cell r="G97">
            <v>0</v>
          </cell>
          <cell r="H97">
            <v>0</v>
          </cell>
          <cell r="I97">
            <v>5.8845000399999998</v>
          </cell>
          <cell r="J97" t="str">
            <v xml:space="preserve">   Ventas de productos y servicios Interregiones</v>
          </cell>
          <cell r="K97">
            <v>0</v>
          </cell>
          <cell r="L97">
            <v>0</v>
          </cell>
          <cell r="M97">
            <v>0</v>
          </cell>
          <cell r="N97">
            <v>0</v>
          </cell>
          <cell r="O97">
            <v>0</v>
          </cell>
          <cell r="P97">
            <v>0</v>
          </cell>
          <cell r="R97" t="str">
            <v xml:space="preserve">   Ventas de productos y servicios Interregiones</v>
          </cell>
          <cell r="S97">
            <v>0</v>
          </cell>
          <cell r="T97">
            <v>0</v>
          </cell>
          <cell r="U97">
            <v>3.2459775300000007</v>
          </cell>
          <cell r="V97">
            <v>0</v>
          </cell>
          <cell r="W97">
            <v>2.6385225400000003</v>
          </cell>
          <cell r="X97">
            <v>0</v>
          </cell>
          <cell r="Y97">
            <v>0</v>
          </cell>
          <cell r="Z97">
            <v>0</v>
          </cell>
          <cell r="AA97">
            <v>5.8845000399999998</v>
          </cell>
          <cell r="AC97" t="str">
            <v xml:space="preserve">   Ventas de productos y servicios Interregiones</v>
          </cell>
          <cell r="AD97">
            <v>0</v>
          </cell>
          <cell r="AE97">
            <v>0</v>
          </cell>
          <cell r="AF97">
            <v>0</v>
          </cell>
          <cell r="AG97">
            <v>0</v>
          </cell>
          <cell r="AH97">
            <v>0</v>
          </cell>
          <cell r="AJ97" t="str">
            <v xml:space="preserve">   Ventas de productos y servicios Interregiones</v>
          </cell>
          <cell r="AK97">
            <v>0</v>
          </cell>
          <cell r="AL97">
            <v>0</v>
          </cell>
        </row>
        <row r="98">
          <cell r="B98" t="str">
            <v xml:space="preserve">   Ventas de productos y servicios Interdistritos</v>
          </cell>
          <cell r="C98">
            <v>0</v>
          </cell>
          <cell r="D98">
            <v>0</v>
          </cell>
          <cell r="E98">
            <v>0</v>
          </cell>
          <cell r="F98">
            <v>0</v>
          </cell>
          <cell r="G98">
            <v>0</v>
          </cell>
          <cell r="H98">
            <v>0</v>
          </cell>
          <cell r="J98" t="str">
            <v xml:space="preserve">   Ventas de productos y servicios Interdistritos</v>
          </cell>
          <cell r="K98">
            <v>0</v>
          </cell>
          <cell r="L98">
            <v>0</v>
          </cell>
          <cell r="M98">
            <v>0</v>
          </cell>
          <cell r="N98">
            <v>0</v>
          </cell>
          <cell r="O98">
            <v>0</v>
          </cell>
          <cell r="P98">
            <v>0</v>
          </cell>
          <cell r="R98" t="str">
            <v xml:space="preserve">   Ventas de productos y servicios Interdistritos</v>
          </cell>
          <cell r="S98">
            <v>0</v>
          </cell>
          <cell r="T98">
            <v>0</v>
          </cell>
          <cell r="U98">
            <v>0</v>
          </cell>
          <cell r="V98">
            <v>0</v>
          </cell>
          <cell r="W98">
            <v>0</v>
          </cell>
          <cell r="X98">
            <v>0</v>
          </cell>
          <cell r="Y98">
            <v>0</v>
          </cell>
          <cell r="Z98">
            <v>0</v>
          </cell>
          <cell r="AA98">
            <v>0</v>
          </cell>
          <cell r="AC98" t="str">
            <v xml:space="preserve">   Ventas de productos y servicios Interdistritos</v>
          </cell>
          <cell r="AD98">
            <v>0</v>
          </cell>
          <cell r="AE98">
            <v>0</v>
          </cell>
          <cell r="AF98">
            <v>0</v>
          </cell>
          <cell r="AG98">
            <v>0</v>
          </cell>
          <cell r="AH98">
            <v>0</v>
          </cell>
          <cell r="AJ98" t="str">
            <v xml:space="preserve">   Ventas de productos y servicios Interdistritos</v>
          </cell>
          <cell r="AK98">
            <v>0</v>
          </cell>
          <cell r="AL98">
            <v>0</v>
          </cell>
        </row>
        <row r="99">
          <cell r="B99" t="str">
            <v>EGRESOS</v>
          </cell>
          <cell r="C99">
            <v>1042.0003452099998</v>
          </cell>
          <cell r="D99">
            <v>1627.9933182099999</v>
          </cell>
          <cell r="E99">
            <v>996.36547483000004</v>
          </cell>
          <cell r="F99">
            <v>1905.62596605</v>
          </cell>
          <cell r="G99">
            <v>533.04448304000005</v>
          </cell>
          <cell r="H99">
            <v>6099.1450868800002</v>
          </cell>
          <cell r="J99" t="str">
            <v>EGRESOS</v>
          </cell>
          <cell r="K99">
            <v>298.32586703000004</v>
          </cell>
          <cell r="L99">
            <v>375.41498044999997</v>
          </cell>
          <cell r="M99">
            <v>176.23141006999998</v>
          </cell>
          <cell r="N99">
            <v>73.96707293</v>
          </cell>
          <cell r="O99">
            <v>118.06101554999999</v>
          </cell>
          <cell r="P99">
            <v>1042.0003452099998</v>
          </cell>
          <cell r="R99" t="str">
            <v>EGRESOS</v>
          </cell>
          <cell r="S99">
            <v>290.45997011000003</v>
          </cell>
          <cell r="T99">
            <v>449.30764635999998</v>
          </cell>
          <cell r="U99">
            <v>162.70008670999999</v>
          </cell>
          <cell r="V99">
            <v>221.95128081000001</v>
          </cell>
          <cell r="W99">
            <v>87.671532659999997</v>
          </cell>
          <cell r="X99">
            <v>144.45264297</v>
          </cell>
          <cell r="Y99">
            <v>103.14749854</v>
          </cell>
          <cell r="Z99">
            <v>168.30265750000001</v>
          </cell>
          <cell r="AA99">
            <v>1627.9933182099999</v>
          </cell>
          <cell r="AC99" t="str">
            <v>EGRESOS</v>
          </cell>
          <cell r="AD99">
            <v>1436.3811919899999</v>
          </cell>
          <cell r="AE99">
            <v>290.84239700000001</v>
          </cell>
          <cell r="AF99">
            <v>102.07603576000001</v>
          </cell>
          <cell r="AG99">
            <v>76.326341750000012</v>
          </cell>
          <cell r="AH99">
            <v>1905.62596605</v>
          </cell>
          <cell r="AJ99" t="str">
            <v>EGRESOS</v>
          </cell>
          <cell r="AK99">
            <v>279.96975928000001</v>
          </cell>
          <cell r="AL99">
            <v>236.36452850000001</v>
          </cell>
        </row>
        <row r="100">
          <cell r="B100" t="str">
            <v xml:space="preserve">   Variables</v>
          </cell>
          <cell r="C100">
            <v>277.36124016000002</v>
          </cell>
          <cell r="D100">
            <v>582.10526837999998</v>
          </cell>
          <cell r="E100">
            <v>338.24559932</v>
          </cell>
          <cell r="F100">
            <v>1064.57424917</v>
          </cell>
          <cell r="G100">
            <v>7.4105768199999993</v>
          </cell>
          <cell r="H100">
            <v>2263.81243339</v>
          </cell>
          <cell r="J100" t="str">
            <v xml:space="preserve">   Variables</v>
          </cell>
          <cell r="K100">
            <v>106.91468053999999</v>
          </cell>
          <cell r="L100">
            <v>89.726989220000007</v>
          </cell>
          <cell r="M100">
            <v>36.649226570000003</v>
          </cell>
          <cell r="N100">
            <v>26.361186910000001</v>
          </cell>
          <cell r="O100">
            <v>17.709157790000003</v>
          </cell>
          <cell r="P100">
            <v>277.36124016000002</v>
          </cell>
          <cell r="R100" t="str">
            <v xml:space="preserve">   Variables</v>
          </cell>
          <cell r="S100">
            <v>43.224843059999998</v>
          </cell>
          <cell r="T100">
            <v>249.39854374999999</v>
          </cell>
          <cell r="U100">
            <v>60.952341559999994</v>
          </cell>
          <cell r="V100">
            <v>92.638865850000002</v>
          </cell>
          <cell r="W100">
            <v>16.419412780000002</v>
          </cell>
          <cell r="X100">
            <v>62.162554379999996</v>
          </cell>
          <cell r="Y100">
            <v>37.986653110000006</v>
          </cell>
          <cell r="Z100">
            <v>19.322053590000003</v>
          </cell>
          <cell r="AA100">
            <v>582.10526837999998</v>
          </cell>
          <cell r="AC100" t="str">
            <v xml:space="preserve">   Variables</v>
          </cell>
          <cell r="AD100">
            <v>1038.8036991000001</v>
          </cell>
          <cell r="AE100">
            <v>181.96854536000001</v>
          </cell>
          <cell r="AF100">
            <v>14.480660430000004</v>
          </cell>
          <cell r="AG100">
            <v>-170.67865530000003</v>
          </cell>
          <cell r="AH100">
            <v>1064.57424917</v>
          </cell>
          <cell r="AJ100" t="str">
            <v xml:space="preserve">   Variables</v>
          </cell>
          <cell r="AK100">
            <v>115.06707082</v>
          </cell>
          <cell r="AL100">
            <v>95.931572979999999</v>
          </cell>
        </row>
        <row r="101">
          <cell r="B101" t="str">
            <v xml:space="preserve">      Compras de productos interorganismos</v>
          </cell>
          <cell r="C101">
            <v>162.62115971</v>
          </cell>
          <cell r="D101">
            <v>340.18404032000001</v>
          </cell>
          <cell r="E101">
            <v>110.53916286</v>
          </cell>
          <cell r="F101">
            <v>587.69140405999997</v>
          </cell>
          <cell r="G101">
            <v>6.8127770000000004E-2</v>
          </cell>
          <cell r="H101">
            <v>1201.10389472</v>
          </cell>
          <cell r="J101" t="str">
            <v xml:space="preserve">      Compras de productos interorganismos</v>
          </cell>
          <cell r="K101">
            <v>83.962119199999989</v>
          </cell>
          <cell r="L101">
            <v>42.43699324</v>
          </cell>
          <cell r="M101">
            <v>19.193142090000002</v>
          </cell>
          <cell r="N101">
            <v>16.893997749999997</v>
          </cell>
          <cell r="O101">
            <v>0.13490746000000001</v>
          </cell>
          <cell r="P101">
            <v>162.62115971</v>
          </cell>
          <cell r="R101" t="str">
            <v xml:space="preserve">      Compras de productos interorganismos</v>
          </cell>
          <cell r="S101">
            <v>46.923177850000002</v>
          </cell>
          <cell r="T101">
            <v>180.81417919999996</v>
          </cell>
          <cell r="U101">
            <v>25.330061300000001</v>
          </cell>
          <cell r="V101">
            <v>62.555159280000005</v>
          </cell>
          <cell r="W101">
            <v>0.8101923900000001</v>
          </cell>
          <cell r="X101">
            <v>20.40438456</v>
          </cell>
          <cell r="Y101">
            <v>0.92831954999999999</v>
          </cell>
          <cell r="Z101">
            <v>2.4185655800000001</v>
          </cell>
          <cell r="AA101">
            <v>340.18404032000001</v>
          </cell>
          <cell r="AC101" t="str">
            <v xml:space="preserve">      Compras de productos interorganismos</v>
          </cell>
          <cell r="AD101">
            <v>453.36102302999996</v>
          </cell>
          <cell r="AE101">
            <v>66.183717340000001</v>
          </cell>
          <cell r="AF101">
            <v>2.1333122800000002</v>
          </cell>
          <cell r="AG101">
            <v>66.013351369999995</v>
          </cell>
          <cell r="AH101">
            <v>587.69140405999997</v>
          </cell>
          <cell r="AJ101" t="str">
            <v xml:space="preserve">      Compras de productos interorganismos</v>
          </cell>
          <cell r="AK101">
            <v>1.12342371</v>
          </cell>
          <cell r="AL101">
            <v>0.43922290000000008</v>
          </cell>
        </row>
        <row r="102">
          <cell r="B102" t="str">
            <v xml:space="preserve">          Pemex Refinación</v>
          </cell>
          <cell r="C102">
            <v>57.224490760000002</v>
          </cell>
          <cell r="D102">
            <v>21.237928870000001</v>
          </cell>
          <cell r="E102">
            <v>109.14434295999999</v>
          </cell>
          <cell r="F102">
            <v>43.217668400000008</v>
          </cell>
          <cell r="G102">
            <v>6.8127770000000004E-2</v>
          </cell>
          <cell r="H102">
            <v>230.89255876000001</v>
          </cell>
          <cell r="J102" t="str">
            <v xml:space="preserve">          Pemex Refinación</v>
          </cell>
          <cell r="K102">
            <v>6.9326174600000003</v>
          </cell>
          <cell r="L102">
            <v>24.797064199999998</v>
          </cell>
          <cell r="M102">
            <v>15.678856589999999</v>
          </cell>
          <cell r="N102">
            <v>9.6920494599999998</v>
          </cell>
          <cell r="O102">
            <v>0.12390306000000001</v>
          </cell>
          <cell r="P102">
            <v>57.224490760000002</v>
          </cell>
          <cell r="R102" t="str">
            <v xml:space="preserve">          Pemex Refinación</v>
          </cell>
          <cell r="S102">
            <v>7.1776035100000009</v>
          </cell>
          <cell r="T102">
            <v>3.4497847799999999</v>
          </cell>
          <cell r="U102">
            <v>1.2995984899999999</v>
          </cell>
          <cell r="V102">
            <v>3.50094504</v>
          </cell>
          <cell r="W102">
            <v>0.78414317999999994</v>
          </cell>
          <cell r="X102">
            <v>1.8920062099999999</v>
          </cell>
          <cell r="Y102">
            <v>0.90905950000000002</v>
          </cell>
          <cell r="Z102">
            <v>2.2247881700000001</v>
          </cell>
          <cell r="AA102">
            <v>21.237928870000001</v>
          </cell>
          <cell r="AC102" t="str">
            <v xml:space="preserve">          Pemex Refinación</v>
          </cell>
          <cell r="AD102">
            <v>10.803242050000001</v>
          </cell>
          <cell r="AE102">
            <v>2.0287354199999998</v>
          </cell>
          <cell r="AF102">
            <v>0.78190520999999991</v>
          </cell>
          <cell r="AG102">
            <v>29.603785659999996</v>
          </cell>
          <cell r="AH102">
            <v>43.217668400000008</v>
          </cell>
          <cell r="AJ102" t="str">
            <v xml:space="preserve">          Pemex Refinación</v>
          </cell>
          <cell r="AK102">
            <v>0.68435519</v>
          </cell>
          <cell r="AL102">
            <v>0.43367649000000003</v>
          </cell>
        </row>
        <row r="103">
          <cell r="B103" t="str">
            <v xml:space="preserve">          Pemex Gas y Petroquímica Básica</v>
          </cell>
          <cell r="C103">
            <v>103.97912171999998</v>
          </cell>
          <cell r="D103">
            <v>316.50529683999997</v>
          </cell>
          <cell r="E103">
            <v>0</v>
          </cell>
          <cell r="F103">
            <v>543.78165123999997</v>
          </cell>
          <cell r="G103">
            <v>0</v>
          </cell>
          <cell r="H103">
            <v>964.26606979999997</v>
          </cell>
          <cell r="J103" t="str">
            <v xml:space="preserve">          Pemex Gas y Petroquímica Básica</v>
          </cell>
          <cell r="K103">
            <v>76.598573900000005</v>
          </cell>
          <cell r="L103">
            <v>17.34187725</v>
          </cell>
          <cell r="M103">
            <v>2.9816121799999999</v>
          </cell>
          <cell r="N103">
            <v>7.0570584400000005</v>
          </cell>
          <cell r="O103">
            <v>0</v>
          </cell>
          <cell r="P103">
            <v>103.97912171999998</v>
          </cell>
          <cell r="R103" t="str">
            <v xml:space="preserve">          Pemex Gas y Petroquímica Básica</v>
          </cell>
          <cell r="S103">
            <v>39.262459919999998</v>
          </cell>
          <cell r="T103">
            <v>176.35576157</v>
          </cell>
          <cell r="U103">
            <v>23.947108840000002</v>
          </cell>
          <cell r="V103">
            <v>58.483337479999989</v>
          </cell>
          <cell r="W103">
            <v>0</v>
          </cell>
          <cell r="X103">
            <v>18.45662858</v>
          </cell>
          <cell r="Y103">
            <v>0</v>
          </cell>
          <cell r="Z103">
            <v>0</v>
          </cell>
          <cell r="AA103">
            <v>316.50529683999997</v>
          </cell>
          <cell r="AC103" t="str">
            <v xml:space="preserve">          Pemex Gas y Petroquímica Básica</v>
          </cell>
          <cell r="AD103">
            <v>442.19278063999997</v>
          </cell>
          <cell r="AE103">
            <v>64.133229499999999</v>
          </cell>
          <cell r="AF103">
            <v>1.34295298</v>
          </cell>
          <cell r="AG103">
            <v>36.112688150000004</v>
          </cell>
          <cell r="AH103">
            <v>543.78165123999997</v>
          </cell>
          <cell r="AJ103" t="str">
            <v xml:space="preserve">          Pemex Gas y Petroquímica Básica</v>
          </cell>
          <cell r="AK103">
            <v>0</v>
          </cell>
          <cell r="AL103">
            <v>0</v>
          </cell>
        </row>
        <row r="104">
          <cell r="B104" t="str">
            <v xml:space="preserve">          Pemex Petroquímica</v>
          </cell>
          <cell r="C104">
            <v>1.41754723</v>
          </cell>
          <cell r="D104">
            <v>2.4408146099999999</v>
          </cell>
          <cell r="E104">
            <v>1.3948199000000001</v>
          </cell>
          <cell r="F104">
            <v>0.69208441999999992</v>
          </cell>
          <cell r="G104">
            <v>0</v>
          </cell>
          <cell r="H104">
            <v>5.9452661599999992</v>
          </cell>
          <cell r="J104" t="str">
            <v xml:space="preserve">          Pemex Petroquímica</v>
          </cell>
          <cell r="K104">
            <v>0.43092784000000001</v>
          </cell>
          <cell r="L104">
            <v>0.29805178999999998</v>
          </cell>
          <cell r="M104">
            <v>0.53267331999999989</v>
          </cell>
          <cell r="N104">
            <v>0.14488984999999999</v>
          </cell>
          <cell r="O104">
            <v>1.1004400000000001E-2</v>
          </cell>
          <cell r="P104">
            <v>1.41754723</v>
          </cell>
          <cell r="R104" t="str">
            <v xml:space="preserve">          Pemex Petroquímica</v>
          </cell>
          <cell r="S104">
            <v>0.48311442000000004</v>
          </cell>
          <cell r="T104">
            <v>1.0086328499999999</v>
          </cell>
          <cell r="U104">
            <v>8.3353969999999999E-2</v>
          </cell>
          <cell r="V104">
            <v>0.57087675999999987</v>
          </cell>
          <cell r="W104">
            <v>2.604921E-2</v>
          </cell>
          <cell r="X104">
            <v>5.5749769999999997E-2</v>
          </cell>
          <cell r="Y104">
            <v>1.9260049999999997E-2</v>
          </cell>
          <cell r="Z104">
            <v>0.19377740999999998</v>
          </cell>
          <cell r="AA104">
            <v>2.4408146099999999</v>
          </cell>
          <cell r="AC104" t="str">
            <v xml:space="preserve">          Pemex Petroquímica</v>
          </cell>
          <cell r="AD104">
            <v>0.36500033999999998</v>
          </cell>
          <cell r="AE104">
            <v>2.1752420000000001E-2</v>
          </cell>
          <cell r="AF104">
            <v>8.4540900000000009E-3</v>
          </cell>
          <cell r="AG104">
            <v>0.29687755999999998</v>
          </cell>
          <cell r="AH104">
            <v>0.69208441999999992</v>
          </cell>
          <cell r="AJ104" t="str">
            <v xml:space="preserve">          Pemex Petroquímica</v>
          </cell>
          <cell r="AK104">
            <v>0.43906852000000002</v>
          </cell>
          <cell r="AL104">
            <v>5.5464100000000007E-3</v>
          </cell>
        </row>
        <row r="105">
          <cell r="B105" t="str">
            <v xml:space="preserve">      Compras de servicios interorganismos</v>
          </cell>
          <cell r="C105">
            <v>2.8625349299999998</v>
          </cell>
          <cell r="D105">
            <v>31.401613709999999</v>
          </cell>
          <cell r="E105">
            <v>3.9652330499999997</v>
          </cell>
          <cell r="F105">
            <v>8.6175154599999981</v>
          </cell>
          <cell r="G105">
            <v>0</v>
          </cell>
          <cell r="H105">
            <v>46.846897150000004</v>
          </cell>
          <cell r="J105" t="str">
            <v xml:space="preserve">      Compras de servicios interorganismos</v>
          </cell>
          <cell r="K105">
            <v>1.6255931700000001</v>
          </cell>
          <cell r="L105">
            <v>9.4110880000000008E-2</v>
          </cell>
          <cell r="M105">
            <v>0.92295886000000016</v>
          </cell>
          <cell r="N105">
            <v>6.0304319999999995E-2</v>
          </cell>
          <cell r="O105">
            <v>0.15956772000000002</v>
          </cell>
          <cell r="P105">
            <v>2.8625349299999998</v>
          </cell>
          <cell r="R105" t="str">
            <v xml:space="preserve">      Compras de servicios interorganismos</v>
          </cell>
          <cell r="S105">
            <v>5.0078449799999998</v>
          </cell>
          <cell r="T105">
            <v>6.4677428300000006</v>
          </cell>
          <cell r="U105">
            <v>3.7998463599999996</v>
          </cell>
          <cell r="V105">
            <v>6.3316373200000005</v>
          </cell>
          <cell r="W105">
            <v>3.9192921300000001</v>
          </cell>
          <cell r="X105">
            <v>2.0357948600000002</v>
          </cell>
          <cell r="Y105">
            <v>3.7125192599999997</v>
          </cell>
          <cell r="Z105">
            <v>0.12693585999999998</v>
          </cell>
          <cell r="AA105">
            <v>31.401613709999999</v>
          </cell>
          <cell r="AC105" t="str">
            <v xml:space="preserve">      Compras de servicios interorganismos</v>
          </cell>
          <cell r="AD105">
            <v>7.3777113400000003</v>
          </cell>
          <cell r="AE105">
            <v>1.1480273699999999</v>
          </cell>
          <cell r="AF105">
            <v>8.0772319999999981E-2</v>
          </cell>
          <cell r="AG105">
            <v>1.1004439999999999E-2</v>
          </cell>
          <cell r="AH105">
            <v>8.6175154599999981</v>
          </cell>
          <cell r="AJ105" t="str">
            <v xml:space="preserve">      Compras de servicios interorganismos</v>
          </cell>
          <cell r="AK105">
            <v>2.75816222</v>
          </cell>
          <cell r="AL105">
            <v>0.92904085000000003</v>
          </cell>
        </row>
        <row r="106">
          <cell r="B106" t="str">
            <v xml:space="preserve">          Pemex Refinación</v>
          </cell>
          <cell r="C106">
            <v>0.84682076000000017</v>
          </cell>
          <cell r="D106">
            <v>26.168879149999999</v>
          </cell>
          <cell r="E106">
            <v>3.9652330499999997</v>
          </cell>
          <cell r="F106">
            <v>8.6175154599999981</v>
          </cell>
          <cell r="G106">
            <v>0</v>
          </cell>
          <cell r="H106">
            <v>39.598448419999997</v>
          </cell>
          <cell r="J106" t="str">
            <v xml:space="preserve">          Pemex Refinación</v>
          </cell>
          <cell r="K106">
            <v>6.6813049999999999E-2</v>
          </cell>
          <cell r="L106">
            <v>1.6474680000000002E-2</v>
          </cell>
          <cell r="M106">
            <v>0.60297660000000008</v>
          </cell>
          <cell r="N106">
            <v>9.8870000000000013E-4</v>
          </cell>
          <cell r="O106">
            <v>0.15956772000000002</v>
          </cell>
          <cell r="P106">
            <v>0.84682076000000017</v>
          </cell>
          <cell r="R106" t="str">
            <v xml:space="preserve">          Pemex Refinación</v>
          </cell>
          <cell r="S106">
            <v>0.28856479999999995</v>
          </cell>
          <cell r="T106">
            <v>6.4677428300000006</v>
          </cell>
          <cell r="U106">
            <v>3.7998463599999996</v>
          </cell>
          <cell r="V106">
            <v>6.3316373200000005</v>
          </cell>
          <cell r="W106">
            <v>3.5194162100000002</v>
          </cell>
          <cell r="X106">
            <v>2.0357948600000002</v>
          </cell>
          <cell r="Y106">
            <v>3.7125192599999997</v>
          </cell>
          <cell r="Z106">
            <v>1.3357490000000003E-2</v>
          </cell>
          <cell r="AA106">
            <v>26.168879149999999</v>
          </cell>
          <cell r="AC106" t="str">
            <v xml:space="preserve">          Pemex Refinación</v>
          </cell>
          <cell r="AD106">
            <v>7.3777113400000003</v>
          </cell>
          <cell r="AE106">
            <v>1.1480273699999999</v>
          </cell>
          <cell r="AF106">
            <v>8.0772319999999981E-2</v>
          </cell>
          <cell r="AG106">
            <v>1.1004439999999999E-2</v>
          </cell>
          <cell r="AH106">
            <v>8.6175154599999981</v>
          </cell>
          <cell r="AJ106" t="str">
            <v xml:space="preserve">          Pemex Refinación</v>
          </cell>
          <cell r="AK106">
            <v>2.75816222</v>
          </cell>
          <cell r="AL106">
            <v>0.92904085000000003</v>
          </cell>
        </row>
        <row r="107">
          <cell r="B107" t="str">
            <v xml:space="preserve">          Pemex Gas y Petroquímica Básica</v>
          </cell>
          <cell r="C107">
            <v>2.0157141699999999</v>
          </cell>
          <cell r="D107">
            <v>5.1185030499999993</v>
          </cell>
          <cell r="E107">
            <v>0</v>
          </cell>
          <cell r="F107">
            <v>0</v>
          </cell>
          <cell r="G107">
            <v>0</v>
          </cell>
          <cell r="H107">
            <v>7.13421722</v>
          </cell>
          <cell r="J107" t="str">
            <v xml:space="preserve">          Pemex Gas y Petroquímica Básica</v>
          </cell>
          <cell r="K107">
            <v>1.55878012</v>
          </cell>
          <cell r="L107">
            <v>7.7636200000000016E-2</v>
          </cell>
          <cell r="M107">
            <v>0.31998225999999996</v>
          </cell>
          <cell r="N107">
            <v>5.9315619999999993E-2</v>
          </cell>
          <cell r="O107">
            <v>0</v>
          </cell>
          <cell r="P107">
            <v>2.0157141699999999</v>
          </cell>
          <cell r="R107" t="str">
            <v xml:space="preserve">          Pemex Gas y Petroquímica Básica</v>
          </cell>
          <cell r="S107">
            <v>4.7186273900000009</v>
          </cell>
          <cell r="T107">
            <v>0</v>
          </cell>
          <cell r="U107">
            <v>0</v>
          </cell>
          <cell r="V107">
            <v>0</v>
          </cell>
          <cell r="W107">
            <v>0.39987591999999994</v>
          </cell>
          <cell r="X107">
            <v>0</v>
          </cell>
          <cell r="Y107">
            <v>0</v>
          </cell>
          <cell r="Z107">
            <v>0</v>
          </cell>
          <cell r="AA107">
            <v>5.1185030499999993</v>
          </cell>
          <cell r="AC107" t="str">
            <v xml:space="preserve">          Pemex Gas y Petroquímica Básica</v>
          </cell>
          <cell r="AD107">
            <v>0</v>
          </cell>
          <cell r="AE107">
            <v>0</v>
          </cell>
          <cell r="AF107">
            <v>0</v>
          </cell>
          <cell r="AG107">
            <v>0</v>
          </cell>
          <cell r="AH107">
            <v>0</v>
          </cell>
          <cell r="AJ107" t="str">
            <v xml:space="preserve">          Pemex Gas y Petroquímica Básica</v>
          </cell>
          <cell r="AK107">
            <v>0</v>
          </cell>
          <cell r="AL107">
            <v>0</v>
          </cell>
        </row>
        <row r="108">
          <cell r="B108" t="str">
            <v xml:space="preserve">          Pemex Petroquímica</v>
          </cell>
          <cell r="C108">
            <v>0</v>
          </cell>
          <cell r="D108">
            <v>0.11423151000000001</v>
          </cell>
          <cell r="E108">
            <v>0</v>
          </cell>
          <cell r="F108">
            <v>0</v>
          </cell>
          <cell r="G108">
            <v>0</v>
          </cell>
          <cell r="H108">
            <v>0.11423151000000001</v>
          </cell>
          <cell r="J108" t="str">
            <v xml:space="preserve">          Pemex Petroquímica</v>
          </cell>
          <cell r="K108">
            <v>0</v>
          </cell>
          <cell r="L108">
            <v>0</v>
          </cell>
          <cell r="M108">
            <v>0</v>
          </cell>
          <cell r="N108">
            <v>0</v>
          </cell>
          <cell r="O108">
            <v>0</v>
          </cell>
          <cell r="P108">
            <v>0</v>
          </cell>
          <cell r="R108" t="str">
            <v xml:space="preserve">          Pemex Petroquímica</v>
          </cell>
          <cell r="S108">
            <v>6.527900000000001E-4</v>
          </cell>
          <cell r="T108">
            <v>0</v>
          </cell>
          <cell r="U108">
            <v>0</v>
          </cell>
          <cell r="V108">
            <v>0</v>
          </cell>
          <cell r="W108">
            <v>0</v>
          </cell>
          <cell r="X108">
            <v>0</v>
          </cell>
          <cell r="Y108">
            <v>0</v>
          </cell>
          <cell r="Z108">
            <v>0.11357837000000001</v>
          </cell>
          <cell r="AA108">
            <v>0.11423151000000001</v>
          </cell>
          <cell r="AC108" t="str">
            <v xml:space="preserve">          Pemex Petroquímica</v>
          </cell>
          <cell r="AD108">
            <v>0</v>
          </cell>
          <cell r="AE108">
            <v>0</v>
          </cell>
          <cell r="AF108">
            <v>0</v>
          </cell>
          <cell r="AG108">
            <v>0</v>
          </cell>
          <cell r="AH108">
            <v>0</v>
          </cell>
          <cell r="AJ108" t="str">
            <v xml:space="preserve">          Pemex Petroquímica</v>
          </cell>
          <cell r="AK108">
            <v>0</v>
          </cell>
          <cell r="AL108">
            <v>0</v>
          </cell>
        </row>
        <row r="109">
          <cell r="B109" t="str">
            <v xml:space="preserve">     Compras de productos y servicios interregiones</v>
          </cell>
          <cell r="C109">
            <v>0</v>
          </cell>
          <cell r="D109">
            <v>4.4511804000000001</v>
          </cell>
          <cell r="E109">
            <v>71.752242899999999</v>
          </cell>
          <cell r="F109">
            <v>69.584071280000003</v>
          </cell>
          <cell r="G109">
            <v>0</v>
          </cell>
          <cell r="H109">
            <v>0</v>
          </cell>
          <cell r="I109">
            <v>145.78749457999999</v>
          </cell>
          <cell r="J109" t="str">
            <v xml:space="preserve">     Compras de productos y servicios interregiones</v>
          </cell>
          <cell r="K109">
            <v>0</v>
          </cell>
          <cell r="L109">
            <v>0</v>
          </cell>
          <cell r="M109">
            <v>0</v>
          </cell>
          <cell r="N109">
            <v>0</v>
          </cell>
          <cell r="O109">
            <v>0</v>
          </cell>
          <cell r="P109">
            <v>0</v>
          </cell>
          <cell r="R109" t="str">
            <v xml:space="preserve">     Compras de productos y servicios interregiones</v>
          </cell>
          <cell r="S109">
            <v>0</v>
          </cell>
          <cell r="T109">
            <v>1.1362695600000001</v>
          </cell>
          <cell r="U109">
            <v>0.66241624999999993</v>
          </cell>
          <cell r="V109">
            <v>1.20141823</v>
          </cell>
          <cell r="W109">
            <v>0.44114628000000011</v>
          </cell>
          <cell r="X109">
            <v>0.34946816999999997</v>
          </cell>
          <cell r="Y109">
            <v>0.66046192999999997</v>
          </cell>
          <cell r="Z109">
            <v>0</v>
          </cell>
          <cell r="AA109">
            <v>4.4511804000000001</v>
          </cell>
          <cell r="AC109" t="str">
            <v xml:space="preserve">     Compras de productos y servicios interregiones</v>
          </cell>
          <cell r="AD109">
            <v>58.580709550000002</v>
          </cell>
          <cell r="AE109">
            <v>10.424348420000001</v>
          </cell>
          <cell r="AF109">
            <v>0.57901292000000004</v>
          </cell>
          <cell r="AG109">
            <v>0</v>
          </cell>
          <cell r="AH109">
            <v>69.584071280000003</v>
          </cell>
          <cell r="AJ109" t="str">
            <v xml:space="preserve">     Compras de productos y servicios interregiones</v>
          </cell>
          <cell r="AK109">
            <v>36.897426940000003</v>
          </cell>
          <cell r="AL109">
            <v>24.144975350000003</v>
          </cell>
        </row>
        <row r="110">
          <cell r="B110" t="str">
            <v xml:space="preserve">      Compras de productos y servicios interdistritos</v>
          </cell>
          <cell r="C110">
            <v>0</v>
          </cell>
          <cell r="D110">
            <v>0</v>
          </cell>
          <cell r="E110">
            <v>0</v>
          </cell>
          <cell r="F110">
            <v>0</v>
          </cell>
          <cell r="G110">
            <v>0</v>
          </cell>
          <cell r="H110">
            <v>0</v>
          </cell>
          <cell r="J110" t="str">
            <v xml:space="preserve">      Compras de productos y servicios interdistritos</v>
          </cell>
          <cell r="K110">
            <v>0</v>
          </cell>
          <cell r="L110">
            <v>0</v>
          </cell>
          <cell r="M110">
            <v>0</v>
          </cell>
          <cell r="N110">
            <v>0</v>
          </cell>
          <cell r="O110">
            <v>0</v>
          </cell>
          <cell r="P110">
            <v>0</v>
          </cell>
          <cell r="R110" t="str">
            <v xml:space="preserve">      Compras de productos y servicios interdistritos</v>
          </cell>
          <cell r="S110">
            <v>0</v>
          </cell>
          <cell r="T110">
            <v>5.3033553600000003</v>
          </cell>
          <cell r="U110">
            <v>2.2757897400000004</v>
          </cell>
          <cell r="V110">
            <v>4.0561454799999996</v>
          </cell>
          <cell r="W110">
            <v>4.4380390000000006E-2</v>
          </cell>
          <cell r="X110">
            <v>1.7528021200000001</v>
          </cell>
          <cell r="Y110">
            <v>2.3001648300000004</v>
          </cell>
          <cell r="Z110">
            <v>0</v>
          </cell>
          <cell r="AA110">
            <v>0</v>
          </cell>
          <cell r="AC110" t="str">
            <v xml:space="preserve">      Compras de productos y servicios interdistritos</v>
          </cell>
          <cell r="AD110">
            <v>186.04421182999999</v>
          </cell>
          <cell r="AE110">
            <v>32.614026970000005</v>
          </cell>
          <cell r="AF110">
            <v>0.99806845</v>
          </cell>
          <cell r="AG110">
            <v>0</v>
          </cell>
          <cell r="AH110">
            <v>0</v>
          </cell>
          <cell r="AJ110" t="str">
            <v xml:space="preserve">      Compras de productos y servicios interdistritos</v>
          </cell>
          <cell r="AK110">
            <v>0</v>
          </cell>
          <cell r="AL110">
            <v>6.6086627700000005</v>
          </cell>
        </row>
        <row r="111">
          <cell r="B111" t="str">
            <v xml:space="preserve">      Servicios del corporativo</v>
          </cell>
          <cell r="C111">
            <v>45.705171910000004</v>
          </cell>
          <cell r="D111">
            <v>56.982764670000002</v>
          </cell>
          <cell r="E111">
            <v>22.310962140000001</v>
          </cell>
          <cell r="F111">
            <v>29.129513249999999</v>
          </cell>
          <cell r="G111">
            <v>7.3424490500000008</v>
          </cell>
          <cell r="H111">
            <v>161.47086102000003</v>
          </cell>
          <cell r="J111" t="str">
            <v xml:space="preserve">      Servicios del corporativo</v>
          </cell>
          <cell r="K111">
            <v>11.651806029999999</v>
          </cell>
          <cell r="L111">
            <v>6.65310954</v>
          </cell>
          <cell r="M111">
            <v>7.67333277</v>
          </cell>
          <cell r="N111">
            <v>2.3122415499999995</v>
          </cell>
          <cell r="O111">
            <v>17.414682610000003</v>
          </cell>
          <cell r="P111">
            <v>45.705171910000004</v>
          </cell>
          <cell r="R111" t="str">
            <v xml:space="preserve">      Servicios del corporativo</v>
          </cell>
          <cell r="S111">
            <v>11.600597070000001</v>
          </cell>
          <cell r="T111">
            <v>8.8708135299999995</v>
          </cell>
          <cell r="U111">
            <v>4.4117720800000004</v>
          </cell>
          <cell r="V111">
            <v>6.0937603000000005</v>
          </cell>
          <cell r="W111">
            <v>4.1951224300000005</v>
          </cell>
          <cell r="X111">
            <v>3.5412352600000006</v>
          </cell>
          <cell r="Y111">
            <v>1.4929122400000001</v>
          </cell>
          <cell r="Z111">
            <v>16.776552150000001</v>
          </cell>
          <cell r="AA111">
            <v>56.982764670000002</v>
          </cell>
          <cell r="AC111" t="str">
            <v xml:space="preserve">      Servicios del corporativo</v>
          </cell>
          <cell r="AD111">
            <v>9.0756454599999987</v>
          </cell>
          <cell r="AE111">
            <v>2.06407943</v>
          </cell>
          <cell r="AF111">
            <v>1.08718702</v>
          </cell>
          <cell r="AG111">
            <v>16.902602160000001</v>
          </cell>
          <cell r="AH111">
            <v>29.129513249999999</v>
          </cell>
          <cell r="AJ111" t="str">
            <v xml:space="preserve">      Servicios del corporativo</v>
          </cell>
          <cell r="AK111">
            <v>3.0015806600000001</v>
          </cell>
          <cell r="AL111">
            <v>2.6470634999999998</v>
          </cell>
        </row>
        <row r="112">
          <cell r="B112" t="str">
            <v xml:space="preserve">          Médicos</v>
          </cell>
          <cell r="C112">
            <v>34.406303219999998</v>
          </cell>
          <cell r="D112">
            <v>42.895939290000001</v>
          </cell>
          <cell r="E112">
            <v>16.79542369</v>
          </cell>
          <cell r="F112">
            <v>21.928346850000001</v>
          </cell>
          <cell r="G112">
            <v>5.5273072599999997</v>
          </cell>
          <cell r="H112">
            <v>121.55332030999999</v>
          </cell>
          <cell r="I112">
            <v>4.1999996369668224E-7</v>
          </cell>
          <cell r="J112" t="str">
            <v xml:space="preserve">          Médicos</v>
          </cell>
          <cell r="K112">
            <v>8.77133918</v>
          </cell>
          <cell r="L112">
            <v>5.0083808600000008</v>
          </cell>
          <cell r="M112">
            <v>5.7763923800000008</v>
          </cell>
          <cell r="N112">
            <v>1.7406274900000001</v>
          </cell>
          <cell r="O112">
            <v>13.109563319999999</v>
          </cell>
          <cell r="P112">
            <v>34.406303219999998</v>
          </cell>
          <cell r="R112" t="str">
            <v xml:space="preserve">          Médicos</v>
          </cell>
          <cell r="S112">
            <v>8.7327899200000001</v>
          </cell>
          <cell r="T112">
            <v>6.6778413200000006</v>
          </cell>
          <cell r="U112">
            <v>3.3211289700000002</v>
          </cell>
          <cell r="V112">
            <v>4.5873092299999998</v>
          </cell>
          <cell r="W112">
            <v>3.1580375899999997</v>
          </cell>
          <cell r="X112">
            <v>2.66579933</v>
          </cell>
          <cell r="Y112">
            <v>1.1238464400000001</v>
          </cell>
          <cell r="Z112">
            <v>12.629186200000001</v>
          </cell>
          <cell r="AA112">
            <v>42.895939290000001</v>
          </cell>
          <cell r="AC112" t="str">
            <v xml:space="preserve">          Médicos</v>
          </cell>
          <cell r="AD112">
            <v>6.8320366999999997</v>
          </cell>
          <cell r="AE112">
            <v>1.5538139499999999</v>
          </cell>
          <cell r="AF112">
            <v>0.8184212099999999</v>
          </cell>
          <cell r="AG112">
            <v>12.724075600000001</v>
          </cell>
          <cell r="AH112">
            <v>21.928346850000001</v>
          </cell>
          <cell r="AJ112" t="str">
            <v xml:space="preserve">          Médicos</v>
          </cell>
          <cell r="AK112">
            <v>2.2595541000000003</v>
          </cell>
          <cell r="AL112">
            <v>1.9926772100000001</v>
          </cell>
        </row>
        <row r="113">
          <cell r="B113" t="str">
            <v xml:space="preserve">          Telecomunicaciones</v>
          </cell>
          <cell r="C113">
            <v>11.298868690000001</v>
          </cell>
          <cell r="D113">
            <v>14.086825379999999</v>
          </cell>
          <cell r="E113">
            <v>5.5155384499999993</v>
          </cell>
          <cell r="F113">
            <v>7.2011664</v>
          </cell>
          <cell r="G113">
            <v>1.8151417900000002</v>
          </cell>
          <cell r="H113">
            <v>39.917540709999997</v>
          </cell>
          <cell r="I113">
            <v>145.78749416000002</v>
          </cell>
          <cell r="J113" t="str">
            <v xml:space="preserve">          Telecomunicaciones</v>
          </cell>
          <cell r="K113">
            <v>2.8804668499999999</v>
          </cell>
          <cell r="L113">
            <v>1.6447286800000001</v>
          </cell>
          <cell r="M113">
            <v>1.8969403899999997</v>
          </cell>
          <cell r="N113">
            <v>0.57161406000000003</v>
          </cell>
          <cell r="O113">
            <v>4.3051192899999995</v>
          </cell>
          <cell r="P113">
            <v>11.298868690000001</v>
          </cell>
          <cell r="R113" t="str">
            <v xml:space="preserve">          Telecomunicaciones</v>
          </cell>
          <cell r="S113">
            <v>2.86780715</v>
          </cell>
          <cell r="T113">
            <v>2.1929722099999998</v>
          </cell>
          <cell r="U113">
            <v>1.09064311</v>
          </cell>
          <cell r="V113">
            <v>1.50645107</v>
          </cell>
          <cell r="W113">
            <v>1.0370848399999999</v>
          </cell>
          <cell r="X113">
            <v>0.87543593000000008</v>
          </cell>
          <cell r="Y113">
            <v>0.3690658</v>
          </cell>
          <cell r="Z113">
            <v>4.1473659500000002</v>
          </cell>
          <cell r="AA113">
            <v>14.086825379999999</v>
          </cell>
          <cell r="AC113" t="str">
            <v xml:space="preserve">          Telecomunicaciones</v>
          </cell>
          <cell r="AD113">
            <v>2.2436087599999999</v>
          </cell>
          <cell r="AE113">
            <v>0.51026547999999994</v>
          </cell>
          <cell r="AF113">
            <v>0.26876581000000005</v>
          </cell>
          <cell r="AG113">
            <v>4.1785265599999999</v>
          </cell>
          <cell r="AH113">
            <v>7.2011664</v>
          </cell>
          <cell r="AJ113" t="str">
            <v xml:space="preserve">          Telecomunicaciones</v>
          </cell>
          <cell r="AK113">
            <v>0.74202656000000011</v>
          </cell>
          <cell r="AL113">
            <v>0.65438628999999993</v>
          </cell>
        </row>
        <row r="114">
          <cell r="B114" t="str">
            <v xml:space="preserve">      Recuperación de costos (-)</v>
          </cell>
          <cell r="C114">
            <v>0</v>
          </cell>
          <cell r="D114">
            <v>61.761194150000001</v>
          </cell>
          <cell r="E114">
            <v>44.192493929999998</v>
          </cell>
          <cell r="F114">
            <v>33.949306039999996</v>
          </cell>
          <cell r="G114">
            <v>0</v>
          </cell>
          <cell r="H114">
            <v>0</v>
          </cell>
          <cell r="I114">
            <v>139.90299412000002</v>
          </cell>
          <cell r="J114" t="str">
            <v xml:space="preserve">      Recuperación de costos (-)</v>
          </cell>
          <cell r="K114">
            <v>0</v>
          </cell>
          <cell r="L114">
            <v>0</v>
          </cell>
          <cell r="M114">
            <v>0</v>
          </cell>
          <cell r="N114">
            <v>0</v>
          </cell>
          <cell r="O114">
            <v>0</v>
          </cell>
          <cell r="P114">
            <v>0</v>
          </cell>
          <cell r="R114" t="str">
            <v xml:space="preserve">      Recuperación de costos (-)</v>
          </cell>
          <cell r="S114">
            <v>30.30389727</v>
          </cell>
          <cell r="T114">
            <v>10.007203709999999</v>
          </cell>
          <cell r="U114">
            <v>0</v>
          </cell>
          <cell r="V114">
            <v>26.318441969999999</v>
          </cell>
          <cell r="W114">
            <v>0.85708516000000001</v>
          </cell>
          <cell r="X114">
            <v>10.007203709999999</v>
          </cell>
          <cell r="Y114">
            <v>0</v>
          </cell>
          <cell r="Z114">
            <v>0</v>
          </cell>
          <cell r="AA114">
            <v>61.761194150000001</v>
          </cell>
          <cell r="AC114" t="str">
            <v xml:space="preserve">      Recuperación de costos (-)</v>
          </cell>
          <cell r="AD114">
            <v>0</v>
          </cell>
          <cell r="AE114">
            <v>0</v>
          </cell>
          <cell r="AF114">
            <v>0</v>
          </cell>
          <cell r="AG114">
            <v>253.60561326999999</v>
          </cell>
          <cell r="AH114">
            <v>33.949306039999996</v>
          </cell>
          <cell r="AJ114" t="str">
            <v xml:space="preserve">      Recuperación de costos (-)</v>
          </cell>
          <cell r="AK114">
            <v>20.459707260000002</v>
          </cell>
          <cell r="AL114">
            <v>0</v>
          </cell>
        </row>
        <row r="115">
          <cell r="B115" t="str">
            <v xml:space="preserve">      Reserva Explor. y Declin. Campos</v>
          </cell>
          <cell r="C115">
            <v>66.172373609999994</v>
          </cell>
          <cell r="D115">
            <v>210.84686342999998</v>
          </cell>
          <cell r="E115">
            <v>173.8704923</v>
          </cell>
          <cell r="F115">
            <v>403.50105115999997</v>
          </cell>
          <cell r="G115">
            <v>0</v>
          </cell>
          <cell r="H115">
            <v>854.39078049999978</v>
          </cell>
          <cell r="J115" t="str">
            <v xml:space="preserve">      Reserva Explor. y Declin. Campos</v>
          </cell>
          <cell r="K115">
            <v>9.6751621399999994</v>
          </cell>
          <cell r="L115">
            <v>40.542775560000003</v>
          </cell>
          <cell r="M115">
            <v>8.8597928499999998</v>
          </cell>
          <cell r="N115">
            <v>7.0946432899999996</v>
          </cell>
          <cell r="O115">
            <v>0</v>
          </cell>
          <cell r="P115">
            <v>66.172373609999994</v>
          </cell>
          <cell r="R115" t="str">
            <v xml:space="preserve">      Reserva Explor. y Declin. Campos</v>
          </cell>
          <cell r="S115">
            <v>9.9971204300000007</v>
          </cell>
          <cell r="T115">
            <v>56.813386980000004</v>
          </cell>
          <cell r="U115">
            <v>24.472455829999994</v>
          </cell>
          <cell r="V115">
            <v>38.719187210000001</v>
          </cell>
          <cell r="W115">
            <v>7.8663643199999997</v>
          </cell>
          <cell r="X115">
            <v>44.086073120000002</v>
          </cell>
          <cell r="Y115">
            <v>28.892275300000005</v>
          </cell>
          <cell r="Z115">
            <v>0</v>
          </cell>
          <cell r="AA115">
            <v>210.84686342999998</v>
          </cell>
          <cell r="AC115" t="str">
            <v xml:space="preserve">      Reserva Explor. y Declin. Campos</v>
          </cell>
          <cell r="AD115">
            <v>324.36439788999996</v>
          </cell>
          <cell r="AE115">
            <v>69.534345830000007</v>
          </cell>
          <cell r="AF115">
            <v>9.6023074400000006</v>
          </cell>
          <cell r="AG115">
            <v>0</v>
          </cell>
          <cell r="AH115">
            <v>403.50105115999997</v>
          </cell>
          <cell r="AJ115" t="str">
            <v xml:space="preserve">      Reserva Explor. y Declin. Campos</v>
          </cell>
          <cell r="AK115">
            <v>91.746184549999995</v>
          </cell>
          <cell r="AL115">
            <v>61.162607610000002</v>
          </cell>
        </row>
        <row r="116">
          <cell r="B116" t="str">
            <v xml:space="preserve">   Fijos</v>
          </cell>
          <cell r="C116">
            <v>764.63910505000001</v>
          </cell>
          <cell r="D116">
            <v>1045.88804983</v>
          </cell>
          <cell r="E116">
            <v>658.11987550999993</v>
          </cell>
          <cell r="F116">
            <v>841.05171687999996</v>
          </cell>
          <cell r="G116">
            <v>525.63390622000009</v>
          </cell>
          <cell r="H116">
            <v>3835.3326534899998</v>
          </cell>
          <cell r="J116" t="str">
            <v xml:space="preserve">   Fijos</v>
          </cell>
          <cell r="K116">
            <v>191.41118649000003</v>
          </cell>
          <cell r="L116">
            <v>285.68799122999997</v>
          </cell>
          <cell r="M116">
            <v>139.58218349999999</v>
          </cell>
          <cell r="N116">
            <v>47.605886020000007</v>
          </cell>
          <cell r="O116">
            <v>100.35185776</v>
          </cell>
          <cell r="P116">
            <v>764.63910505000001</v>
          </cell>
          <cell r="R116" t="str">
            <v xml:space="preserve">   Fijos</v>
          </cell>
          <cell r="S116">
            <v>247.23512704999999</v>
          </cell>
          <cell r="T116">
            <v>199.90910260999999</v>
          </cell>
          <cell r="U116">
            <v>101.74774514999999</v>
          </cell>
          <cell r="V116">
            <v>129.31241496000001</v>
          </cell>
          <cell r="W116">
            <v>71.252119879999995</v>
          </cell>
          <cell r="X116">
            <v>82.290088589999996</v>
          </cell>
          <cell r="Y116">
            <v>65.160845429999995</v>
          </cell>
          <cell r="Z116">
            <v>148.98060390999999</v>
          </cell>
          <cell r="AA116">
            <v>1045.88804983</v>
          </cell>
          <cell r="AC116" t="str">
            <v xml:space="preserve">   Fijos</v>
          </cell>
          <cell r="AD116">
            <v>397.57749288999997</v>
          </cell>
          <cell r="AE116">
            <v>108.87385164</v>
          </cell>
          <cell r="AF116">
            <v>87.59537533000001</v>
          </cell>
          <cell r="AG116">
            <v>247.00499704999999</v>
          </cell>
          <cell r="AH116">
            <v>841.05171687999996</v>
          </cell>
          <cell r="AJ116" t="str">
            <v xml:space="preserve">   Fijos</v>
          </cell>
          <cell r="AK116">
            <v>164.90268846000001</v>
          </cell>
          <cell r="AL116">
            <v>140.43295552000001</v>
          </cell>
        </row>
        <row r="117">
          <cell r="B117" t="str">
            <v xml:space="preserve">      SIDIP - Jubilaciones + RPLC</v>
          </cell>
          <cell r="C117">
            <v>414.00888186999998</v>
          </cell>
          <cell r="D117">
            <v>632.59963257999993</v>
          </cell>
          <cell r="E117">
            <v>356.58532429000002</v>
          </cell>
          <cell r="F117">
            <v>527.63698849000002</v>
          </cell>
          <cell r="G117">
            <v>520.89903595999999</v>
          </cell>
          <cell r="H117">
            <v>2451.7298631899998</v>
          </cell>
          <cell r="J117" t="str">
            <v xml:space="preserve">      SIDIP - Jubilaciones + RPLC</v>
          </cell>
          <cell r="K117">
            <v>138.72036731</v>
          </cell>
          <cell r="L117">
            <v>85.432496830000019</v>
          </cell>
          <cell r="M117">
            <v>97.840069220000018</v>
          </cell>
          <cell r="N117">
            <v>29.281040289999996</v>
          </cell>
          <cell r="O117">
            <v>62.734908100000006</v>
          </cell>
          <cell r="P117">
            <v>414.00888186999998</v>
          </cell>
          <cell r="R117" t="str">
            <v xml:space="preserve">      SIDIP - Jubilaciones + RPLC</v>
          </cell>
          <cell r="S117">
            <v>143.99473634</v>
          </cell>
          <cell r="T117">
            <v>120.60651124</v>
          </cell>
          <cell r="U117">
            <v>60.239709709999993</v>
          </cell>
          <cell r="V117">
            <v>78.610418049999993</v>
          </cell>
          <cell r="W117">
            <v>54.891834049999993</v>
          </cell>
          <cell r="X117">
            <v>42.677057689999998</v>
          </cell>
          <cell r="Y117">
            <v>29.152020190000002</v>
          </cell>
          <cell r="Z117">
            <v>102.42734282999999</v>
          </cell>
          <cell r="AA117">
            <v>632.59963257999993</v>
          </cell>
          <cell r="AC117" t="str">
            <v xml:space="preserve">      SIDIP - Jubilaciones + RPLC</v>
          </cell>
          <cell r="AD117">
            <v>262.14309281999999</v>
          </cell>
          <cell r="AE117">
            <v>40.888219720000002</v>
          </cell>
          <cell r="AF117">
            <v>28.240119550000003</v>
          </cell>
          <cell r="AG117">
            <v>196.36555641999999</v>
          </cell>
          <cell r="AH117">
            <v>527.63698849000002</v>
          </cell>
          <cell r="AJ117" t="str">
            <v xml:space="preserve">      SIDIP - Jubilaciones + RPLC</v>
          </cell>
          <cell r="AK117">
            <v>54.179978909999996</v>
          </cell>
          <cell r="AL117">
            <v>53.025795010000003</v>
          </cell>
        </row>
        <row r="118">
          <cell r="B118" t="str">
            <v xml:space="preserve">         Gastos de Operación (SIDIP)</v>
          </cell>
          <cell r="C118">
            <v>246.77469040000003</v>
          </cell>
          <cell r="D118">
            <v>352.33218065999995</v>
          </cell>
          <cell r="E118">
            <v>207.74746747999998</v>
          </cell>
          <cell r="F118">
            <v>370.80653615</v>
          </cell>
          <cell r="G118">
            <v>199.08130202000001</v>
          </cell>
          <cell r="H118">
            <v>1376.7421767099997</v>
          </cell>
          <cell r="J118" t="str">
            <v xml:space="preserve">         Gastos de Operación (SIDIP)</v>
          </cell>
          <cell r="K118">
            <v>78.710854770000012</v>
          </cell>
          <cell r="L118">
            <v>52.924103180000003</v>
          </cell>
          <cell r="M118">
            <v>58.383373730000002</v>
          </cell>
          <cell r="N118">
            <v>17.352431629999998</v>
          </cell>
          <cell r="O118">
            <v>39.403927009999997</v>
          </cell>
          <cell r="P118">
            <v>246.77469040000003</v>
          </cell>
          <cell r="R118" t="str">
            <v xml:space="preserve">         Gastos de Operación (SIDIP)</v>
          </cell>
          <cell r="S118">
            <v>77.16714318999999</v>
          </cell>
          <cell r="T118">
            <v>65.002242129999999</v>
          </cell>
          <cell r="U118">
            <v>34.121687939999994</v>
          </cell>
          <cell r="V118">
            <v>47.551749329999993</v>
          </cell>
          <cell r="W118">
            <v>29.107759550000001</v>
          </cell>
          <cell r="X118">
            <v>26.771813759999997</v>
          </cell>
          <cell r="Y118">
            <v>15.443237829999999</v>
          </cell>
          <cell r="Z118">
            <v>57.166545900000003</v>
          </cell>
          <cell r="AA118">
            <v>352.33218065999995</v>
          </cell>
          <cell r="AC118" t="str">
            <v xml:space="preserve">         Gastos de Operación (SIDIP)</v>
          </cell>
          <cell r="AD118">
            <v>214.79836642000001</v>
          </cell>
          <cell r="AE118">
            <v>26.398880440000006</v>
          </cell>
          <cell r="AF118">
            <v>18.244484509999999</v>
          </cell>
          <cell r="AG118">
            <v>111.3648048</v>
          </cell>
          <cell r="AH118">
            <v>370.80653615</v>
          </cell>
          <cell r="AJ118" t="str">
            <v xml:space="preserve">         Gastos de Operación (SIDIP)</v>
          </cell>
          <cell r="AK118">
            <v>31.70836564</v>
          </cell>
          <cell r="AL118">
            <v>31.238433939999997</v>
          </cell>
        </row>
        <row r="119">
          <cell r="B119" t="str">
            <v xml:space="preserve">             Servicios Personales  (2)</v>
          </cell>
          <cell r="C119">
            <v>168.50693931000001</v>
          </cell>
          <cell r="D119">
            <v>247.28490335000001</v>
          </cell>
          <cell r="E119">
            <v>117.65013061999998</v>
          </cell>
          <cell r="F119">
            <v>114.86258916</v>
          </cell>
          <cell r="G119">
            <v>84.335263850000004</v>
          </cell>
          <cell r="H119">
            <v>732.63982628999997</v>
          </cell>
          <cell r="J119" t="str">
            <v xml:space="preserve">             Servicios Personales  (2)</v>
          </cell>
          <cell r="K119">
            <v>57.743192110000003</v>
          </cell>
          <cell r="L119">
            <v>32.927476929999997</v>
          </cell>
          <cell r="M119">
            <v>38.225557479999999</v>
          </cell>
          <cell r="N119">
            <v>12.579783290000002</v>
          </cell>
          <cell r="O119">
            <v>27.03092947</v>
          </cell>
          <cell r="P119">
            <v>168.50693931000001</v>
          </cell>
          <cell r="R119" t="str">
            <v xml:space="preserve">             Servicios Personales  (2)</v>
          </cell>
          <cell r="S119">
            <v>59.531417179999998</v>
          </cell>
          <cell r="T119">
            <v>44.085050160000002</v>
          </cell>
          <cell r="U119">
            <v>24.873304520000001</v>
          </cell>
          <cell r="V119">
            <v>31.165189979999997</v>
          </cell>
          <cell r="W119">
            <v>21.955483689999998</v>
          </cell>
          <cell r="X119">
            <v>19.58474391</v>
          </cell>
          <cell r="Y119">
            <v>9.8335732099999991</v>
          </cell>
          <cell r="Z119">
            <v>36.256140429999995</v>
          </cell>
          <cell r="AA119">
            <v>247.28490335000001</v>
          </cell>
          <cell r="AC119" t="str">
            <v xml:space="preserve">             Servicios Personales  (2)</v>
          </cell>
          <cell r="AD119">
            <v>43.791670430000003</v>
          </cell>
          <cell r="AE119">
            <v>10.318957859999999</v>
          </cell>
          <cell r="AF119">
            <v>8.4897410900000008</v>
          </cell>
          <cell r="AG119">
            <v>52.262219780000002</v>
          </cell>
          <cell r="AH119">
            <v>114.86258916</v>
          </cell>
          <cell r="AJ119" t="str">
            <v xml:space="preserve">             Servicios Personales  (2)</v>
          </cell>
          <cell r="AK119">
            <v>22.790206480000002</v>
          </cell>
          <cell r="AL119">
            <v>21.023816359999998</v>
          </cell>
        </row>
        <row r="120">
          <cell r="B120" t="str">
            <v xml:space="preserve">             Materiales y Suministros</v>
          </cell>
          <cell r="C120">
            <v>15.4549109</v>
          </cell>
          <cell r="D120">
            <v>25.264760430000003</v>
          </cell>
          <cell r="E120">
            <v>21.820648240000004</v>
          </cell>
          <cell r="F120">
            <v>93.519623489999987</v>
          </cell>
          <cell r="G120">
            <v>2.0297801300000002</v>
          </cell>
          <cell r="H120">
            <v>158.08972319</v>
          </cell>
          <cell r="J120" t="str">
            <v xml:space="preserve">             Materiales y Suministros</v>
          </cell>
          <cell r="K120">
            <v>5.8236786199999999</v>
          </cell>
          <cell r="L120">
            <v>3.1395827500000002</v>
          </cell>
          <cell r="M120">
            <v>4.4083813599999999</v>
          </cell>
          <cell r="N120">
            <v>1.0756633600000003</v>
          </cell>
          <cell r="O120">
            <v>1.0076048</v>
          </cell>
          <cell r="P120">
            <v>15.4549109</v>
          </cell>
          <cell r="R120" t="str">
            <v xml:space="preserve">             Materiales y Suministros</v>
          </cell>
          <cell r="S120">
            <v>6.1433251499999999</v>
          </cell>
          <cell r="T120">
            <v>4.72993883</v>
          </cell>
          <cell r="U120">
            <v>2.1700210599999998</v>
          </cell>
          <cell r="V120">
            <v>5.30910627</v>
          </cell>
          <cell r="W120">
            <v>2.0336290199999998</v>
          </cell>
          <cell r="X120">
            <v>1.4487906999999998</v>
          </cell>
          <cell r="Y120">
            <v>1.3126494100000001</v>
          </cell>
          <cell r="Z120">
            <v>2.1172995599999997</v>
          </cell>
          <cell r="AA120">
            <v>25.264760430000003</v>
          </cell>
          <cell r="AC120" t="str">
            <v xml:space="preserve">             Materiales y Suministros</v>
          </cell>
          <cell r="AD120">
            <v>76.81284380000001</v>
          </cell>
          <cell r="AE120">
            <v>3.2030316900000004</v>
          </cell>
          <cell r="AF120">
            <v>0.92004726000000003</v>
          </cell>
          <cell r="AG120">
            <v>12.583700770000002</v>
          </cell>
          <cell r="AH120">
            <v>93.519623489999987</v>
          </cell>
          <cell r="AJ120" t="str">
            <v xml:space="preserve">             Materiales y Suministros</v>
          </cell>
          <cell r="AK120">
            <v>2.6517103299999998</v>
          </cell>
          <cell r="AL120">
            <v>3.5970153599999999</v>
          </cell>
        </row>
        <row r="121">
          <cell r="B121" t="str">
            <v xml:space="preserve">             Servicios Generales</v>
          </cell>
          <cell r="C121">
            <v>62.81284019000001</v>
          </cell>
          <cell r="D121">
            <v>79.782516880000003</v>
          </cell>
          <cell r="E121">
            <v>68.276688620000002</v>
          </cell>
          <cell r="F121">
            <v>162.42432349999999</v>
          </cell>
          <cell r="G121">
            <v>112.71625804</v>
          </cell>
          <cell r="H121">
            <v>486.01262722999996</v>
          </cell>
          <cell r="J121" t="str">
            <v xml:space="preserve">             Servicios Generales</v>
          </cell>
          <cell r="K121">
            <v>15.143984039999999</v>
          </cell>
          <cell r="L121">
            <v>16.8570435</v>
          </cell>
          <cell r="M121">
            <v>15.749434890000002</v>
          </cell>
          <cell r="N121">
            <v>3.6969849800000003</v>
          </cell>
          <cell r="O121">
            <v>11.365392740000001</v>
          </cell>
          <cell r="P121">
            <v>62.81284019000001</v>
          </cell>
          <cell r="R121" t="str">
            <v xml:space="preserve">             Servicios Generales</v>
          </cell>
          <cell r="S121">
            <v>11.492400859999998</v>
          </cell>
          <cell r="T121">
            <v>16.187253139999999</v>
          </cell>
          <cell r="U121">
            <v>7.0783623600000007</v>
          </cell>
          <cell r="V121">
            <v>11.07745308</v>
          </cell>
          <cell r="W121">
            <v>5.1186468400000003</v>
          </cell>
          <cell r="X121">
            <v>5.7382791499999986</v>
          </cell>
          <cell r="Y121">
            <v>4.2970152099999996</v>
          </cell>
          <cell r="Z121">
            <v>18.793105910000001</v>
          </cell>
          <cell r="AA121">
            <v>79.782516880000003</v>
          </cell>
          <cell r="AC121" t="str">
            <v xml:space="preserve">             Servicios Generales</v>
          </cell>
          <cell r="AD121">
            <v>94.193852189999987</v>
          </cell>
          <cell r="AE121">
            <v>12.876890890000002</v>
          </cell>
          <cell r="AF121">
            <v>8.83469616</v>
          </cell>
          <cell r="AG121">
            <v>46.518884249999999</v>
          </cell>
          <cell r="AH121">
            <v>162.42432349999999</v>
          </cell>
          <cell r="AJ121" t="str">
            <v xml:space="preserve">             Servicios Generales</v>
          </cell>
          <cell r="AK121">
            <v>6.2664488299999999</v>
          </cell>
          <cell r="AL121">
            <v>6.6176022200000002</v>
          </cell>
        </row>
        <row r="122">
          <cell r="B122" t="str">
            <v xml:space="preserve">         Menos jubilaciones (226)</v>
          </cell>
          <cell r="C122">
            <v>0</v>
          </cell>
          <cell r="D122">
            <v>7.4022030000000003E-2</v>
          </cell>
          <cell r="E122">
            <v>0</v>
          </cell>
          <cell r="F122">
            <v>1.704547E-2</v>
          </cell>
          <cell r="G122">
            <v>0.77604973999999993</v>
          </cell>
          <cell r="H122">
            <v>0.86711724000000001</v>
          </cell>
          <cell r="J122" t="str">
            <v xml:space="preserve">         Menos jubilaciones (226)</v>
          </cell>
          <cell r="K122">
            <v>0</v>
          </cell>
          <cell r="L122">
            <v>0</v>
          </cell>
          <cell r="M122">
            <v>0</v>
          </cell>
          <cell r="N122">
            <v>0</v>
          </cell>
          <cell r="O122">
            <v>0</v>
          </cell>
          <cell r="P122">
            <v>0</v>
          </cell>
          <cell r="R122" t="str">
            <v xml:space="preserve">         Menos jubilaciones (226)</v>
          </cell>
          <cell r="S122">
            <v>0</v>
          </cell>
          <cell r="T122">
            <v>0</v>
          </cell>
          <cell r="U122">
            <v>0</v>
          </cell>
          <cell r="V122">
            <v>0</v>
          </cell>
          <cell r="W122">
            <v>0</v>
          </cell>
          <cell r="X122">
            <v>0</v>
          </cell>
          <cell r="Y122">
            <v>0</v>
          </cell>
          <cell r="Z122">
            <v>7.4022030000000003E-2</v>
          </cell>
          <cell r="AA122">
            <v>7.4022030000000003E-2</v>
          </cell>
          <cell r="AC122" t="str">
            <v xml:space="preserve">         Menos jubilaciones (226)</v>
          </cell>
          <cell r="AD122">
            <v>0</v>
          </cell>
          <cell r="AE122">
            <v>0</v>
          </cell>
          <cell r="AF122">
            <v>0</v>
          </cell>
          <cell r="AG122">
            <v>1.704547E-2</v>
          </cell>
          <cell r="AH122">
            <v>1.704547E-2</v>
          </cell>
          <cell r="AJ122" t="str">
            <v xml:space="preserve">         Menos jubilaciones (226)</v>
          </cell>
          <cell r="AK122">
            <v>0</v>
          </cell>
          <cell r="AL122">
            <v>0</v>
          </cell>
        </row>
        <row r="123">
          <cell r="B123" t="str">
            <v xml:space="preserve">         Más pasivo laboral contingente  (3)</v>
          </cell>
          <cell r="C123">
            <v>167.23419146999998</v>
          </cell>
          <cell r="D123">
            <v>280.34147394999997</v>
          </cell>
          <cell r="E123">
            <v>148.83785681000001</v>
          </cell>
          <cell r="F123">
            <v>156.84749781000002</v>
          </cell>
          <cell r="G123">
            <v>322.59378368000006</v>
          </cell>
          <cell r="H123">
            <v>1075.8548037200001</v>
          </cell>
          <cell r="J123" t="str">
            <v xml:space="preserve">         Más pasivo laboral contingente  (3)</v>
          </cell>
          <cell r="K123">
            <v>60.009512540000003</v>
          </cell>
          <cell r="L123">
            <v>32.508393650000002</v>
          </cell>
          <cell r="M123">
            <v>39.456695490000008</v>
          </cell>
          <cell r="N123">
            <v>11.928608659999998</v>
          </cell>
          <cell r="O123">
            <v>23.330981090000002</v>
          </cell>
          <cell r="P123">
            <v>167.23419146999998</v>
          </cell>
          <cell r="R123" t="str">
            <v xml:space="preserve">         Más pasivo laboral contingente  (3)</v>
          </cell>
          <cell r="S123">
            <v>66.827593149999998</v>
          </cell>
          <cell r="T123">
            <v>55.60426910999999</v>
          </cell>
          <cell r="U123">
            <v>26.118021770000002</v>
          </cell>
          <cell r="V123">
            <v>31.05866872</v>
          </cell>
          <cell r="W123">
            <v>25.784074500000006</v>
          </cell>
          <cell r="X123">
            <v>15.905243930000001</v>
          </cell>
          <cell r="Y123">
            <v>13.708782360000002</v>
          </cell>
          <cell r="Z123">
            <v>45.33481896</v>
          </cell>
          <cell r="AA123">
            <v>280.34147394999997</v>
          </cell>
          <cell r="AC123" t="str">
            <v xml:space="preserve">         Más pasivo laboral contingente  (3)</v>
          </cell>
          <cell r="AD123">
            <v>47.344726399999999</v>
          </cell>
          <cell r="AE123">
            <v>14.489339279999999</v>
          </cell>
          <cell r="AF123">
            <v>9.9956350399999998</v>
          </cell>
          <cell r="AG123">
            <v>85.017797090000016</v>
          </cell>
          <cell r="AH123">
            <v>156.84749781000002</v>
          </cell>
          <cell r="AJ123" t="str">
            <v xml:space="preserve">         Más pasivo laboral contingente  (3)</v>
          </cell>
          <cell r="AK123">
            <v>22.471613269999999</v>
          </cell>
          <cell r="AL123">
            <v>21.787361069999999</v>
          </cell>
        </row>
        <row r="124">
          <cell r="B124" t="str">
            <v xml:space="preserve">     Depreciación y Amortización</v>
          </cell>
          <cell r="C124">
            <v>350.63022317999997</v>
          </cell>
          <cell r="D124">
            <v>413.28841725000001</v>
          </cell>
          <cell r="E124">
            <v>301.53455122000003</v>
          </cell>
          <cell r="F124">
            <v>313.41472838999999</v>
          </cell>
          <cell r="G124">
            <v>4.7348702600000001</v>
          </cell>
          <cell r="H124">
            <v>1383.6027903000002</v>
          </cell>
          <cell r="J124" t="str">
            <v xml:space="preserve">     Depreciación y Amortización</v>
          </cell>
          <cell r="K124">
            <v>52.690819179999998</v>
          </cell>
          <cell r="L124">
            <v>200.25549440000003</v>
          </cell>
          <cell r="M124">
            <v>41.74211428000001</v>
          </cell>
          <cell r="N124">
            <v>18.32484573</v>
          </cell>
          <cell r="O124">
            <v>37.616949660000003</v>
          </cell>
          <cell r="P124">
            <v>350.63022317999997</v>
          </cell>
          <cell r="R124" t="str">
            <v xml:space="preserve">     Depreciación y Amortización</v>
          </cell>
          <cell r="S124">
            <v>103.24039071</v>
          </cell>
          <cell r="T124">
            <v>79.302591370000002</v>
          </cell>
          <cell r="U124">
            <v>41.50803544</v>
          </cell>
          <cell r="V124">
            <v>50.701996909999991</v>
          </cell>
          <cell r="W124">
            <v>16.360285829999999</v>
          </cell>
          <cell r="X124">
            <v>39.613030900000005</v>
          </cell>
          <cell r="Y124">
            <v>36.00882524</v>
          </cell>
          <cell r="Z124">
            <v>46.553261079999999</v>
          </cell>
          <cell r="AA124">
            <v>413.28841725000001</v>
          </cell>
          <cell r="AC124" t="str">
            <v xml:space="preserve">     Depreciación y Amortización</v>
          </cell>
          <cell r="AD124">
            <v>135.43440007000004</v>
          </cell>
          <cell r="AE124">
            <v>67.985631920000003</v>
          </cell>
          <cell r="AF124">
            <v>59.355255780000007</v>
          </cell>
          <cell r="AG124">
            <v>50.639440630000003</v>
          </cell>
          <cell r="AH124">
            <v>313.41472838999999</v>
          </cell>
          <cell r="AJ124" t="str">
            <v xml:space="preserve">     Depreciación y Amortización</v>
          </cell>
          <cell r="AK124">
            <v>110.72270955</v>
          </cell>
          <cell r="AL124">
            <v>87.407160510000011</v>
          </cell>
        </row>
        <row r="125">
          <cell r="B125" t="str">
            <v xml:space="preserve">          Plataformas</v>
          </cell>
          <cell r="C125">
            <v>3.1942074599999999</v>
          </cell>
          <cell r="D125">
            <v>0</v>
          </cell>
          <cell r="E125">
            <v>37.226201599999996</v>
          </cell>
          <cell r="F125">
            <v>50.291819769999996</v>
          </cell>
          <cell r="G125">
            <v>0.36376391000000002</v>
          </cell>
          <cell r="H125">
            <v>91.07599273999999</v>
          </cell>
          <cell r="J125" t="str">
            <v xml:space="preserve">          Plataformas</v>
          </cell>
          <cell r="K125">
            <v>1.1100328400000001</v>
          </cell>
          <cell r="L125">
            <v>0</v>
          </cell>
          <cell r="M125">
            <v>2.0841746400000001</v>
          </cell>
          <cell r="N125">
            <v>0</v>
          </cell>
          <cell r="O125">
            <v>0</v>
          </cell>
          <cell r="P125">
            <v>3.1942074599999999</v>
          </cell>
          <cell r="R125" t="str">
            <v xml:space="preserve">          Plataformas</v>
          </cell>
          <cell r="S125">
            <v>0</v>
          </cell>
          <cell r="T125">
            <v>0</v>
          </cell>
          <cell r="U125">
            <v>0</v>
          </cell>
          <cell r="V125">
            <v>0</v>
          </cell>
          <cell r="W125">
            <v>0</v>
          </cell>
          <cell r="X125">
            <v>0</v>
          </cell>
          <cell r="Y125">
            <v>0</v>
          </cell>
          <cell r="Z125">
            <v>0</v>
          </cell>
          <cell r="AA125">
            <v>0</v>
          </cell>
          <cell r="AC125" t="str">
            <v xml:space="preserve">          Plataformas</v>
          </cell>
          <cell r="AD125">
            <v>32.361097780000001</v>
          </cell>
          <cell r="AE125">
            <v>8.7452572100000001</v>
          </cell>
          <cell r="AF125">
            <v>6.6377379000000003</v>
          </cell>
          <cell r="AG125">
            <v>2.5477268700000004</v>
          </cell>
          <cell r="AH125">
            <v>50.291819769999996</v>
          </cell>
          <cell r="AJ125" t="str">
            <v xml:space="preserve">          Plataformas</v>
          </cell>
          <cell r="AK125">
            <v>18.237834800000002</v>
          </cell>
          <cell r="AL125">
            <v>15.91796834</v>
          </cell>
        </row>
        <row r="126">
          <cell r="B126" t="str">
            <v xml:space="preserve">          Pozos</v>
          </cell>
          <cell r="C126">
            <v>243.90092868000002</v>
          </cell>
          <cell r="D126">
            <v>252.35179141999998</v>
          </cell>
          <cell r="E126">
            <v>145.59217017</v>
          </cell>
          <cell r="F126">
            <v>147.73317576000002</v>
          </cell>
          <cell r="G126">
            <v>0</v>
          </cell>
          <cell r="H126">
            <v>789.57806602999995</v>
          </cell>
          <cell r="J126" t="str">
            <v xml:space="preserve">          Pozos</v>
          </cell>
          <cell r="K126">
            <v>34.047824410000004</v>
          </cell>
          <cell r="L126">
            <v>174.56635141999999</v>
          </cell>
          <cell r="M126">
            <v>24.437243480000003</v>
          </cell>
          <cell r="N126">
            <v>10.849509389999998</v>
          </cell>
          <cell r="O126">
            <v>0</v>
          </cell>
          <cell r="P126">
            <v>243.90092868000002</v>
          </cell>
          <cell r="R126" t="str">
            <v xml:space="preserve">          Pozos</v>
          </cell>
          <cell r="S126">
            <v>83.36440334000001</v>
          </cell>
          <cell r="T126">
            <v>44.701925980000006</v>
          </cell>
          <cell r="U126">
            <v>27.123964830000002</v>
          </cell>
          <cell r="V126">
            <v>23.83308267</v>
          </cell>
          <cell r="W126">
            <v>8.6701365299999988</v>
          </cell>
          <cell r="X126">
            <v>32.026779580000003</v>
          </cell>
          <cell r="Y126">
            <v>32.631498540000003</v>
          </cell>
          <cell r="Z126">
            <v>0</v>
          </cell>
          <cell r="AA126">
            <v>252.35179141999998</v>
          </cell>
          <cell r="AC126" t="str">
            <v xml:space="preserve">          Pozos</v>
          </cell>
          <cell r="AD126">
            <v>54.271316349999999</v>
          </cell>
          <cell r="AE126">
            <v>45.825168810000008</v>
          </cell>
          <cell r="AF126">
            <v>47.636690590000001</v>
          </cell>
          <cell r="AG126">
            <v>0</v>
          </cell>
          <cell r="AH126">
            <v>147.73317576000002</v>
          </cell>
          <cell r="AJ126" t="str">
            <v xml:space="preserve">          Pozos</v>
          </cell>
          <cell r="AK126">
            <v>68.680881069999998</v>
          </cell>
          <cell r="AL126">
            <v>50.332336999999995</v>
          </cell>
        </row>
        <row r="127">
          <cell r="B127" t="str">
            <v xml:space="preserve">          Otros</v>
          </cell>
          <cell r="C127">
            <v>103.53508704000001</v>
          </cell>
          <cell r="D127">
            <v>160.93662583000003</v>
          </cell>
          <cell r="E127">
            <v>118.71617945</v>
          </cell>
          <cell r="F127">
            <v>115.38973286</v>
          </cell>
          <cell r="G127">
            <v>4.3711063499999998</v>
          </cell>
          <cell r="H127">
            <v>502.94873153000003</v>
          </cell>
          <cell r="J127" t="str">
            <v xml:space="preserve">          Otros</v>
          </cell>
          <cell r="K127">
            <v>17.532961929999999</v>
          </cell>
          <cell r="L127">
            <v>25.689142980000003</v>
          </cell>
          <cell r="M127">
            <v>15.220696159999999</v>
          </cell>
          <cell r="N127">
            <v>7.4753363400000001</v>
          </cell>
          <cell r="O127">
            <v>37.616949660000003</v>
          </cell>
          <cell r="P127">
            <v>103.53508704000001</v>
          </cell>
          <cell r="R127" t="str">
            <v xml:space="preserve">          Otros</v>
          </cell>
          <cell r="S127">
            <v>19.875987370000001</v>
          </cell>
          <cell r="T127">
            <v>34.600665390000003</v>
          </cell>
          <cell r="U127">
            <v>14.38407061</v>
          </cell>
          <cell r="V127">
            <v>26.868914239999999</v>
          </cell>
          <cell r="W127">
            <v>7.6901492999999999</v>
          </cell>
          <cell r="X127">
            <v>7.5862513199999997</v>
          </cell>
          <cell r="Y127">
            <v>3.3773267000000007</v>
          </cell>
          <cell r="Z127">
            <v>46.553261079999999</v>
          </cell>
          <cell r="AA127">
            <v>160.93662583000003</v>
          </cell>
          <cell r="AC127" t="str">
            <v xml:space="preserve">          Otros</v>
          </cell>
          <cell r="AD127">
            <v>48.801985939999994</v>
          </cell>
          <cell r="AE127">
            <v>13.4152059</v>
          </cell>
          <cell r="AF127">
            <v>5.0808272899999993</v>
          </cell>
          <cell r="AG127">
            <v>48.09171375999999</v>
          </cell>
          <cell r="AH127">
            <v>115.38973286</v>
          </cell>
          <cell r="AJ127" t="str">
            <v xml:space="preserve">          Otros</v>
          </cell>
          <cell r="AK127">
            <v>23.803993679999998</v>
          </cell>
          <cell r="AL127">
            <v>21.15685517</v>
          </cell>
        </row>
        <row r="128">
          <cell r="B128" t="str">
            <v xml:space="preserve">     (1) Incluye el derecho sobre la extracción de petróleo,  y el aprovechamiento sobre rendimientos excedentes</v>
          </cell>
          <cell r="J128" t="str">
            <v xml:space="preserve">     (1) Incluye el derecho sobre la extracción de petróleo,  y el aprovechamiento sobre rendimientos excedentes</v>
          </cell>
          <cell r="R128" t="str">
            <v xml:space="preserve">     (1) Incluye el derecho sobre la extracción de petróleo,  y el aprovechamiento sobre rendimientos excedentes</v>
          </cell>
          <cell r="AC128" t="str">
            <v xml:space="preserve">     (1) Incluye el derecho sobre la extracción de petróleo,  y el aprovechamiento sobre rendimientos excedentes</v>
          </cell>
          <cell r="AJ128" t="str">
            <v xml:space="preserve">     (1) Incluye el derecho sobre la extracción de petróleo,  y el aprovechamiento sobre rendimientos excedentes</v>
          </cell>
        </row>
        <row r="129">
          <cell r="B129" t="str">
            <v xml:space="preserve">     (2) Incluye los renglones 201, 224, 225, 226, 232, 234,  239</v>
          </cell>
          <cell r="J129" t="str">
            <v xml:space="preserve">     (2) Incluye los renglones 201, 224, 225, 226, 232, 234,  239</v>
          </cell>
          <cell r="R129" t="str">
            <v xml:space="preserve">     (2) Incluye los renglones 201, 224, 225, 226, 232, 234,  239</v>
          </cell>
          <cell r="AC129" t="str">
            <v xml:space="preserve">     (2) Incluye los renglones 201, 224, 225, 226, 232, 234,  239</v>
          </cell>
          <cell r="AJ129" t="str">
            <v xml:space="preserve">     (2) Incluye los renglones 201, 224, 225, 226, 232, 234,  239</v>
          </cell>
        </row>
        <row r="130">
          <cell r="B130" t="str">
            <v xml:space="preserve">     (3) Incluye  jubilaciones y muerte.</v>
          </cell>
          <cell r="J130" t="str">
            <v xml:space="preserve">     (3) Incluye  jubilaciones y muerte.</v>
          </cell>
          <cell r="R130" t="str">
            <v xml:space="preserve">     (3) Incluye  jubilaciones y muerte.</v>
          </cell>
          <cell r="AC130" t="str">
            <v xml:space="preserve">     (3) Incluye  jubilaciones y muerte.</v>
          </cell>
          <cell r="AJ130" t="str">
            <v xml:space="preserve">     (3) Incluye  jubilaciones y muerte.</v>
          </cell>
        </row>
        <row r="132">
          <cell r="D132" t="str">
            <v>PEMEX EXPLORACION Y PRODUCCION</v>
          </cell>
          <cell r="L132" t="str">
            <v>PEMEX EXPLORACION Y PRODUCCION</v>
          </cell>
          <cell r="U132" t="str">
            <v>PEMEX EXPLORACION Y PRODUCCION</v>
          </cell>
          <cell r="AE132" t="str">
            <v>PEMEX EXPLORACION Y PRODUCCION</v>
          </cell>
          <cell r="AL132" t="str">
            <v>PEMEX EXPLORACION Y PRODUCCION</v>
          </cell>
        </row>
        <row r="133">
          <cell r="D133" t="str">
            <v>Resultados de operación / volumen de producción</v>
          </cell>
          <cell r="L133" t="str">
            <v>Resultados de operación / volumen de producción</v>
          </cell>
          <cell r="U133" t="str">
            <v>Resultados de operación / volumen de producción</v>
          </cell>
          <cell r="AE133" t="str">
            <v>Resultados de operación / volumen de producción</v>
          </cell>
          <cell r="AL133" t="str">
            <v>Resultados de operación / volumen de producción</v>
          </cell>
        </row>
        <row r="134">
          <cell r="D134" t="str">
            <v>RESULTADOS DE OPERACIÓN, Ene-Jun Real Jul-Dic P.O.6.2,  2000 (Preliminar)</v>
          </cell>
          <cell r="L134" t="str">
            <v>RESULTADOS DE OPERACIÓN, Ene-Jun Real Jul-Dic P.O.6.2,  2000 (Preliminar)</v>
          </cell>
          <cell r="U134" t="str">
            <v>RESULTADOS DE OPERACIÓN, Ene-Jun Real Jul-Dic P.O.6.2,  2000 (Preliminar)</v>
          </cell>
          <cell r="AE134" t="str">
            <v>RESULTADOS DE OPERACIÓN, Ene-Jun Real Jul-Dic P.O.6.2,  2000 (Preliminar)</v>
          </cell>
          <cell r="AL134" t="str">
            <v>RESULTADOS DE OPERACIÓN, Ene-Jun Real Jul-Dic P.O.6.2,  2000 (Preliminar)</v>
          </cell>
        </row>
        <row r="135">
          <cell r="D135" t="str">
            <v>Total PEP y Regiones</v>
          </cell>
          <cell r="G135" t="str">
            <v>S I R O</v>
          </cell>
          <cell r="L135" t="str">
            <v>Región Norte y Distritos</v>
          </cell>
          <cell r="O135" t="str">
            <v>S I R O</v>
          </cell>
          <cell r="U135" t="str">
            <v>Región Sur y Activos</v>
          </cell>
          <cell r="Z135" t="str">
            <v>S I R O</v>
          </cell>
          <cell r="AE135" t="str">
            <v>Región Marina Noreste y Activos</v>
          </cell>
          <cell r="AG135" t="str">
            <v>S I R O</v>
          </cell>
          <cell r="AL135" t="str">
            <v>Región Marina Suroeste y Activos</v>
          </cell>
        </row>
        <row r="136">
          <cell r="D136" t="str">
            <v>(Dólares por barril de crudo equivalente)</v>
          </cell>
          <cell r="G136" t="str">
            <v>versión 6.0_6.2</v>
          </cell>
          <cell r="L136" t="str">
            <v>(Dólares por barril de crudo equivalente)</v>
          </cell>
          <cell r="O136" t="str">
            <v>versión 6.0_6.2</v>
          </cell>
          <cell r="U136" t="str">
            <v>(Dólares por barril de crudo equivalente)</v>
          </cell>
          <cell r="Z136" t="str">
            <v>versión 6.0_6.2</v>
          </cell>
          <cell r="AE136" t="str">
            <v>(Dólares por barril de crudo equivalente)</v>
          </cell>
          <cell r="AG136" t="str">
            <v>versión 6.0_6.2</v>
          </cell>
          <cell r="AL136" t="str">
            <v>(Dólares por barril de crudo equivalente)</v>
          </cell>
        </row>
        <row r="138">
          <cell r="B138" t="str">
            <v xml:space="preserve">          CONCEPTO</v>
          </cell>
          <cell r="C138" t="str">
            <v>Norte</v>
          </cell>
          <cell r="D138" t="str">
            <v>Sur</v>
          </cell>
          <cell r="E138" t="str">
            <v>M. Suroeste</v>
          </cell>
          <cell r="F138" t="str">
            <v>M. Noreste</v>
          </cell>
          <cell r="G138" t="str">
            <v>TOTAL PEP</v>
          </cell>
          <cell r="J138" t="str">
            <v xml:space="preserve">          CONCEPTO</v>
          </cell>
          <cell r="K138" t="str">
            <v>Poza Rica</v>
          </cell>
          <cell r="L138" t="str">
            <v>Reynosa</v>
          </cell>
          <cell r="M138" t="str">
            <v>Altamira</v>
          </cell>
          <cell r="N138" t="str">
            <v>Veracruz</v>
          </cell>
          <cell r="O138" t="str">
            <v>REGION</v>
          </cell>
          <cell r="R138" t="str">
            <v xml:space="preserve">          CONCEPTO</v>
          </cell>
          <cell r="S138" t="str">
            <v>Cinco Presidentes</v>
          </cell>
          <cell r="T138" t="str">
            <v>Samaria-Sitio Grande</v>
          </cell>
          <cell r="U138" t="str">
            <v>Bellota-Chinchorro</v>
          </cell>
          <cell r="V138" t="str">
            <v>Jujo-Tecominoacan</v>
          </cell>
          <cell r="W138" t="str">
            <v>Chilapilla-Colomo</v>
          </cell>
          <cell r="X138" t="str">
            <v>Muspac</v>
          </cell>
          <cell r="Y138" t="str">
            <v>Luna</v>
          </cell>
          <cell r="Z138" t="str">
            <v>REGION</v>
          </cell>
          <cell r="AC138" t="str">
            <v xml:space="preserve">          CONCEPTO</v>
          </cell>
          <cell r="AD138" t="str">
            <v>Cantarell</v>
          </cell>
          <cell r="AE138" t="str">
            <v>Ku-Malloob-Zaap</v>
          </cell>
          <cell r="AF138" t="str">
            <v>Ek-Balam</v>
          </cell>
          <cell r="AG138" t="str">
            <v>REGION</v>
          </cell>
          <cell r="AJ138" t="str">
            <v xml:space="preserve">          CONCEPTO</v>
          </cell>
          <cell r="AK138" t="str">
            <v>Abkatún</v>
          </cell>
          <cell r="AL138" t="str">
            <v>Pol-Chuc</v>
          </cell>
        </row>
        <row r="139">
          <cell r="B139" t="str">
            <v>UTILIDAD DESPUES DE IMPUESTOS Y DERECHOS</v>
          </cell>
          <cell r="C139">
            <v>2.014252859784893</v>
          </cell>
          <cell r="D139">
            <v>1.8367499844290733</v>
          </cell>
          <cell r="E139">
            <v>2.2405098075077481</v>
          </cell>
          <cell r="F139">
            <v>1.95186953503851</v>
          </cell>
          <cell r="G139">
            <v>1.9870117817076858</v>
          </cell>
          <cell r="J139" t="str">
            <v>UTILIDAD DESPUES DE IMPUESTOS Y DERECHOS</v>
          </cell>
          <cell r="K139">
            <v>0.81903327689695105</v>
          </cell>
          <cell r="L139">
            <v>2.3787796907726544</v>
          </cell>
          <cell r="M139">
            <v>2.0077276805388435</v>
          </cell>
          <cell r="N139">
            <v>1.5683853973618804</v>
          </cell>
          <cell r="O139">
            <v>2.014252859784893</v>
          </cell>
          <cell r="R139" t="str">
            <v>UTILIDAD DESPUES DE IMPUESTOS Y DERECHOS</v>
          </cell>
          <cell r="S139">
            <v>0.49488073749571948</v>
          </cell>
          <cell r="T139">
            <v>2.0098809995653815</v>
          </cell>
          <cell r="U139">
            <v>2.157685275125846</v>
          </cell>
          <cell r="V139">
            <v>2.3028757139806491</v>
          </cell>
          <cell r="W139">
            <v>0.39974662282683943</v>
          </cell>
          <cell r="X139">
            <v>1.4537839927298486</v>
          </cell>
          <cell r="Y139">
            <v>2.0405433415590615</v>
          </cell>
          <cell r="Z139">
            <v>1.8367499844290733</v>
          </cell>
          <cell r="AC139" t="str">
            <v>UTILIDAD DESPUES DE IMPUESTOS Y DERECHOS</v>
          </cell>
          <cell r="AD139">
            <v>1.9466067983571338</v>
          </cell>
          <cell r="AE139">
            <v>1.9986245350796916</v>
          </cell>
          <cell r="AF139">
            <v>1.7917314974835159</v>
          </cell>
          <cell r="AG139">
            <v>1.95186953503851</v>
          </cell>
          <cell r="AJ139" t="str">
            <v>UTILIDAD DESPUES DE IMPUESTOS Y DERECHOS</v>
          </cell>
          <cell r="AK139">
            <v>2.3066014754168802</v>
          </cell>
          <cell r="AL139">
            <v>2.1916426493106811</v>
          </cell>
        </row>
        <row r="140">
          <cell r="B140" t="str">
            <v>IMPUESTOS Y DERECHOS (1)</v>
          </cell>
          <cell r="C140">
            <v>4.3130844723999546</v>
          </cell>
          <cell r="D140">
            <v>11.914149383831724</v>
          </cell>
          <cell r="E140">
            <v>15.75350132437652</v>
          </cell>
          <cell r="F140">
            <v>14.077215260500905</v>
          </cell>
          <cell r="G140">
            <v>13.128597847039536</v>
          </cell>
          <cell r="J140" t="str">
            <v>IMPUESTOS Y DERECHOS (1)</v>
          </cell>
          <cell r="K140">
            <v>2.6832980409471738</v>
          </cell>
          <cell r="L140">
            <v>4.8889500984568794</v>
          </cell>
          <cell r="M140">
            <v>4.3446789812398041</v>
          </cell>
          <cell r="N140">
            <v>3.2041009296730252</v>
          </cell>
          <cell r="O140">
            <v>4.3130844723999546</v>
          </cell>
          <cell r="R140" t="str">
            <v>IMPUESTOS Y DERECHOS (1)</v>
          </cell>
          <cell r="S140">
            <v>3.1553610581616813</v>
          </cell>
          <cell r="T140">
            <v>13.039938490316155</v>
          </cell>
          <cell r="U140">
            <v>13.998861202777865</v>
          </cell>
          <cell r="V140">
            <v>14.940518915768147</v>
          </cell>
          <cell r="W140">
            <v>2.5943713996427609</v>
          </cell>
          <cell r="X140">
            <v>9.4326745810590005</v>
          </cell>
          <cell r="Y140">
            <v>13.238844688133332</v>
          </cell>
          <cell r="Z140">
            <v>11.914149383831724</v>
          </cell>
          <cell r="AC140" t="str">
            <v>IMPUESTOS Y DERECHOS (1)</v>
          </cell>
          <cell r="AD140">
            <v>14.048637356011579</v>
          </cell>
          <cell r="AE140">
            <v>14.408736244669239</v>
          </cell>
          <cell r="AF140">
            <v>12.646617936155787</v>
          </cell>
          <cell r="AG140">
            <v>14.077215260500905</v>
          </cell>
          <cell r="AJ140" t="str">
            <v>IMPUESTOS Y DERECHOS (1)</v>
          </cell>
          <cell r="AK140">
            <v>16.224842661651678</v>
          </cell>
          <cell r="AL140">
            <v>15.40567590479225</v>
          </cell>
        </row>
        <row r="141">
          <cell r="B141" t="str">
            <v>UTILIDAD ANTES DE IMP. Y DERECHOS</v>
          </cell>
          <cell r="C141">
            <v>6.3273373321848467</v>
          </cell>
          <cell r="D141">
            <v>13.750899368260798</v>
          </cell>
          <cell r="E141">
            <v>17.994011131884275</v>
          </cell>
          <cell r="F141">
            <v>16.029084795539408</v>
          </cell>
          <cell r="G141">
            <v>15.115609628747221</v>
          </cell>
          <cell r="J141" t="str">
            <v>UTILIDAD ANTES DE IMP. Y DERECHOS</v>
          </cell>
          <cell r="K141">
            <v>3.5023313178441247</v>
          </cell>
          <cell r="L141">
            <v>7.2677297892295334</v>
          </cell>
          <cell r="M141">
            <v>6.3524066617786481</v>
          </cell>
          <cell r="N141">
            <v>4.7724863270349047</v>
          </cell>
          <cell r="O141">
            <v>6.3273373321848467</v>
          </cell>
          <cell r="R141" t="str">
            <v>UTILIDAD ANTES DE IMP. Y DERECHOS</v>
          </cell>
          <cell r="S141">
            <v>3.6502417956574003</v>
          </cell>
          <cell r="T141">
            <v>15.049819489881539</v>
          </cell>
          <cell r="U141">
            <v>16.156546477903714</v>
          </cell>
          <cell r="V141">
            <v>17.243394629748796</v>
          </cell>
          <cell r="W141">
            <v>2.9941180224696007</v>
          </cell>
          <cell r="X141">
            <v>10.886458573788849</v>
          </cell>
          <cell r="Y141">
            <v>15.279388029692393</v>
          </cell>
          <cell r="Z141">
            <v>13.750899368260798</v>
          </cell>
          <cell r="AC141" t="str">
            <v>UTILIDAD ANTES DE IMP. Y DERECHOS</v>
          </cell>
          <cell r="AD141">
            <v>15.995244154368709</v>
          </cell>
          <cell r="AE141">
            <v>16.407360779748931</v>
          </cell>
          <cell r="AF141">
            <v>14.438349433639305</v>
          </cell>
          <cell r="AG141">
            <v>16.029084795539408</v>
          </cell>
          <cell r="AJ141" t="str">
            <v>UTILIDAD ANTES DE IMP. Y DERECHOS</v>
          </cell>
          <cell r="AK141">
            <v>18.531444137068558</v>
          </cell>
          <cell r="AL141">
            <v>17.597318554102934</v>
          </cell>
        </row>
        <row r="142">
          <cell r="B142" t="str">
            <v>Gastos Indirectos de Administración</v>
          </cell>
          <cell r="C142">
            <v>1.1943759988420051</v>
          </cell>
          <cell r="D142">
            <v>0.6120877188336914</v>
          </cell>
          <cell r="E142">
            <v>0.5695261684713161</v>
          </cell>
          <cell r="F142">
            <v>0.71532796147789768</v>
          </cell>
          <cell r="G142">
            <v>0.34215564074853094</v>
          </cell>
          <cell r="J142" t="str">
            <v>Gastos Indirectos de Administración</v>
          </cell>
          <cell r="K142">
            <v>2.1310528005214691</v>
          </cell>
          <cell r="L142">
            <v>2.352611081040664</v>
          </cell>
          <cell r="M142">
            <v>2.0957013501976003</v>
          </cell>
          <cell r="N142">
            <v>1.6469189922403227</v>
          </cell>
          <cell r="O142">
            <v>1.1943759988420051</v>
          </cell>
          <cell r="R142" t="str">
            <v>Gastos Indirectos de Administración</v>
          </cell>
          <cell r="S142">
            <v>1.9830486052132081</v>
          </cell>
          <cell r="T142">
            <v>0.90628073357156558</v>
          </cell>
          <cell r="U142">
            <v>1.0764002710408551</v>
          </cell>
          <cell r="V142">
            <v>0.89976472444851974</v>
          </cell>
          <cell r="W142">
            <v>1.6844305415476544</v>
          </cell>
          <cell r="X142">
            <v>0.91891977298088079</v>
          </cell>
          <cell r="Y142">
            <v>1.3379337021708204</v>
          </cell>
          <cell r="Z142">
            <v>0.6120877188336914</v>
          </cell>
          <cell r="AC142" t="str">
            <v>Gastos Indirectos de Administración</v>
          </cell>
          <cell r="AD142">
            <v>0.89407923682713564</v>
          </cell>
          <cell r="AE142">
            <v>0.49021834034749107</v>
          </cell>
          <cell r="AF142">
            <v>0.82310445559118128</v>
          </cell>
          <cell r="AG142">
            <v>0.71532796147789768</v>
          </cell>
          <cell r="AJ142" t="str">
            <v>Gastos Indirectos de Administración</v>
          </cell>
          <cell r="AK142">
            <v>1.7446279327273884</v>
          </cell>
          <cell r="AL142">
            <v>1.8890571546342045</v>
          </cell>
        </row>
        <row r="143">
          <cell r="B143" t="str">
            <v xml:space="preserve">     Corporativo</v>
          </cell>
          <cell r="C143">
            <v>0.57135166789723879</v>
          </cell>
          <cell r="D143">
            <v>0.29460602521389645</v>
          </cell>
          <cell r="E143">
            <v>0.27437768826094983</v>
          </cell>
          <cell r="F143">
            <v>0.34367327981565604</v>
          </cell>
          <cell r="G143">
            <v>0.34215564074853094</v>
          </cell>
          <cell r="J143" t="str">
            <v xml:space="preserve">     Corporativo</v>
          </cell>
          <cell r="K143">
            <v>0.48619262884181635</v>
          </cell>
          <cell r="L143">
            <v>0.54421890364569414</v>
          </cell>
          <cell r="M143">
            <v>0.47693406780184833</v>
          </cell>
          <cell r="N143">
            <v>0.35939763224513538</v>
          </cell>
          <cell r="O143">
            <v>0.57135166789723879</v>
          </cell>
          <cell r="R143" t="str">
            <v xml:space="preserve">     Corporativo</v>
          </cell>
          <cell r="S143">
            <v>0.44891446749275177</v>
          </cell>
          <cell r="T143">
            <v>0.23061543561017833</v>
          </cell>
          <cell r="U143">
            <v>0.26510470061324043</v>
          </cell>
          <cell r="V143">
            <v>0.22929440832896333</v>
          </cell>
          <cell r="W143">
            <v>0.38837400976106401</v>
          </cell>
          <cell r="X143">
            <v>0.2331778166972113</v>
          </cell>
          <cell r="Y143">
            <v>0.31812680567560225</v>
          </cell>
          <cell r="Z143">
            <v>0.29460602521389645</v>
          </cell>
          <cell r="AC143" t="str">
            <v xml:space="preserve">     Corporativo</v>
          </cell>
          <cell r="AD143">
            <v>0.34740617391423972</v>
          </cell>
          <cell r="AE143">
            <v>0.19378573151843448</v>
          </cell>
          <cell r="AF143">
            <v>0.32040881226435491</v>
          </cell>
          <cell r="AG143">
            <v>0.34367327981565604</v>
          </cell>
          <cell r="AJ143" t="str">
            <v xml:space="preserve">     Corporativo</v>
          </cell>
          <cell r="AK143">
            <v>0.21360928887137104</v>
          </cell>
          <cell r="AL143">
            <v>0.22239660277869638</v>
          </cell>
        </row>
        <row r="144">
          <cell r="B144" t="str">
            <v xml:space="preserve">     Sede PEP</v>
          </cell>
          <cell r="C144">
            <v>0.62302433094476639</v>
          </cell>
          <cell r="D144">
            <v>0.31748169361979495</v>
          </cell>
          <cell r="E144">
            <v>0.29514848021036627</v>
          </cell>
          <cell r="F144">
            <v>0.37165468166224153</v>
          </cell>
          <cell r="G144">
            <v>0</v>
          </cell>
          <cell r="J144" t="str">
            <v xml:space="preserve">     Sede PEP</v>
          </cell>
          <cell r="K144">
            <v>0.52900400249208046</v>
          </cell>
          <cell r="L144">
            <v>0.59306824450379481</v>
          </cell>
          <cell r="M144">
            <v>0.51878202193078993</v>
          </cell>
          <cell r="N144">
            <v>0.38901525470423898</v>
          </cell>
          <cell r="O144">
            <v>0.62302433094476639</v>
          </cell>
          <cell r="R144" t="str">
            <v xml:space="preserve">     Sede PEP</v>
          </cell>
          <cell r="S144">
            <v>0.48784687600072146</v>
          </cell>
          <cell r="T144">
            <v>0.24683250891741093</v>
          </cell>
          <cell r="U144">
            <v>0.28491058234707162</v>
          </cell>
          <cell r="V144">
            <v>0.24537402362636712</v>
          </cell>
          <cell r="W144">
            <v>0.42100677795691072</v>
          </cell>
          <cell r="X144">
            <v>0.24966152191997593</v>
          </cell>
          <cell r="Y144">
            <v>0.34344994834183074</v>
          </cell>
          <cell r="Z144">
            <v>0.31748169361979495</v>
          </cell>
          <cell r="AC144" t="str">
            <v xml:space="preserve">     Sede PEP</v>
          </cell>
          <cell r="AD144">
            <v>0.375776005119693</v>
          </cell>
          <cell r="AE144">
            <v>0.2061704607801095</v>
          </cell>
          <cell r="AF144">
            <v>0.3459694139162221</v>
          </cell>
          <cell r="AG144">
            <v>0.37165468166224153</v>
          </cell>
          <cell r="AJ144" t="str">
            <v xml:space="preserve">     Sede PEP</v>
          </cell>
          <cell r="AK144">
            <v>0.22805677490916867</v>
          </cell>
          <cell r="AL144">
            <v>0.23775846010256133</v>
          </cell>
        </row>
        <row r="145">
          <cell r="B145" t="str">
            <v xml:space="preserve">     Sede regional</v>
          </cell>
          <cell r="C145">
            <v>0</v>
          </cell>
          <cell r="D145">
            <v>0</v>
          </cell>
          <cell r="E145">
            <v>0</v>
          </cell>
          <cell r="F145">
            <v>0</v>
          </cell>
          <cell r="G145">
            <v>0</v>
          </cell>
          <cell r="J145" t="str">
            <v xml:space="preserve">     Sede regional</v>
          </cell>
          <cell r="K145">
            <v>1.1158561691875721</v>
          </cell>
          <cell r="L145">
            <v>1.2153239328911747</v>
          </cell>
          <cell r="M145">
            <v>1.0999852604649623</v>
          </cell>
          <cell r="N145">
            <v>0.89850610529094832</v>
          </cell>
          <cell r="O145">
            <v>0</v>
          </cell>
          <cell r="R145" t="str">
            <v xml:space="preserve">     Sede regional</v>
          </cell>
          <cell r="S145">
            <v>1.0462872617197347</v>
          </cell>
          <cell r="T145">
            <v>0.42883278904397643</v>
          </cell>
          <cell r="U145">
            <v>0.52638498808054324</v>
          </cell>
          <cell r="V145">
            <v>0.42509629249318914</v>
          </cell>
          <cell r="W145">
            <v>0.87504975382967998</v>
          </cell>
          <cell r="X145">
            <v>0.43608043436369348</v>
          </cell>
          <cell r="Y145">
            <v>0.67635694815338732</v>
          </cell>
          <cell r="Z145">
            <v>0</v>
          </cell>
          <cell r="AC145" t="str">
            <v xml:space="preserve">     Sede regional</v>
          </cell>
          <cell r="AD145">
            <v>0.17089705779320305</v>
          </cell>
          <cell r="AE145">
            <v>9.0262148048947083E-2</v>
          </cell>
          <cell r="AF145">
            <v>0.15672622941060443</v>
          </cell>
          <cell r="AG145">
            <v>0</v>
          </cell>
          <cell r="AJ145" t="str">
            <v xml:space="preserve">     Sede regional</v>
          </cell>
          <cell r="AK145">
            <v>1.3029618689468485</v>
          </cell>
          <cell r="AL145">
            <v>1.4289020917529467</v>
          </cell>
        </row>
        <row r="146">
          <cell r="B146" t="str">
            <v>Servicios Corporativos Financieros</v>
          </cell>
          <cell r="C146">
            <v>0</v>
          </cell>
          <cell r="D146">
            <v>0</v>
          </cell>
          <cell r="E146">
            <v>0</v>
          </cell>
          <cell r="F146">
            <v>0</v>
          </cell>
          <cell r="G146">
            <v>0</v>
          </cell>
          <cell r="J146" t="str">
            <v>Servicios Corporativos Financieros</v>
          </cell>
          <cell r="K146">
            <v>0</v>
          </cell>
          <cell r="L146">
            <v>0</v>
          </cell>
          <cell r="M146">
            <v>0</v>
          </cell>
          <cell r="N146">
            <v>0</v>
          </cell>
          <cell r="O146">
            <v>0</v>
          </cell>
          <cell r="R146" t="str">
            <v>Servicios Corporativos Financieros</v>
          </cell>
          <cell r="S146">
            <v>0</v>
          </cell>
          <cell r="T146">
            <v>0</v>
          </cell>
          <cell r="U146">
            <v>0</v>
          </cell>
          <cell r="V146">
            <v>0</v>
          </cell>
          <cell r="W146">
            <v>0</v>
          </cell>
          <cell r="X146">
            <v>0</v>
          </cell>
          <cell r="Y146">
            <v>0</v>
          </cell>
          <cell r="Z146">
            <v>0</v>
          </cell>
          <cell r="AC146" t="str">
            <v>Servicios Corporativos Financieros</v>
          </cell>
          <cell r="AD146">
            <v>0</v>
          </cell>
          <cell r="AE146">
            <v>0</v>
          </cell>
          <cell r="AF146">
            <v>0</v>
          </cell>
          <cell r="AG146">
            <v>0</v>
          </cell>
          <cell r="AJ146" t="str">
            <v>Servicios Corporativos Financieros</v>
          </cell>
          <cell r="AK146">
            <v>0</v>
          </cell>
          <cell r="AL146">
            <v>0</v>
          </cell>
        </row>
        <row r="147">
          <cell r="B147" t="str">
            <v>UTILIDAD ANTES DE GASTOS INDIRECTOS</v>
          </cell>
          <cell r="C147">
            <v>7.5217133310268531</v>
          </cell>
          <cell r="D147">
            <v>14.36298708709449</v>
          </cell>
          <cell r="E147">
            <v>18.563537300355591</v>
          </cell>
          <cell r="F147">
            <v>16.744412757017312</v>
          </cell>
          <cell r="G147">
            <v>15.457765269495754</v>
          </cell>
          <cell r="J147" t="str">
            <v>UTILIDAD ANTES DE GASTOS INDIRECTOS</v>
          </cell>
          <cell r="K147">
            <v>5.6333841183655933</v>
          </cell>
          <cell r="L147">
            <v>9.6203408702701978</v>
          </cell>
          <cell r="M147">
            <v>8.4481080119762488</v>
          </cell>
          <cell r="N147">
            <v>6.419405319275227</v>
          </cell>
          <cell r="O147">
            <v>7.5217133310268531</v>
          </cell>
          <cell r="R147" t="str">
            <v>UTILIDAD ANTES DE GASTOS INDIRECTOS</v>
          </cell>
          <cell r="S147">
            <v>5.6332904008706084</v>
          </cell>
          <cell r="T147">
            <v>15.956100223453102</v>
          </cell>
          <cell r="U147">
            <v>17.23294674894457</v>
          </cell>
          <cell r="V147">
            <v>18.143159354197312</v>
          </cell>
          <cell r="W147">
            <v>4.6785485640172544</v>
          </cell>
          <cell r="X147">
            <v>11.805378346769729</v>
          </cell>
          <cell r="Y147">
            <v>16.617321731863214</v>
          </cell>
          <cell r="Z147">
            <v>14.36298708709449</v>
          </cell>
          <cell r="AC147" t="str">
            <v>UTILIDAD ANTES DE GASTOS INDIRECTOS</v>
          </cell>
          <cell r="AD147">
            <v>16.889323391195848</v>
          </cell>
          <cell r="AE147">
            <v>16.89757912009642</v>
          </cell>
          <cell r="AF147">
            <v>15.261453889230486</v>
          </cell>
          <cell r="AG147">
            <v>16.744412757017312</v>
          </cell>
          <cell r="AJ147" t="str">
            <v>UTILIDAD ANTES DE GASTOS INDIRECTOS</v>
          </cell>
          <cell r="AK147">
            <v>20.276072069795941</v>
          </cell>
          <cell r="AL147">
            <v>19.486375708737139</v>
          </cell>
        </row>
        <row r="148">
          <cell r="B148" t="str">
            <v>INGRESOS</v>
          </cell>
          <cell r="C148">
            <v>16.48750800372224</v>
          </cell>
          <cell r="D148">
            <v>18.761150524320978</v>
          </cell>
          <cell r="E148">
            <v>21.827677734747734</v>
          </cell>
          <cell r="F148">
            <v>19.431157182805691</v>
          </cell>
          <cell r="G148">
            <v>19.521456469590763</v>
          </cell>
          <cell r="J148" t="str">
            <v>INGRESOS</v>
          </cell>
          <cell r="K148">
            <v>23.1952995008557</v>
          </cell>
          <cell r="L148">
            <v>14.891680742939114</v>
          </cell>
          <cell r="M148">
            <v>19.778340252619017</v>
          </cell>
          <cell r="N148">
            <v>12.355668035033247</v>
          </cell>
          <cell r="O148">
            <v>16.48750800372224</v>
          </cell>
          <cell r="R148" t="str">
            <v>INGRESOS</v>
          </cell>
          <cell r="S148">
            <v>22.175037992888857</v>
          </cell>
          <cell r="T148">
            <v>20.460634993770793</v>
          </cell>
          <cell r="U148">
            <v>21.019592757447327</v>
          </cell>
          <cell r="V148">
            <v>21.409780146606863</v>
          </cell>
          <cell r="W148">
            <v>11.019417205596726</v>
          </cell>
          <cell r="X148">
            <v>13.672037018287515</v>
          </cell>
          <cell r="Y148">
            <v>18.650825759081503</v>
          </cell>
          <cell r="Z148">
            <v>18.761150524320978</v>
          </cell>
          <cell r="AC148" t="str">
            <v>INGRESOS</v>
          </cell>
          <cell r="AD148">
            <v>19.407761280056071</v>
          </cell>
          <cell r="AE148">
            <v>19.280819532525417</v>
          </cell>
          <cell r="AF148">
            <v>21.306136127255122</v>
          </cell>
          <cell r="AG148">
            <v>19.431157182805691</v>
          </cell>
          <cell r="AJ148" t="str">
            <v>INGRESOS</v>
          </cell>
          <cell r="AK148">
            <v>22.014187973196709</v>
          </cell>
          <cell r="AL148">
            <v>21.688036799652089</v>
          </cell>
        </row>
        <row r="149">
          <cell r="B149" t="str">
            <v xml:space="preserve">   Ventas de productos</v>
          </cell>
          <cell r="C149">
            <v>16.479240304996235</v>
          </cell>
          <cell r="D149">
            <v>18.744153989184312</v>
          </cell>
          <cell r="E149">
            <v>21.826890764923206</v>
          </cell>
          <cell r="F149">
            <v>19.431117935920444</v>
          </cell>
          <cell r="G149">
            <v>19.52036662003324</v>
          </cell>
          <cell r="J149" t="str">
            <v xml:space="preserve">   Ventas de productos</v>
          </cell>
          <cell r="K149">
            <v>23.193431428877258</v>
          </cell>
          <cell r="L149">
            <v>14.879361876497848</v>
          </cell>
          <cell r="M149">
            <v>19.776124090940655</v>
          </cell>
          <cell r="N149">
            <v>12.354570940255835</v>
          </cell>
          <cell r="O149">
            <v>16.479240304996235</v>
          </cell>
          <cell r="R149" t="str">
            <v xml:space="preserve">   Ventas de productos</v>
          </cell>
          <cell r="S149">
            <v>22.175037992888857</v>
          </cell>
          <cell r="T149">
            <v>20.456556437537184</v>
          </cell>
          <cell r="U149">
            <v>20.944046590839733</v>
          </cell>
          <cell r="V149">
            <v>21.409780146606863</v>
          </cell>
          <cell r="W149">
            <v>10.828585309240246</v>
          </cell>
          <cell r="X149">
            <v>13.672037018287515</v>
          </cell>
          <cell r="Y149">
            <v>18.650825759081503</v>
          </cell>
          <cell r="Z149">
            <v>18.744153989184312</v>
          </cell>
          <cell r="AC149" t="str">
            <v xml:space="preserve">   Ventas de productos</v>
          </cell>
          <cell r="AD149">
            <v>19.407761280056071</v>
          </cell>
          <cell r="AE149">
            <v>19.280819532525417</v>
          </cell>
          <cell r="AF149">
            <v>21.306136127255122</v>
          </cell>
          <cell r="AG149">
            <v>19.431117935920444</v>
          </cell>
          <cell r="AJ149" t="str">
            <v xml:space="preserve">   Ventas de productos</v>
          </cell>
          <cell r="AK149">
            <v>22.014187973196709</v>
          </cell>
          <cell r="AL149">
            <v>21.688036799652089</v>
          </cell>
        </row>
        <row r="150">
          <cell r="B150" t="str">
            <v xml:space="preserve">       Crudo  (dólares / barril de crudo prod.)</v>
          </cell>
          <cell r="C150">
            <v>21.048238009373453</v>
          </cell>
          <cell r="D150">
            <v>24.581118088337796</v>
          </cell>
          <cell r="E150">
            <v>24.200806316422277</v>
          </cell>
          <cell r="F150">
            <v>19.339701186321317</v>
          </cell>
          <cell r="G150">
            <v>21.340482519704231</v>
          </cell>
          <cell r="J150" t="str">
            <v xml:space="preserve">       Crudo  (dólares / barril de crudo prod.)</v>
          </cell>
          <cell r="K150">
            <v>21.527684270244091</v>
          </cell>
          <cell r="L150" t="e">
            <v>#DIV/0!</v>
          </cell>
          <cell r="M150">
            <v>20.529295851406182</v>
          </cell>
          <cell r="N150">
            <v>22.434675122626995</v>
          </cell>
          <cell r="O150">
            <v>21.048238009373453</v>
          </cell>
          <cell r="R150" t="str">
            <v xml:space="preserve">       Crudo  (dólares / barril de crudo prod.)</v>
          </cell>
          <cell r="S150">
            <v>22.243689547231774</v>
          </cell>
          <cell r="T150">
            <v>23.476445566182509</v>
          </cell>
          <cell r="U150">
            <v>24.404106296056099</v>
          </cell>
          <cell r="V150">
            <v>25.322388662000495</v>
          </cell>
          <cell r="W150">
            <v>22.839882015275396</v>
          </cell>
          <cell r="X150">
            <v>26.574486613970699</v>
          </cell>
          <cell r="Y150">
            <v>26.698895481946753</v>
          </cell>
          <cell r="Z150">
            <v>24.581118088337796</v>
          </cell>
          <cell r="AC150" t="str">
            <v xml:space="preserve">       Crudo  (dólares / barril de crudo prod.)</v>
          </cell>
          <cell r="AD150">
            <v>19.185617487071383</v>
          </cell>
          <cell r="AE150">
            <v>19.715905141112444</v>
          </cell>
          <cell r="AF150">
            <v>22.128872400494519</v>
          </cell>
          <cell r="AG150">
            <v>19.339701186321317</v>
          </cell>
          <cell r="AJ150" t="str">
            <v xml:space="preserve">       Crudo  (dólares / barril de crudo prod.)</v>
          </cell>
          <cell r="AK150">
            <v>24.3830158809827</v>
          </cell>
          <cell r="AL150">
            <v>23.733793532776371</v>
          </cell>
        </row>
        <row r="151">
          <cell r="B151" t="str">
            <v xml:space="preserve">       Gas    (dólares / millar de pie cúbico prod.)</v>
          </cell>
          <cell r="C151">
            <v>2.8106324005029322</v>
          </cell>
          <cell r="D151">
            <v>2.8452598192970462</v>
          </cell>
          <cell r="E151">
            <v>2.1894401771277785</v>
          </cell>
          <cell r="F151">
            <v>2.7158610472516984</v>
          </cell>
          <cell r="G151">
            <v>2.6940554888273005</v>
          </cell>
          <cell r="J151" t="str">
            <v xml:space="preserve">       Gas    (dólares / millar de pie cúbico prod.)</v>
          </cell>
          <cell r="K151">
            <v>5.9098722724667407</v>
          </cell>
          <cell r="L151">
            <v>2.8128939306222311</v>
          </cell>
          <cell r="M151">
            <v>0.85584631607226791</v>
          </cell>
          <cell r="N151">
            <v>2.4364018233812068</v>
          </cell>
          <cell r="O151">
            <v>2.8106324005029322</v>
          </cell>
          <cell r="R151" t="str">
            <v xml:space="preserve">       Gas    (dólares / millar de pie cúbico prod.)</v>
          </cell>
          <cell r="S151">
            <v>4.110519605010726</v>
          </cell>
          <cell r="T151">
            <v>3.2775562795605979</v>
          </cell>
          <cell r="U151">
            <v>2.7683973054509137</v>
          </cell>
          <cell r="V151">
            <v>2.9170925363644264</v>
          </cell>
          <cell r="W151">
            <v>2.4415127516339394</v>
          </cell>
          <cell r="X151">
            <v>2.6623162426117375</v>
          </cell>
          <cell r="Y151">
            <v>2.7550815252090217</v>
          </cell>
          <cell r="Z151">
            <v>2.8452598192970462</v>
          </cell>
          <cell r="AC151" t="str">
            <v xml:space="preserve">       Gas    (dólares / millar de pie cúbico prod.)</v>
          </cell>
          <cell r="AD151">
            <v>2.7117090738624832</v>
          </cell>
          <cell r="AE151">
            <v>2.729240754577932</v>
          </cell>
          <cell r="AF151">
            <v>2.721504372410219</v>
          </cell>
          <cell r="AG151">
            <v>2.7158610472516984</v>
          </cell>
          <cell r="AJ151" t="str">
            <v xml:space="preserve">       Gas    (dólares / millar de pie cúbico prod.)</v>
          </cell>
          <cell r="AK151">
            <v>2.1692840073408775</v>
          </cell>
          <cell r="AL151">
            <v>2.1673060609377632</v>
          </cell>
        </row>
        <row r="152">
          <cell r="B152" t="str">
            <v xml:space="preserve">       Condensado  (dólares / barril de condensado prod.)</v>
          </cell>
          <cell r="C152">
            <v>20.750198314492394</v>
          </cell>
          <cell r="D152">
            <v>16.873014971776858</v>
          </cell>
          <cell r="E152">
            <v>15.476587081958511</v>
          </cell>
          <cell r="F152">
            <v>7.255571993330677</v>
          </cell>
          <cell r="G152">
            <v>10.926594314421559</v>
          </cell>
          <cell r="J152" t="str">
            <v xml:space="preserve">       Condensado  (dólares / barril de condensado prod.)</v>
          </cell>
          <cell r="K152" t="e">
            <v>#DIV/0!</v>
          </cell>
          <cell r="L152">
            <v>20.750198314492394</v>
          </cell>
          <cell r="M152" t="e">
            <v>#DIV/0!</v>
          </cell>
          <cell r="N152" t="e">
            <v>#DIV/0!</v>
          </cell>
          <cell r="O152">
            <v>20.750198314492394</v>
          </cell>
          <cell r="R152" t="str">
            <v xml:space="preserve">       Condensado  (dólares / barril de condensado prod.)</v>
          </cell>
          <cell r="S152" t="e">
            <v>#DIV/0!</v>
          </cell>
          <cell r="T152">
            <v>16.694778391202842</v>
          </cell>
          <cell r="U152">
            <v>19.052602422671406</v>
          </cell>
          <cell r="V152">
            <v>18.921008641584066</v>
          </cell>
          <cell r="W152">
            <v>18.12180717841067</v>
          </cell>
          <cell r="X152">
            <v>15.277271203771036</v>
          </cell>
          <cell r="Y152">
            <v>0</v>
          </cell>
          <cell r="Z152">
            <v>16.873014971776858</v>
          </cell>
          <cell r="AC152" t="str">
            <v xml:space="preserve">       Condensado  (dólares / barril de condensado prod.)</v>
          </cell>
          <cell r="AD152">
            <v>7.2863979360599656</v>
          </cell>
          <cell r="AE152">
            <v>7.1779500981113111</v>
          </cell>
          <cell r="AF152">
            <v>7.0987000012735946</v>
          </cell>
          <cell r="AG152">
            <v>7.255571993330677</v>
          </cell>
          <cell r="AJ152" t="str">
            <v xml:space="preserve">       Condensado  (dólares / barril de condensado prod.)</v>
          </cell>
          <cell r="AK152">
            <v>14.979536841904217</v>
          </cell>
          <cell r="AL152">
            <v>15.431793798984533</v>
          </cell>
        </row>
        <row r="153">
          <cell r="B153" t="str">
            <v xml:space="preserve">   Ventas de servicios interorganismos</v>
          </cell>
          <cell r="C153">
            <v>8.2676987260051384E-3</v>
          </cell>
          <cell r="D153">
            <v>1.0990540888075808E-3</v>
          </cell>
          <cell r="E153">
            <v>7.869698245280591E-4</v>
          </cell>
          <cell r="F153">
            <v>3.9246885249372725E-5</v>
          </cell>
          <cell r="G153">
            <v>1.0898495575239226E-3</v>
          </cell>
          <cell r="J153" t="str">
            <v xml:space="preserve">   Ventas de servicios interorganismos</v>
          </cell>
          <cell r="K153">
            <v>1.8680719784423131E-3</v>
          </cell>
          <cell r="L153">
            <v>1.2318866441264426E-2</v>
          </cell>
          <cell r="M153">
            <v>2.2161616783622964E-3</v>
          </cell>
          <cell r="N153">
            <v>1.0970947774165711E-3</v>
          </cell>
          <cell r="O153">
            <v>8.2676987260051384E-3</v>
          </cell>
          <cell r="R153" t="str">
            <v xml:space="preserve">   Ventas de servicios interorganismos</v>
          </cell>
          <cell r="S153">
            <v>0</v>
          </cell>
          <cell r="T153">
            <v>4.078556233612458E-3</v>
          </cell>
          <cell r="U153">
            <v>0</v>
          </cell>
          <cell r="V153">
            <v>0</v>
          </cell>
          <cell r="W153">
            <v>0</v>
          </cell>
          <cell r="X153">
            <v>0</v>
          </cell>
          <cell r="Y153">
            <v>0</v>
          </cell>
          <cell r="Z153">
            <v>1.0990540888075808E-3</v>
          </cell>
          <cell r="AC153" t="str">
            <v xml:space="preserve">   Ventas de servicios interorganismos</v>
          </cell>
          <cell r="AD153">
            <v>0</v>
          </cell>
          <cell r="AE153">
            <v>0</v>
          </cell>
          <cell r="AF153">
            <v>0</v>
          </cell>
          <cell r="AG153">
            <v>3.9246885249372725E-5</v>
          </cell>
          <cell r="AJ153" t="str">
            <v xml:space="preserve">   Ventas de servicios interorganismos</v>
          </cell>
          <cell r="AK153">
            <v>0</v>
          </cell>
          <cell r="AL153">
            <v>0</v>
          </cell>
        </row>
        <row r="154">
          <cell r="B154" t="str">
            <v xml:space="preserve">   Ventas de productos y servicios Interregiones</v>
          </cell>
          <cell r="C154">
            <v>0</v>
          </cell>
          <cell r="D154">
            <v>1.589748104785977E-2</v>
          </cell>
          <cell r="E154">
            <v>0</v>
          </cell>
          <cell r="F154">
            <v>0</v>
          </cell>
          <cell r="G154">
            <v>0</v>
          </cell>
          <cell r="J154" t="str">
            <v xml:space="preserve">   Ventas de productos y servicios Interregiones</v>
          </cell>
          <cell r="K154">
            <v>0</v>
          </cell>
          <cell r="L154">
            <v>0</v>
          </cell>
          <cell r="M154">
            <v>0</v>
          </cell>
          <cell r="N154">
            <v>0</v>
          </cell>
          <cell r="O154">
            <v>0</v>
          </cell>
          <cell r="R154" t="str">
            <v xml:space="preserve">   Ventas de productos y servicios Interregiones</v>
          </cell>
          <cell r="S154">
            <v>0</v>
          </cell>
          <cell r="T154">
            <v>0</v>
          </cell>
          <cell r="U154">
            <v>7.5546166607597054E-2</v>
          </cell>
          <cell r="V154">
            <v>0</v>
          </cell>
          <cell r="W154">
            <v>0.19083189635647707</v>
          </cell>
          <cell r="X154">
            <v>0</v>
          </cell>
          <cell r="Y154">
            <v>0</v>
          </cell>
          <cell r="Z154">
            <v>1.589748104785977E-2</v>
          </cell>
          <cell r="AC154" t="str">
            <v xml:space="preserve">   Ventas de productos y servicios Interregiones</v>
          </cell>
          <cell r="AD154">
            <v>0</v>
          </cell>
          <cell r="AE154">
            <v>0</v>
          </cell>
          <cell r="AF154">
            <v>0</v>
          </cell>
          <cell r="AG154">
            <v>0</v>
          </cell>
          <cell r="AJ154" t="str">
            <v xml:space="preserve">   Ventas de productos y servicios Interregiones</v>
          </cell>
          <cell r="AK154">
            <v>0</v>
          </cell>
          <cell r="AL154">
            <v>0</v>
          </cell>
        </row>
        <row r="155">
          <cell r="B155" t="str">
            <v xml:space="preserve">   Ventas de productos y servicios Interdistritos</v>
          </cell>
          <cell r="C155">
            <v>0</v>
          </cell>
          <cell r="D155">
            <v>0</v>
          </cell>
          <cell r="E155">
            <v>0</v>
          </cell>
          <cell r="F155">
            <v>0</v>
          </cell>
          <cell r="G155">
            <v>0</v>
          </cell>
          <cell r="J155" t="str">
            <v xml:space="preserve">   Ventas de productos y servicios Interdistritos</v>
          </cell>
          <cell r="K155">
            <v>0</v>
          </cell>
          <cell r="L155">
            <v>0</v>
          </cell>
          <cell r="M155">
            <v>0</v>
          </cell>
          <cell r="N155">
            <v>0</v>
          </cell>
          <cell r="O155">
            <v>0</v>
          </cell>
          <cell r="R155" t="str">
            <v xml:space="preserve">   Ventas de productos y servicios Interdistritos</v>
          </cell>
          <cell r="S155">
            <v>0</v>
          </cell>
          <cell r="T155">
            <v>0</v>
          </cell>
          <cell r="U155">
            <v>0</v>
          </cell>
          <cell r="V155">
            <v>0</v>
          </cell>
          <cell r="W155">
            <v>0</v>
          </cell>
          <cell r="X155">
            <v>0</v>
          </cell>
          <cell r="Y155">
            <v>0</v>
          </cell>
          <cell r="Z155">
            <v>0</v>
          </cell>
          <cell r="AC155" t="str">
            <v xml:space="preserve">   Ventas de productos y servicios Interdistritos</v>
          </cell>
          <cell r="AD155">
            <v>0</v>
          </cell>
          <cell r="AE155">
            <v>0</v>
          </cell>
          <cell r="AF155">
            <v>0</v>
          </cell>
          <cell r="AG155">
            <v>0</v>
          </cell>
          <cell r="AJ155" t="str">
            <v xml:space="preserve">   Ventas de productos y servicios Interdistritos</v>
          </cell>
          <cell r="AK155">
            <v>0</v>
          </cell>
          <cell r="AL155">
            <v>0</v>
          </cell>
        </row>
        <row r="156">
          <cell r="B156" t="str">
            <v>EGRESOS (4)</v>
          </cell>
          <cell r="C156">
            <v>8.458217975699398</v>
          </cell>
          <cell r="D156">
            <v>4.0718521491785253</v>
          </cell>
          <cell r="E156">
            <v>3.2641404343921452</v>
          </cell>
          <cell r="F156">
            <v>2.1821839812798003</v>
          </cell>
          <cell r="G156">
            <v>3.7054734040002235</v>
          </cell>
          <cell r="J156" t="str">
            <v>EGRESOS (4)</v>
          </cell>
          <cell r="K156">
            <v>14.089259752377734</v>
          </cell>
          <cell r="L156">
            <v>5.271339872668916</v>
          </cell>
          <cell r="M156">
            <v>11.330232240642768</v>
          </cell>
          <cell r="N156">
            <v>5.9362627157580219</v>
          </cell>
          <cell r="O156">
            <v>8.458217975699398</v>
          </cell>
          <cell r="R156" t="str">
            <v>EGRESOS (4)</v>
          </cell>
          <cell r="S156">
            <v>15.010686705705901</v>
          </cell>
          <cell r="T156">
            <v>3.6884843077501785</v>
          </cell>
          <cell r="U156">
            <v>3.6794306605569571</v>
          </cell>
          <cell r="V156">
            <v>3.1503990047740698</v>
          </cell>
          <cell r="W156">
            <v>6.3408686415794699</v>
          </cell>
          <cell r="X156">
            <v>1.8666586715177869</v>
          </cell>
          <cell r="Y156">
            <v>2.0335040272182843</v>
          </cell>
          <cell r="Z156">
            <v>4.0718521491785253</v>
          </cell>
          <cell r="AC156" t="str">
            <v>EGRESOS (4)</v>
          </cell>
          <cell r="AD156">
            <v>1.9096999261207439</v>
          </cell>
          <cell r="AE156">
            <v>2.2957417210054833</v>
          </cell>
          <cell r="AF156">
            <v>6.0446822380246354</v>
          </cell>
          <cell r="AG156">
            <v>2.1821839812798003</v>
          </cell>
          <cell r="AJ156" t="str">
            <v>EGRESOS (4)</v>
          </cell>
          <cell r="AK156">
            <v>1.7381159034007654</v>
          </cell>
          <cell r="AL156">
            <v>2.2016610909149494</v>
          </cell>
        </row>
        <row r="157">
          <cell r="B157" t="str">
            <v xml:space="preserve">   Variables</v>
          </cell>
          <cell r="C157">
            <v>2.3865288921161953</v>
          </cell>
          <cell r="D157">
            <v>1.5726072578853061</v>
          </cell>
          <cell r="E157">
            <v>1.1081085860426814</v>
          </cell>
          <cell r="F157">
            <v>1.5009445613947425</v>
          </cell>
          <cell r="G157">
            <v>1.5083154332599362</v>
          </cell>
          <cell r="J157" t="str">
            <v xml:space="preserve">   Variables</v>
          </cell>
          <cell r="K157">
            <v>6.2938778708070426</v>
          </cell>
          <cell r="L157">
            <v>1.2598896702602802</v>
          </cell>
          <cell r="M157">
            <v>2.3562442603909175</v>
          </cell>
          <cell r="N157">
            <v>2.1156296281327163</v>
          </cell>
          <cell r="O157">
            <v>2.3865288921161953</v>
          </cell>
          <cell r="R157" t="str">
            <v xml:space="preserve">   Variables</v>
          </cell>
          <cell r="S157">
            <v>2.4616625944440429</v>
          </cell>
          <cell r="T157">
            <v>2.5003456341990438</v>
          </cell>
          <cell r="U157">
            <v>1.4185913821205414</v>
          </cell>
          <cell r="V157">
            <v>1.3634345531436753</v>
          </cell>
          <cell r="W157">
            <v>1.1875387192512576</v>
          </cell>
          <cell r="X157">
            <v>0.80328243769981722</v>
          </cell>
          <cell r="Y157">
            <v>0.74888885501933355</v>
          </cell>
          <cell r="Z157">
            <v>1.5726072578853061</v>
          </cell>
          <cell r="AC157" t="str">
            <v xml:space="preserve">   Variables</v>
          </cell>
          <cell r="AD157">
            <v>1.821356760650072</v>
          </cell>
          <cell r="AE157">
            <v>1.4910989441916538</v>
          </cell>
          <cell r="AF157">
            <v>0.85750774160047771</v>
          </cell>
          <cell r="AG157">
            <v>1.5009445613947425</v>
          </cell>
          <cell r="AJ157" t="str">
            <v xml:space="preserve">   Variables</v>
          </cell>
          <cell r="AK157">
            <v>0.71436253066875921</v>
          </cell>
          <cell r="AL157">
            <v>0.89357236875047374</v>
          </cell>
        </row>
        <row r="158">
          <cell r="B158" t="str">
            <v xml:space="preserve">      Compras de productos interorganismos (4)</v>
          </cell>
          <cell r="C158">
            <v>0.89168188684029603</v>
          </cell>
          <cell r="D158">
            <v>0.5927250441824905</v>
          </cell>
          <cell r="E158">
            <v>0.36213152722573694</v>
          </cell>
          <cell r="F158">
            <v>0.32402639890795248</v>
          </cell>
          <cell r="G158">
            <v>0.44204441407511674</v>
          </cell>
          <cell r="J158" t="str">
            <v xml:space="preserve">      Compras de productos interorganismos (4)</v>
          </cell>
          <cell r="K158">
            <v>1.47004560932345</v>
          </cell>
          <cell r="L158">
            <v>0.59587343657424174</v>
          </cell>
          <cell r="M158">
            <v>1.2339613989411904</v>
          </cell>
          <cell r="N158">
            <v>1.3558358468278635</v>
          </cell>
          <cell r="O158">
            <v>0.89168188684029603</v>
          </cell>
          <cell r="R158" t="str">
            <v xml:space="preserve">      Compras de productos interorganismos (4)</v>
          </cell>
          <cell r="S158">
            <v>1.1412225402683602</v>
          </cell>
          <cell r="T158">
            <v>0.99670247803181411</v>
          </cell>
          <cell r="U158">
            <v>0.48231092371340012</v>
          </cell>
          <cell r="V158">
            <v>0.8044486551337463</v>
          </cell>
          <cell r="W158">
            <v>5.8597396025006653E-2</v>
          </cell>
          <cell r="X158">
            <v>0.26367133610575599</v>
          </cell>
          <cell r="Y158">
            <v>1.8301379773532852E-2</v>
          </cell>
          <cell r="Z158">
            <v>0.5927250441824905</v>
          </cell>
          <cell r="AC158" t="str">
            <v xml:space="preserve">      Compras de productos interorganismos (4)</v>
          </cell>
          <cell r="AD158">
            <v>0.18614962288071202</v>
          </cell>
          <cell r="AE158">
            <v>0.45482839512386958</v>
          </cell>
          <cell r="AF158">
            <v>0.12632930688447649</v>
          </cell>
          <cell r="AG158">
            <v>0.32402639890795248</v>
          </cell>
          <cell r="AJ158" t="str">
            <v xml:space="preserve">      Compras de productos interorganismos (4)</v>
          </cell>
          <cell r="AK158">
            <v>6.9744697485546563E-3</v>
          </cell>
          <cell r="AL158">
            <v>4.0912228890928014E-3</v>
          </cell>
        </row>
        <row r="159">
          <cell r="B159" t="str">
            <v xml:space="preserve">          Pemex Refinación</v>
          </cell>
          <cell r="C159">
            <v>0.49238278735916741</v>
          </cell>
          <cell r="D159">
            <v>5.7376084529114704E-2</v>
          </cell>
          <cell r="E159">
            <v>0.35756203124328967</v>
          </cell>
          <cell r="F159">
            <v>6.0932644568206989E-2</v>
          </cell>
          <cell r="G159">
            <v>0.15383730766116352</v>
          </cell>
          <cell r="J159" t="str">
            <v xml:space="preserve">          Pemex Refinación</v>
          </cell>
          <cell r="K159">
            <v>0.40811091047445164</v>
          </cell>
          <cell r="L159">
            <v>0.34818470239495453</v>
          </cell>
          <cell r="M159">
            <v>1.008021704881501</v>
          </cell>
          <cell r="N159">
            <v>0.77784005192593564</v>
          </cell>
          <cell r="O159">
            <v>0.49238278735916741</v>
          </cell>
          <cell r="R159" t="str">
            <v xml:space="preserve">          Pemex Refinación</v>
          </cell>
          <cell r="S159">
            <v>0.40876581214630026</v>
          </cell>
          <cell r="T159">
            <v>3.4585824696096723E-2</v>
          </cell>
          <cell r="U159">
            <v>3.0246569220250128E-2</v>
          </cell>
          <cell r="V159">
            <v>5.1525991735713442E-2</v>
          </cell>
          <cell r="W159">
            <v>5.6713379471224193E-2</v>
          </cell>
          <cell r="X159">
            <v>2.444904936211845E-2</v>
          </cell>
          <cell r="Y159">
            <v>1.7921677019769634E-2</v>
          </cell>
          <cell r="Z159">
            <v>5.7376084529114704E-2</v>
          </cell>
          <cell r="AC159" t="str">
            <v xml:space="preserve">          Pemex Refinación</v>
          </cell>
          <cell r="AD159">
            <v>1.8941555523679827E-2</v>
          </cell>
          <cell r="AE159">
            <v>1.6624000795420826E-2</v>
          </cell>
          <cell r="AF159">
            <v>4.630243033554423E-2</v>
          </cell>
          <cell r="AG159">
            <v>6.0932644568206989E-2</v>
          </cell>
          <cell r="AJ159" t="str">
            <v xml:space="preserve">          Pemex Refinación</v>
          </cell>
          <cell r="AK159">
            <v>4.2486325750783508E-3</v>
          </cell>
          <cell r="AL159">
            <v>4.0395598279357138E-3</v>
          </cell>
        </row>
        <row r="160">
          <cell r="B160" t="str">
            <v xml:space="preserve">          Pemex Gas y Petroquímica Básica (4)</v>
          </cell>
          <cell r="C160">
            <v>0.38710194670526565</v>
          </cell>
          <cell r="D160">
            <v>0.52875488985304409</v>
          </cell>
          <cell r="E160">
            <v>0</v>
          </cell>
          <cell r="F160">
            <v>0.26211798365298045</v>
          </cell>
          <cell r="G160">
            <v>0.28424594047471607</v>
          </cell>
          <cell r="J160" t="str">
            <v xml:space="preserve">          Pemex Gas y Petroquímica Básica (4)</v>
          </cell>
          <cell r="K160">
            <v>1.036566740188954</v>
          </cell>
          <cell r="L160">
            <v>0.24350367932914749</v>
          </cell>
          <cell r="M160">
            <v>0.19169317454539261</v>
          </cell>
          <cell r="N160">
            <v>0.56636759088659894</v>
          </cell>
          <cell r="O160">
            <v>0.38710194670526565</v>
          </cell>
          <cell r="R160" t="str">
            <v xml:space="preserve">          Pemex Gas y Petroquímica Básica (4)</v>
          </cell>
          <cell r="S160">
            <v>0.70494327492340447</v>
          </cell>
          <cell r="T160">
            <v>0.95200460253908104</v>
          </cell>
          <cell r="U160">
            <v>0.4501243925412185</v>
          </cell>
          <cell r="V160">
            <v>0.74452064883288227</v>
          </cell>
          <cell r="W160">
            <v>0</v>
          </cell>
          <cell r="X160">
            <v>0.23850187215331928</v>
          </cell>
          <cell r="Y160">
            <v>0</v>
          </cell>
          <cell r="Z160">
            <v>0.52875488985304409</v>
          </cell>
          <cell r="AC160" t="str">
            <v xml:space="preserve">          Pemex Gas y Petroquímica Básica (4)</v>
          </cell>
          <cell r="AD160">
            <v>0.16656810444827996</v>
          </cell>
          <cell r="AE160">
            <v>0.4380261491793685</v>
          </cell>
          <cell r="AF160">
            <v>7.9526246922387855E-2</v>
          </cell>
          <cell r="AG160">
            <v>0.26211798365298045</v>
          </cell>
          <cell r="AJ160" t="str">
            <v xml:space="preserve">          Pemex Gas y Petroquímica Básica (4)</v>
          </cell>
          <cell r="AK160">
            <v>0</v>
          </cell>
          <cell r="AL160">
            <v>0</v>
          </cell>
        </row>
        <row r="161">
          <cell r="B161" t="str">
            <v xml:space="preserve">          Pemex Petroquímica</v>
          </cell>
          <cell r="C161">
            <v>1.2197152775862759E-2</v>
          </cell>
          <cell r="D161">
            <v>6.594069800331624E-3</v>
          </cell>
          <cell r="E161">
            <v>4.5694959824472267E-3</v>
          </cell>
          <cell r="F161">
            <v>9.7577068676508408E-4</v>
          </cell>
          <cell r="G161">
            <v>3.961165939237149E-3</v>
          </cell>
          <cell r="J161" t="str">
            <v xml:space="preserve">          Pemex Petroquímica</v>
          </cell>
          <cell r="K161">
            <v>2.5367958660045379E-2</v>
          </cell>
          <cell r="L161">
            <v>4.1850548501396181E-3</v>
          </cell>
          <cell r="M161">
            <v>3.4246519514296372E-2</v>
          </cell>
          <cell r="N161">
            <v>1.162820401532918E-2</v>
          </cell>
          <cell r="O161">
            <v>1.2197152775862759E-2</v>
          </cell>
          <cell r="R161" t="str">
            <v xml:space="preserve">          Pemex Petroquímica</v>
          </cell>
          <cell r="S161">
            <v>2.751345319865527E-2</v>
          </cell>
          <cell r="T161">
            <v>1.0112050796636775E-2</v>
          </cell>
          <cell r="U161">
            <v>1.9399619519315174E-3</v>
          </cell>
          <cell r="V161">
            <v>8.402014565150346E-3</v>
          </cell>
          <cell r="W161">
            <v>1.8840165537824458E-3</v>
          </cell>
          <cell r="X161">
            <v>7.2041459031825809E-4</v>
          </cell>
          <cell r="Y161">
            <v>3.7970275376321807E-4</v>
          </cell>
          <cell r="Z161">
            <v>6.594069800331624E-3</v>
          </cell>
          <cell r="AC161" t="str">
            <v xml:space="preserve">          Pemex Petroquímica</v>
          </cell>
          <cell r="AD161">
            <v>6.3996290875219383E-4</v>
          </cell>
          <cell r="AE161">
            <v>1.7824514908027186E-4</v>
          </cell>
          <cell r="AF161">
            <v>5.0062962654440072E-4</v>
          </cell>
          <cell r="AG161">
            <v>9.7577068676508408E-4</v>
          </cell>
          <cell r="AJ161" t="str">
            <v xml:space="preserve">          Pemex Petroquímica</v>
          </cell>
          <cell r="AK161">
            <v>2.7258371734763059E-3</v>
          </cell>
          <cell r="AL161">
            <v>5.1663061157087224E-5</v>
          </cell>
        </row>
        <row r="162">
          <cell r="B162" t="str">
            <v xml:space="preserve">      Compras de servicios interorganismos</v>
          </cell>
          <cell r="C162">
            <v>2.4630414513563407E-2</v>
          </cell>
          <cell r="D162">
            <v>8.4834149958972302E-2</v>
          </cell>
          <cell r="E162">
            <v>1.2990291070153186E-2</v>
          </cell>
          <cell r="F162">
            <v>1.2149845792819506E-2</v>
          </cell>
          <cell r="G162">
            <v>3.1212788183990391E-2</v>
          </cell>
          <cell r="J162" t="str">
            <v xml:space="preserve">      Compras de servicios interorganismos</v>
          </cell>
          <cell r="K162">
            <v>9.5695790586684135E-2</v>
          </cell>
          <cell r="L162">
            <v>1.3214454937341851E-3</v>
          </cell>
          <cell r="M162">
            <v>5.9338674236364512E-2</v>
          </cell>
          <cell r="N162">
            <v>4.8397519630650164E-3</v>
          </cell>
          <cell r="O162">
            <v>2.4630414513563407E-2</v>
          </cell>
          <cell r="R162" t="str">
            <v xml:space="preserve">      Compras de servicios interorganismos</v>
          </cell>
          <cell r="S162">
            <v>0.28519767322066419</v>
          </cell>
          <cell r="T162">
            <v>6.4842369586260551E-2</v>
          </cell>
          <cell r="U162">
            <v>8.8436787852881754E-2</v>
          </cell>
          <cell r="V162">
            <v>9.3187378978064395E-2</v>
          </cell>
          <cell r="W162">
            <v>0.2834639227841943</v>
          </cell>
          <cell r="X162">
            <v>2.6307127725171169E-2</v>
          </cell>
          <cell r="Y162">
            <v>7.3190556951876276E-2</v>
          </cell>
          <cell r="Z162">
            <v>8.4834149958972302E-2</v>
          </cell>
          <cell r="AC162" t="str">
            <v xml:space="preserve">      Compras de servicios interorganismos</v>
          </cell>
          <cell r="AD162">
            <v>1.2935499208248536E-2</v>
          </cell>
          <cell r="AE162">
            <v>9.4072434107967014E-3</v>
          </cell>
          <cell r="AF162">
            <v>4.7831305790126217E-3</v>
          </cell>
          <cell r="AG162">
            <v>1.2149845792819506E-2</v>
          </cell>
          <cell r="AJ162" t="str">
            <v xml:space="preserve">      Compras de servicios interorganismos</v>
          </cell>
          <cell r="AK162">
            <v>1.7123297998576471E-2</v>
          </cell>
          <cell r="AL162">
            <v>8.6537227235242778E-3</v>
          </cell>
        </row>
        <row r="163">
          <cell r="B163" t="str">
            <v xml:space="preserve">          Pemex Refinación</v>
          </cell>
          <cell r="C163">
            <v>7.2863901568148894E-3</v>
          </cell>
          <cell r="D163">
            <v>7.0697469199245286E-2</v>
          </cell>
          <cell r="E163">
            <v>1.2990291070153186E-2</v>
          </cell>
          <cell r="F163">
            <v>1.2149845792819506E-2</v>
          </cell>
          <cell r="G163">
            <v>2.6383347844588866E-2</v>
          </cell>
          <cell r="J163" t="str">
            <v xml:space="preserve">          Pemex Refinación</v>
          </cell>
          <cell r="K163">
            <v>3.9331659109134026E-3</v>
          </cell>
          <cell r="L163">
            <v>2.313270436607617E-4</v>
          </cell>
          <cell r="M163">
            <v>3.8766443002183938E-2</v>
          </cell>
          <cell r="N163">
            <v>7.934859004930961E-5</v>
          </cell>
          <cell r="O163">
            <v>7.2863901568148894E-3</v>
          </cell>
          <cell r="R163" t="str">
            <v xml:space="preserve">          Pemex Refinación</v>
          </cell>
          <cell r="S163">
            <v>1.6433817313048358E-2</v>
          </cell>
          <cell r="T163">
            <v>6.4842369586260551E-2</v>
          </cell>
          <cell r="U163">
            <v>8.8436787852881754E-2</v>
          </cell>
          <cell r="V163">
            <v>9.3187378978064395E-2</v>
          </cell>
          <cell r="W163">
            <v>0.25454278265215247</v>
          </cell>
          <cell r="X163">
            <v>2.6307127725171169E-2</v>
          </cell>
          <cell r="Y163">
            <v>7.3190556951876276E-2</v>
          </cell>
          <cell r="Z163">
            <v>7.0697469199245286E-2</v>
          </cell>
          <cell r="AC163" t="str">
            <v xml:space="preserve">          Pemex Refinación</v>
          </cell>
          <cell r="AD163">
            <v>1.2935499208248536E-2</v>
          </cell>
          <cell r="AE163">
            <v>9.4072434107967014E-3</v>
          </cell>
          <cell r="AF163">
            <v>4.7831305790126217E-3</v>
          </cell>
          <cell r="AG163">
            <v>1.2149845792819506E-2</v>
          </cell>
          <cell r="AJ163" t="str">
            <v xml:space="preserve">          Pemex Refinación</v>
          </cell>
          <cell r="AK163">
            <v>1.7123297998576471E-2</v>
          </cell>
          <cell r="AL163">
            <v>8.6537227235242778E-3</v>
          </cell>
        </row>
        <row r="164">
          <cell r="B164" t="str">
            <v xml:space="preserve">          Pemex Gas y Petroquímica Básica</v>
          </cell>
          <cell r="C164">
            <v>1.7344024356748519E-2</v>
          </cell>
          <cell r="D164">
            <v>1.3828074547992937E-2</v>
          </cell>
          <cell r="E164">
            <v>0</v>
          </cell>
          <cell r="F164">
            <v>0</v>
          </cell>
          <cell r="G164">
            <v>4.7533310527149127E-3</v>
          </cell>
          <cell r="J164" t="str">
            <v xml:space="preserve">          Pemex Gas y Petroquímica Básica</v>
          </cell>
          <cell r="K164">
            <v>9.1762624675770718E-2</v>
          </cell>
          <cell r="L164">
            <v>1.0901184500734236E-3</v>
          </cell>
          <cell r="M164">
            <v>2.057223123418056E-2</v>
          </cell>
          <cell r="N164">
            <v>4.7604033730157067E-3</v>
          </cell>
          <cell r="O164">
            <v>1.7344024356748519E-2</v>
          </cell>
          <cell r="R164" t="str">
            <v xml:space="preserve">          Pemex Gas y Petroquímica Básica</v>
          </cell>
          <cell r="S164">
            <v>0.26872667939958794</v>
          </cell>
          <cell r="T164">
            <v>0</v>
          </cell>
          <cell r="U164">
            <v>0</v>
          </cell>
          <cell r="V164">
            <v>0</v>
          </cell>
          <cell r="W164">
            <v>2.8921140132041813E-2</v>
          </cell>
          <cell r="X164">
            <v>0</v>
          </cell>
          <cell r="Y164">
            <v>0</v>
          </cell>
          <cell r="Z164">
            <v>1.3828074547992937E-2</v>
          </cell>
          <cell r="AC164" t="str">
            <v xml:space="preserve">          Pemex Gas y Petroquímica Básica</v>
          </cell>
          <cell r="AD164">
            <v>0</v>
          </cell>
          <cell r="AE164">
            <v>0</v>
          </cell>
          <cell r="AF164">
            <v>0</v>
          </cell>
          <cell r="AG164">
            <v>0</v>
          </cell>
          <cell r="AJ164" t="str">
            <v xml:space="preserve">          Pemex Gas y Petroquímica Básica</v>
          </cell>
          <cell r="AK164">
            <v>0</v>
          </cell>
          <cell r="AL164">
            <v>0</v>
          </cell>
        </row>
        <row r="165">
          <cell r="B165" t="str">
            <v xml:space="preserve">          Pemex Petroquímica</v>
          </cell>
          <cell r="C165">
            <v>0</v>
          </cell>
          <cell r="D165">
            <v>3.0860621173407348E-4</v>
          </cell>
          <cell r="E165">
            <v>0</v>
          </cell>
          <cell r="F165">
            <v>0</v>
          </cell>
          <cell r="G165">
            <v>7.6109286686607802E-5</v>
          </cell>
          <cell r="J165" t="str">
            <v xml:space="preserve">          Pemex Petroquímica</v>
          </cell>
          <cell r="K165">
            <v>0</v>
          </cell>
          <cell r="L165">
            <v>0</v>
          </cell>
          <cell r="M165">
            <v>0</v>
          </cell>
          <cell r="N165">
            <v>0</v>
          </cell>
          <cell r="O165">
            <v>0</v>
          </cell>
          <cell r="R165" t="str">
            <v xml:space="preserve">          Pemex Petroquímica</v>
          </cell>
          <cell r="S165">
            <v>3.717650802795366E-5</v>
          </cell>
          <cell r="T165">
            <v>0</v>
          </cell>
          <cell r="U165">
            <v>0</v>
          </cell>
          <cell r="V165">
            <v>0</v>
          </cell>
          <cell r="W165">
            <v>0</v>
          </cell>
          <cell r="X165">
            <v>0</v>
          </cell>
          <cell r="Y165">
            <v>0</v>
          </cell>
          <cell r="Z165">
            <v>3.0860621173407348E-4</v>
          </cell>
          <cell r="AC165" t="str">
            <v xml:space="preserve">          Pemex Petroquímica</v>
          </cell>
          <cell r="AD165">
            <v>0</v>
          </cell>
          <cell r="AE165">
            <v>0</v>
          </cell>
          <cell r="AF165">
            <v>0</v>
          </cell>
          <cell r="AG165">
            <v>0</v>
          </cell>
          <cell r="AJ165" t="str">
            <v xml:space="preserve">          Pemex Petroquímica</v>
          </cell>
          <cell r="AK165">
            <v>0</v>
          </cell>
          <cell r="AL165">
            <v>0</v>
          </cell>
        </row>
        <row r="166">
          <cell r="B166" t="str">
            <v xml:space="preserve">     Compras de productos y servicios interregiones</v>
          </cell>
          <cell r="C166">
            <v>0</v>
          </cell>
          <cell r="D166">
            <v>1.2025245232151425E-2</v>
          </cell>
          <cell r="E166">
            <v>0.2350637423965112</v>
          </cell>
          <cell r="F166">
            <v>9.8106668866778088E-2</v>
          </cell>
          <cell r="G166">
            <v>0</v>
          </cell>
          <cell r="J166" t="str">
            <v xml:space="preserve">     Compras de productos y servicios interregiones</v>
          </cell>
          <cell r="K166">
            <v>0</v>
          </cell>
          <cell r="L166">
            <v>0</v>
          </cell>
          <cell r="M166">
            <v>0</v>
          </cell>
          <cell r="N166">
            <v>0</v>
          </cell>
          <cell r="O166">
            <v>0</v>
          </cell>
          <cell r="R166" t="str">
            <v xml:space="preserve">     Compras de productos y servicios interregiones</v>
          </cell>
          <cell r="S166">
            <v>0</v>
          </cell>
          <cell r="T166">
            <v>1.1391672905946023E-2</v>
          </cell>
          <cell r="U166">
            <v>1.5416930007546801E-2</v>
          </cell>
          <cell r="V166">
            <v>1.7682158697959874E-2</v>
          </cell>
          <cell r="W166">
            <v>3.1906030707247783E-2</v>
          </cell>
          <cell r="X166">
            <v>4.5159283799703813E-3</v>
          </cell>
          <cell r="Y166">
            <v>1.3020693797615779E-2</v>
          </cell>
          <cell r="Z166">
            <v>1.2025245232151425E-2</v>
          </cell>
          <cell r="AC166" t="str">
            <v xml:space="preserve">     Compras de productos y servicios interregiones</v>
          </cell>
          <cell r="AD166">
            <v>0.10271081194166949</v>
          </cell>
          <cell r="AE166">
            <v>8.541989986344492E-2</v>
          </cell>
          <cell r="AF166">
            <v>3.4287666904892537E-2</v>
          </cell>
          <cell r="AG166">
            <v>9.8106668866778088E-2</v>
          </cell>
          <cell r="AJ166" t="str">
            <v xml:space="preserve">     Compras de productos y servicios interregiones</v>
          </cell>
          <cell r="AK166">
            <v>0.22906761331620429</v>
          </cell>
          <cell r="AL166">
            <v>0.22490283591429652</v>
          </cell>
        </row>
        <row r="167">
          <cell r="B167" t="str">
            <v xml:space="preserve">      Compras de productos y servicios interdistritos</v>
          </cell>
          <cell r="C167">
            <v>0</v>
          </cell>
          <cell r="D167">
            <v>0</v>
          </cell>
          <cell r="E167">
            <v>0</v>
          </cell>
          <cell r="F167">
            <v>0</v>
          </cell>
          <cell r="G167">
            <v>0</v>
          </cell>
          <cell r="J167" t="str">
            <v xml:space="preserve">      Compras de productos y servicios interdistritos</v>
          </cell>
          <cell r="K167">
            <v>0</v>
          </cell>
          <cell r="L167">
            <v>0</v>
          </cell>
          <cell r="M167">
            <v>0</v>
          </cell>
          <cell r="N167">
            <v>0</v>
          </cell>
          <cell r="O167">
            <v>0</v>
          </cell>
          <cell r="R167" t="str">
            <v xml:space="preserve">      Compras de productos y servicios interdistritos</v>
          </cell>
          <cell r="S167">
            <v>0</v>
          </cell>
          <cell r="T167">
            <v>5.3168800513423604E-2</v>
          </cell>
          <cell r="U167">
            <v>5.2966229517275795E-2</v>
          </cell>
          <cell r="V167">
            <v>5.9697286330816383E-2</v>
          </cell>
          <cell r="W167">
            <v>3.209824383285364E-3</v>
          </cell>
          <cell r="X167">
            <v>2.2650214004268976E-2</v>
          </cell>
          <cell r="Y167">
            <v>4.5346659020111819E-2</v>
          </cell>
          <cell r="Z167">
            <v>0</v>
          </cell>
          <cell r="AC167" t="str">
            <v xml:space="preserve">      Compras de productos y servicios interdistritos</v>
          </cell>
          <cell r="AD167">
            <v>0.32619529877488918</v>
          </cell>
          <cell r="AE167">
            <v>0.26724806248572147</v>
          </cell>
          <cell r="AF167">
            <v>5.9103065544517365E-2</v>
          </cell>
          <cell r="AG167">
            <v>0</v>
          </cell>
          <cell r="AJ167" t="str">
            <v xml:space="preserve">      Compras de productos y servicios interdistritos</v>
          </cell>
          <cell r="AK167">
            <v>0</v>
          </cell>
          <cell r="AL167">
            <v>6.1557610932670939E-2</v>
          </cell>
        </row>
        <row r="168">
          <cell r="B168" t="str">
            <v xml:space="preserve">      Servicios del corporativo</v>
          </cell>
          <cell r="C168">
            <v>0.39326588394048861</v>
          </cell>
          <cell r="D168">
            <v>0.15394382109579835</v>
          </cell>
          <cell r="E168">
            <v>7.3091767520138032E-2</v>
          </cell>
          <cell r="F168">
            <v>4.1069737054744156E-2</v>
          </cell>
          <cell r="G168">
            <v>0.10758355599873087</v>
          </cell>
          <cell r="J168" t="str">
            <v xml:space="preserve">      Servicios del corporativo</v>
          </cell>
          <cell r="K168">
            <v>0.6859211827295898</v>
          </cell>
          <cell r="L168">
            <v>9.3418759031399096E-2</v>
          </cell>
          <cell r="M168">
            <v>0.49333227436188265</v>
          </cell>
          <cell r="N168">
            <v>0.18557004839276847</v>
          </cell>
          <cell r="O168">
            <v>0.39326588394048861</v>
          </cell>
          <cell r="R168" t="str">
            <v xml:space="preserve">      Servicios del corporativo</v>
          </cell>
          <cell r="S168">
            <v>0.66065609170163553</v>
          </cell>
          <cell r="T168">
            <v>8.8934360032843246E-2</v>
          </cell>
          <cell r="U168">
            <v>0.10267861237795597</v>
          </cell>
          <cell r="V168">
            <v>8.9686367329325084E-2</v>
          </cell>
          <cell r="W168">
            <v>0.30341342801812571</v>
          </cell>
          <cell r="X168">
            <v>4.576086231483055E-2</v>
          </cell>
          <cell r="Y168">
            <v>2.9432056960122868E-2</v>
          </cell>
          <cell r="Z168">
            <v>0.15394382109579835</v>
          </cell>
          <cell r="AC168" t="str">
            <v xml:space="preserve">      Servicios del corporativo</v>
          </cell>
          <cell r="AD168">
            <v>1.5912523444184305E-2</v>
          </cell>
          <cell r="AE168">
            <v>1.6913619069228735E-2</v>
          </cell>
          <cell r="AF168">
            <v>6.4380439740589449E-2</v>
          </cell>
          <cell r="AG168">
            <v>4.1069737054744156E-2</v>
          </cell>
          <cell r="AJ168" t="str">
            <v xml:space="preserve">      Servicios del corporativo</v>
          </cell>
          <cell r="AK168">
            <v>1.8634495003685404E-2</v>
          </cell>
          <cell r="AL168">
            <v>2.4656562260488013E-2</v>
          </cell>
        </row>
        <row r="169">
          <cell r="B169" t="str">
            <v xml:space="preserve">          Médicos</v>
          </cell>
          <cell r="C169">
            <v>0.29604582333880947</v>
          </cell>
          <cell r="D169">
            <v>0.11588705535855826</v>
          </cell>
          <cell r="E169">
            <v>5.5022602613394013E-2</v>
          </cell>
          <cell r="F169">
            <v>3.0916803567760519E-2</v>
          </cell>
          <cell r="G169">
            <v>8.0987605811941518E-2</v>
          </cell>
          <cell r="J169" t="str">
            <v xml:space="preserve">          Médicos</v>
          </cell>
          <cell r="K169">
            <v>0.51635320129578155</v>
          </cell>
          <cell r="L169">
            <v>7.0324518465362806E-2</v>
          </cell>
          <cell r="M169">
            <v>0.37137458726842737</v>
          </cell>
          <cell r="N169">
            <v>0.13969488938259206</v>
          </cell>
          <cell r="O169">
            <v>0.29604582333880947</v>
          </cell>
          <cell r="R169" t="str">
            <v xml:space="preserve">          Médicos</v>
          </cell>
          <cell r="S169">
            <v>0.49733395819070869</v>
          </cell>
          <cell r="T169">
            <v>6.6948712447467862E-2</v>
          </cell>
          <cell r="U169">
            <v>7.7295224681649954E-2</v>
          </cell>
          <cell r="V169">
            <v>6.7514815220904467E-2</v>
          </cell>
          <cell r="W169">
            <v>0.22840597073873717</v>
          </cell>
          <cell r="X169">
            <v>3.444822700062506E-2</v>
          </cell>
          <cell r="Y169">
            <v>2.2156099702492431E-2</v>
          </cell>
          <cell r="Z169">
            <v>0.11588705535855826</v>
          </cell>
          <cell r="AC169" t="str">
            <v xml:space="preserve">          Médicos</v>
          </cell>
          <cell r="AD169">
            <v>1.197875618207298E-2</v>
          </cell>
          <cell r="AE169">
            <v>1.2732367210671551E-2</v>
          </cell>
          <cell r="AF169">
            <v>4.846481463035246E-2</v>
          </cell>
          <cell r="AG169">
            <v>3.0916803567760519E-2</v>
          </cell>
          <cell r="AJ169" t="str">
            <v xml:space="preserve">          Médicos</v>
          </cell>
          <cell r="AK169">
            <v>1.4027825454807826E-2</v>
          </cell>
          <cell r="AL169">
            <v>1.8561160203909181E-2</v>
          </cell>
        </row>
        <row r="170">
          <cell r="B170" t="str">
            <v xml:space="preserve">          Telecomunicaciones</v>
          </cell>
          <cell r="C170">
            <v>9.7220060601679079E-2</v>
          </cell>
          <cell r="D170">
            <v>3.8056765737240095E-2</v>
          </cell>
          <cell r="E170">
            <v>1.8069164906744019E-2</v>
          </cell>
          <cell r="F170">
            <v>1.0152933486983639E-2</v>
          </cell>
          <cell r="G170">
            <v>2.6595950186789334E-2</v>
          </cell>
          <cell r="J170" t="str">
            <v xml:space="preserve">          Telecomunicaciones</v>
          </cell>
          <cell r="K170">
            <v>0.16956798143380836</v>
          </cell>
          <cell r="L170">
            <v>2.3094240566036303E-2</v>
          </cell>
          <cell r="M170">
            <v>0.12195768709345529</v>
          </cell>
          <cell r="N170">
            <v>4.5875159010176463E-2</v>
          </cell>
          <cell r="O170">
            <v>9.7220060601679079E-2</v>
          </cell>
          <cell r="R170" t="str">
            <v xml:space="preserve">          Telecomunicaciones</v>
          </cell>
          <cell r="S170">
            <v>0.16332213351092675</v>
          </cell>
          <cell r="T170">
            <v>2.1985647585375398E-2</v>
          </cell>
          <cell r="U170">
            <v>2.5383387696306013E-2</v>
          </cell>
          <cell r="V170">
            <v>2.217155210842061E-2</v>
          </cell>
          <cell r="W170">
            <v>7.500745727938847E-2</v>
          </cell>
          <cell r="X170">
            <v>1.1312635314205483E-2</v>
          </cell>
          <cell r="Y170">
            <v>7.2759572576304374E-3</v>
          </cell>
          <cell r="Z170">
            <v>3.8056765737240095E-2</v>
          </cell>
          <cell r="AC170" t="str">
            <v xml:space="preserve">          Telecomunicaciones</v>
          </cell>
          <cell r="AD170">
            <v>3.9337672621113252E-3</v>
          </cell>
          <cell r="AE170">
            <v>4.1812518585571841E-3</v>
          </cell>
          <cell r="AF170">
            <v>1.5915625110236982E-2</v>
          </cell>
          <cell r="AG170">
            <v>1.0152933486983639E-2</v>
          </cell>
          <cell r="AJ170" t="str">
            <v xml:space="preserve">          Telecomunicaciones</v>
          </cell>
          <cell r="AK170">
            <v>4.6066695488775804E-3</v>
          </cell>
          <cell r="AL170">
            <v>6.0954020565788334E-3</v>
          </cell>
        </row>
        <row r="171">
          <cell r="B171" t="str">
            <v xml:space="preserve">      Recuperación de costos (-)</v>
          </cell>
          <cell r="C171">
            <v>0</v>
          </cell>
          <cell r="D171">
            <v>0.16685315775659554</v>
          </cell>
          <cell r="E171">
            <v>0.14477670089698208</v>
          </cell>
          <cell r="F171">
            <v>4.7865168919492246E-2</v>
          </cell>
          <cell r="G171">
            <v>0</v>
          </cell>
          <cell r="J171" t="str">
            <v xml:space="preserve">      Recuperación de costos (-)</v>
          </cell>
          <cell r="K171">
            <v>0</v>
          </cell>
          <cell r="L171">
            <v>0</v>
          </cell>
          <cell r="M171">
            <v>0</v>
          </cell>
          <cell r="N171">
            <v>0</v>
          </cell>
          <cell r="O171">
            <v>0</v>
          </cell>
          <cell r="R171" t="str">
            <v xml:space="preserve">      Recuperación de costos (-)</v>
          </cell>
          <cell r="S171">
            <v>1.7258124054235477</v>
          </cell>
          <cell r="T171">
            <v>0.10032724221485745</v>
          </cell>
          <cell r="U171">
            <v>0</v>
          </cell>
          <cell r="V171">
            <v>0.38734793261509576</v>
          </cell>
          <cell r="W171">
            <v>6.198892900941242E-2</v>
          </cell>
          <cell r="X171">
            <v>0.12931596957208977</v>
          </cell>
          <cell r="Y171">
            <v>0</v>
          </cell>
          <cell r="Z171">
            <v>0.16685315775659554</v>
          </cell>
          <cell r="AC171" t="str">
            <v xml:space="preserve">      Recuperación de costos (-)</v>
          </cell>
          <cell r="AD171">
            <v>0</v>
          </cell>
          <cell r="AE171">
            <v>0</v>
          </cell>
          <cell r="AF171">
            <v>0</v>
          </cell>
          <cell r="AG171">
            <v>4.7865168919492246E-2</v>
          </cell>
          <cell r="AJ171" t="str">
            <v xml:space="preserve">      Recuperación de costos (-)</v>
          </cell>
          <cell r="AK171">
            <v>0.12701851321008178</v>
          </cell>
          <cell r="AL171">
            <v>0</v>
          </cell>
        </row>
        <row r="172">
          <cell r="B172" t="str">
            <v xml:space="preserve">      Reserva Explor. y Declin. Campos</v>
          </cell>
          <cell r="C172">
            <v>0.56937400982585884</v>
          </cell>
          <cell r="D172">
            <v>0.56962086712452498</v>
          </cell>
          <cell r="E172">
            <v>0.56960795872712411</v>
          </cell>
          <cell r="F172">
            <v>0.56889663518335887</v>
          </cell>
          <cell r="G172">
            <v>0.56925687890730914</v>
          </cell>
          <cell r="J172" t="str">
            <v xml:space="preserve">      Reserva Explor. y Declin. Campos</v>
          </cell>
          <cell r="K172">
            <v>0.56955965805494524</v>
          </cell>
          <cell r="L172">
            <v>0.56927602916090525</v>
          </cell>
          <cell r="M172">
            <v>0.56961191285148005</v>
          </cell>
          <cell r="N172">
            <v>0.5693839809490191</v>
          </cell>
          <cell r="O172">
            <v>0.56937400982585884</v>
          </cell>
          <cell r="R172" t="str">
            <v xml:space="preserve">      Reserva Explor. y Declin. Campos</v>
          </cell>
          <cell r="S172">
            <v>0.56933780836458048</v>
          </cell>
          <cell r="T172">
            <v>0.56958273277609628</v>
          </cell>
          <cell r="U172">
            <v>0.56956655070567885</v>
          </cell>
          <cell r="V172">
            <v>0.56985885165338146</v>
          </cell>
          <cell r="W172">
            <v>0.56893704634281006</v>
          </cell>
          <cell r="X172">
            <v>0.56969293874191007</v>
          </cell>
          <cell r="Y172">
            <v>0.56959750851607394</v>
          </cell>
          <cell r="Z172">
            <v>0.56962086712452498</v>
          </cell>
          <cell r="AC172" t="str">
            <v xml:space="preserve">      Reserva Explor. y Declin. Campos</v>
          </cell>
          <cell r="AD172">
            <v>0.56871504166088827</v>
          </cell>
          <cell r="AE172">
            <v>0.56978303281508591</v>
          </cell>
          <cell r="AF172">
            <v>0.56862413194698902</v>
          </cell>
          <cell r="AG172">
            <v>0.56889663518335887</v>
          </cell>
          <cell r="AJ172" t="str">
            <v xml:space="preserve">      Reserva Explor. y Declin. Campos</v>
          </cell>
          <cell r="AK172">
            <v>0.56958116781182011</v>
          </cell>
          <cell r="AL172">
            <v>0.56971041403040124</v>
          </cell>
        </row>
        <row r="173">
          <cell r="B173" t="str">
            <v xml:space="preserve">   Fijos</v>
          </cell>
          <cell r="C173">
            <v>6.5792657805791928</v>
          </cell>
          <cell r="D173">
            <v>2.825556179341183</v>
          </cell>
          <cell r="E173">
            <v>2.1560318483494632</v>
          </cell>
          <cell r="F173">
            <v>1.1857998643936396</v>
          </cell>
          <cell r="G173">
            <v>2.5553757668350756</v>
          </cell>
          <cell r="J173" t="str">
            <v xml:space="preserve">   Fijos</v>
          </cell>
          <cell r="K173">
            <v>11.268037511683064</v>
          </cell>
          <cell r="L173">
            <v>4.0114502024086356</v>
          </cell>
          <cell r="M173">
            <v>8.9739879802518505</v>
          </cell>
          <cell r="N173">
            <v>3.8206330876253056</v>
          </cell>
          <cell r="O173">
            <v>6.5792657805791928</v>
          </cell>
          <cell r="R173" t="str">
            <v xml:space="preserve">   Fijos</v>
          </cell>
          <cell r="S173">
            <v>14.080084997574206</v>
          </cell>
          <cell r="T173">
            <v>2.0041891361186512</v>
          </cell>
          <cell r="U173">
            <v>2.3680546263822175</v>
          </cell>
          <cell r="V173">
            <v>1.903186239265872</v>
          </cell>
          <cell r="W173">
            <v>5.1533299223282123</v>
          </cell>
          <cell r="X173">
            <v>1.0633762338179695</v>
          </cell>
          <cell r="Y173">
            <v>1.2846151721989509</v>
          </cell>
          <cell r="Z173">
            <v>2.825556179341183</v>
          </cell>
          <cell r="AC173" t="str">
            <v xml:space="preserve">   Fijos</v>
          </cell>
          <cell r="AD173">
            <v>0.697081128210152</v>
          </cell>
          <cell r="AE173">
            <v>0.89214146823733631</v>
          </cell>
          <cell r="AF173">
            <v>5.1871744964241584</v>
          </cell>
          <cell r="AG173">
            <v>1.1857998643936396</v>
          </cell>
          <cell r="AJ173" t="str">
            <v xml:space="preserve">   Fijos</v>
          </cell>
          <cell r="AK173">
            <v>1.0237533727320061</v>
          </cell>
          <cell r="AL173">
            <v>1.3080887221644755</v>
          </cell>
        </row>
        <row r="174">
          <cell r="B174" t="str">
            <v xml:space="preserve">      SIDIP - Jubilaciones + RPLC</v>
          </cell>
          <cell r="C174">
            <v>3.5623007656207033</v>
          </cell>
          <cell r="D174">
            <v>1.7090221091788118</v>
          </cell>
          <cell r="E174">
            <v>1.1681903927114867</v>
          </cell>
          <cell r="F174">
            <v>0.74391604801846012</v>
          </cell>
          <cell r="G174">
            <v>1.6335196044913125</v>
          </cell>
          <cell r="J174" t="str">
            <v xml:space="preserve">      SIDIP - Jubilaciones + RPLC</v>
          </cell>
          <cell r="K174">
            <v>8.1662223151476834</v>
          </cell>
          <cell r="L174">
            <v>1.1995891224740813</v>
          </cell>
          <cell r="M174">
            <v>6.2903128691011583</v>
          </cell>
          <cell r="N174">
            <v>2.3499638537357415</v>
          </cell>
          <cell r="O174">
            <v>3.5623007656207033</v>
          </cell>
          <cell r="R174" t="str">
            <v xml:space="preserve">      SIDIP - Jubilaciones + RPLC</v>
          </cell>
          <cell r="S174">
            <v>8.2005261592963734</v>
          </cell>
          <cell r="T174">
            <v>1.2091408365928438</v>
          </cell>
          <cell r="U174">
            <v>1.402005745290831</v>
          </cell>
          <cell r="V174">
            <v>1.1569675343390362</v>
          </cell>
          <cell r="W174">
            <v>3.9700675766243543</v>
          </cell>
          <cell r="X174">
            <v>0.55148523539612837</v>
          </cell>
          <cell r="Y174">
            <v>0.57471825586662206</v>
          </cell>
          <cell r="Z174">
            <v>1.7090221091788118</v>
          </cell>
          <cell r="AC174" t="str">
            <v xml:space="preserve">      SIDIP - Jubilaciones + RPLC</v>
          </cell>
          <cell r="AD174">
            <v>0.45962109566907133</v>
          </cell>
          <cell r="AE174">
            <v>0.33504901154070726</v>
          </cell>
          <cell r="AF174">
            <v>1.6723077828466137</v>
          </cell>
          <cell r="AG174">
            <v>0.74391604801846012</v>
          </cell>
          <cell r="AJ174" t="str">
            <v xml:space="preserve">      SIDIP - Jubilaciones + RPLC</v>
          </cell>
          <cell r="AK174">
            <v>0.33636162431103067</v>
          </cell>
          <cell r="AL174">
            <v>0.49391856903921638</v>
          </cell>
        </row>
        <row r="175">
          <cell r="B175" t="str">
            <v xml:space="preserve">         Gastos de Operación (SIDIP)</v>
          </cell>
          <cell r="C175">
            <v>2.1233497807512438</v>
          </cell>
          <cell r="D175">
            <v>0.9518555742236775</v>
          </cell>
          <cell r="E175">
            <v>0.68059053216364762</v>
          </cell>
          <cell r="F175">
            <v>0.5228005977017478</v>
          </cell>
          <cell r="G175">
            <v>0.91728512580080424</v>
          </cell>
          <cell r="J175" t="str">
            <v xml:space="preserve">         Gastos de Operación (SIDIP)</v>
          </cell>
          <cell r="K175">
            <v>4.6335686037416286</v>
          </cell>
          <cell r="L175">
            <v>0.74312680592439528</v>
          </cell>
          <cell r="M175">
            <v>3.753571415506419</v>
          </cell>
          <cell r="N175">
            <v>1.3926276765121302</v>
          </cell>
          <cell r="O175">
            <v>2.1233497807512438</v>
          </cell>
          <cell r="R175" t="str">
            <v xml:space="preserve">         Gastos de Operación (SIDIP)</v>
          </cell>
          <cell r="S175">
            <v>4.3946826978006461</v>
          </cell>
          <cell r="T175">
            <v>0.65168011761052902</v>
          </cell>
          <cell r="U175">
            <v>0.79414065507954212</v>
          </cell>
          <cell r="V175">
            <v>0.69985418651310705</v>
          </cell>
          <cell r="W175">
            <v>2.1052270236110453</v>
          </cell>
          <cell r="X175">
            <v>0.34595309078382036</v>
          </cell>
          <cell r="Y175">
            <v>0.30445611154027663</v>
          </cell>
          <cell r="Z175">
            <v>0.9518555742236775</v>
          </cell>
          <cell r="AC175" t="str">
            <v xml:space="preserve">         Gastos de Operación (SIDIP)</v>
          </cell>
          <cell r="AD175">
            <v>0.37661057348429533</v>
          </cell>
          <cell r="AE175">
            <v>0.21631948903064918</v>
          </cell>
          <cell r="AF175">
            <v>1.0803917945913046</v>
          </cell>
          <cell r="AG175">
            <v>0.5228005977017478</v>
          </cell>
          <cell r="AJ175" t="str">
            <v xml:space="preserve">         Gastos de Operación (SIDIP)</v>
          </cell>
          <cell r="AK175">
            <v>0.19685274127985949</v>
          </cell>
          <cell r="AL175">
            <v>0.290976167123211</v>
          </cell>
        </row>
        <row r="176">
          <cell r="B176" t="str">
            <v xml:space="preserve">             Servicios Personales  (2)</v>
          </cell>
          <cell r="C176">
            <v>1.449902224814833</v>
          </cell>
          <cell r="D176">
            <v>0.66806135401580524</v>
          </cell>
          <cell r="E176">
            <v>0.38542739403308007</v>
          </cell>
          <cell r="F176">
            <v>0.16194490768665029</v>
          </cell>
          <cell r="G176">
            <v>0.4881375951095468</v>
          </cell>
          <cell r="J176" t="str">
            <v xml:space="preserve">             Servicios Personales  (2)</v>
          </cell>
          <cell r="K176">
            <v>3.3992394419110599</v>
          </cell>
          <cell r="L176">
            <v>0.46234681908388098</v>
          </cell>
          <cell r="M176">
            <v>2.4575893911556861</v>
          </cell>
          <cell r="N176">
            <v>1.009596507724654</v>
          </cell>
          <cell r="O176">
            <v>1.449902224814833</v>
          </cell>
          <cell r="R176" t="str">
            <v xml:space="preserve">             Servicios Personales  (2)</v>
          </cell>
          <cell r="S176">
            <v>3.390324926404706</v>
          </cell>
          <cell r="T176">
            <v>0.44197476474239383</v>
          </cell>
          <cell r="U176">
            <v>0.57889581489167508</v>
          </cell>
          <cell r="V176">
            <v>0.45868109981852767</v>
          </cell>
          <cell r="W176">
            <v>1.5879366291054697</v>
          </cell>
          <cell r="X176">
            <v>0.25307970347520092</v>
          </cell>
          <cell r="Y176">
            <v>0.19386423333112884</v>
          </cell>
          <cell r="Z176">
            <v>0.66806135401580524</v>
          </cell>
          <cell r="AC176" t="str">
            <v xml:space="preserve">             Servicios Personales  (2)</v>
          </cell>
          <cell r="AD176">
            <v>7.6780873101379141E-2</v>
          </cell>
          <cell r="AE176">
            <v>8.4556301418818813E-2</v>
          </cell>
          <cell r="AF176">
            <v>0.5027407930771205</v>
          </cell>
          <cell r="AG176">
            <v>0.16194490768665029</v>
          </cell>
          <cell r="AJ176" t="str">
            <v xml:space="preserve">             Servicios Personales  (2)</v>
          </cell>
          <cell r="AK176">
            <v>0.1414867820958437</v>
          </cell>
          <cell r="AL176">
            <v>0.19583022357922522</v>
          </cell>
        </row>
        <row r="177">
          <cell r="B177" t="str">
            <v xml:space="preserve">             Materiales y Suministros</v>
          </cell>
          <cell r="C177">
            <v>0.13298033772366555</v>
          </cell>
          <cell r="D177">
            <v>6.8254915011376649E-2</v>
          </cell>
          <cell r="E177">
            <v>7.1485475986594521E-2</v>
          </cell>
          <cell r="F177">
            <v>0.13185343377452333</v>
          </cell>
          <cell r="G177">
            <v>0.10533079764483705</v>
          </cell>
          <cell r="J177" t="str">
            <v xml:space="preserve">             Materiales y Suministros</v>
          </cell>
          <cell r="K177">
            <v>0.34282964517110365</v>
          </cell>
          <cell r="L177">
            <v>4.4084036587407116E-2</v>
          </cell>
          <cell r="M177">
            <v>0.28342271445414313</v>
          </cell>
          <cell r="N177">
            <v>8.6327875982302987E-2</v>
          </cell>
          <cell r="O177">
            <v>0.13298033772366555</v>
          </cell>
          <cell r="R177" t="str">
            <v xml:space="preserve">             Materiales y Suministros</v>
          </cell>
          <cell r="S177">
            <v>0.34986347333339141</v>
          </cell>
          <cell r="T177">
            <v>4.7420011864520099E-2</v>
          </cell>
          <cell r="U177">
            <v>5.0504592538185046E-2</v>
          </cell>
          <cell r="V177">
            <v>7.8138034921006475E-2</v>
          </cell>
          <cell r="W177">
            <v>0.14708279974449789</v>
          </cell>
          <cell r="X177">
            <v>1.8721690844597249E-2</v>
          </cell>
          <cell r="Y177">
            <v>2.5878260736740745E-2</v>
          </cell>
          <cell r="Z177">
            <v>6.8254915011376649E-2</v>
          </cell>
          <cell r="AC177" t="str">
            <v xml:space="preserve">             Materiales y Suministros</v>
          </cell>
          <cell r="AD177">
            <v>0.13467760317093383</v>
          </cell>
          <cell r="AE177">
            <v>2.6246498600748108E-2</v>
          </cell>
          <cell r="AF177">
            <v>5.4482849860481623E-2</v>
          </cell>
          <cell r="AG177">
            <v>0.13185343377452333</v>
          </cell>
          <cell r="AJ177" t="str">
            <v xml:space="preserve">             Materiales y Suministros</v>
          </cell>
          <cell r="AK177">
            <v>1.6462420468689311E-2</v>
          </cell>
          <cell r="AL177">
            <v>3.3505064451899894E-2</v>
          </cell>
        </row>
        <row r="178">
          <cell r="B178" t="str">
            <v xml:space="preserve">             Servicios Generales</v>
          </cell>
          <cell r="C178">
            <v>0.54046721821274513</v>
          </cell>
          <cell r="D178">
            <v>0.21553930519649586</v>
          </cell>
          <cell r="E178">
            <v>0.22367766214397306</v>
          </cell>
          <cell r="F178">
            <v>0.22900225624057421</v>
          </cell>
          <cell r="G178">
            <v>0.3238167330464205</v>
          </cell>
          <cell r="J178" t="str">
            <v xml:space="preserve">             Servicios Generales</v>
          </cell>
          <cell r="K178">
            <v>0.89149951665946436</v>
          </cell>
          <cell r="L178">
            <v>0.23669595025310711</v>
          </cell>
          <cell r="M178">
            <v>1.0125593098965897</v>
          </cell>
          <cell r="N178">
            <v>0.29670329280517355</v>
          </cell>
          <cell r="O178">
            <v>0.54046721821274513</v>
          </cell>
          <cell r="R178" t="str">
            <v xml:space="preserve">             Servicios Generales</v>
          </cell>
          <cell r="S178">
            <v>0.65449429806254911</v>
          </cell>
          <cell r="T178">
            <v>0.16228534100361508</v>
          </cell>
          <cell r="U178">
            <v>0.16474024764968223</v>
          </cell>
          <cell r="V178">
            <v>0.16303505177357294</v>
          </cell>
          <cell r="W178">
            <v>0.37020759476107745</v>
          </cell>
          <cell r="X178">
            <v>7.4151696464022213E-2</v>
          </cell>
          <cell r="Y178">
            <v>8.4713617472407021E-2</v>
          </cell>
          <cell r="Z178">
            <v>0.21553930519649586</v>
          </cell>
          <cell r="AC178" t="str">
            <v xml:space="preserve">             Servicios Generales</v>
          </cell>
          <cell r="AD178">
            <v>0.16515209721198232</v>
          </cell>
          <cell r="AE178">
            <v>0.1055166890110822</v>
          </cell>
          <cell r="AF178">
            <v>0.52316815165370256</v>
          </cell>
          <cell r="AG178">
            <v>0.22900225624057421</v>
          </cell>
          <cell r="AJ178" t="str">
            <v xml:space="preserve">             Servicios Generales</v>
          </cell>
          <cell r="AK178">
            <v>3.8903538715326494E-2</v>
          </cell>
          <cell r="AL178">
            <v>6.1640879092085897E-2</v>
          </cell>
        </row>
        <row r="179">
          <cell r="B179" t="str">
            <v xml:space="preserve">         Menos jubilaciones (226)</v>
          </cell>
          <cell r="C179">
            <v>0</v>
          </cell>
          <cell r="D179">
            <v>1.9997685632594666E-4</v>
          </cell>
          <cell r="E179">
            <v>0</v>
          </cell>
          <cell r="F179">
            <v>2.4032429408154626E-5</v>
          </cell>
          <cell r="G179">
            <v>5.7773616587980059E-4</v>
          </cell>
          <cell r="J179" t="str">
            <v xml:space="preserve">         Menos jubilaciones (226)</v>
          </cell>
          <cell r="K179">
            <v>0</v>
          </cell>
          <cell r="L179">
            <v>0</v>
          </cell>
          <cell r="M179">
            <v>0</v>
          </cell>
          <cell r="N179">
            <v>0</v>
          </cell>
          <cell r="O179">
            <v>0</v>
          </cell>
          <cell r="R179" t="str">
            <v xml:space="preserve">         Menos jubilaciones (226)</v>
          </cell>
          <cell r="S179">
            <v>0</v>
          </cell>
          <cell r="T179">
            <v>0</v>
          </cell>
          <cell r="U179">
            <v>0</v>
          </cell>
          <cell r="V179">
            <v>0</v>
          </cell>
          <cell r="W179">
            <v>0</v>
          </cell>
          <cell r="X179">
            <v>0</v>
          </cell>
          <cell r="Y179">
            <v>0</v>
          </cell>
          <cell r="Z179">
            <v>1.9997685632594666E-4</v>
          </cell>
          <cell r="AC179" t="str">
            <v xml:space="preserve">         Menos jubilaciones (226)</v>
          </cell>
          <cell r="AD179">
            <v>0</v>
          </cell>
          <cell r="AE179">
            <v>0</v>
          </cell>
          <cell r="AF179">
            <v>0</v>
          </cell>
          <cell r="AG179">
            <v>2.4032429408154626E-5</v>
          </cell>
          <cell r="AJ179" t="str">
            <v xml:space="preserve">         Menos jubilaciones (226)</v>
          </cell>
          <cell r="AK179">
            <v>0</v>
          </cell>
          <cell r="AL179">
            <v>0</v>
          </cell>
        </row>
        <row r="180">
          <cell r="B180" t="str">
            <v xml:space="preserve">         Más pasivo laboral contingente  (3)</v>
          </cell>
          <cell r="C180">
            <v>1.4389509848694595</v>
          </cell>
          <cell r="D180">
            <v>0.7573665118114602</v>
          </cell>
          <cell r="E180">
            <v>0.48759986054783888</v>
          </cell>
          <cell r="F180">
            <v>0.22113948274612041</v>
          </cell>
          <cell r="G180">
            <v>0.71681221485638813</v>
          </cell>
          <cell r="J180" t="str">
            <v xml:space="preserve">         Más pasivo laboral contingente  (3)</v>
          </cell>
          <cell r="K180">
            <v>3.5326537114060557</v>
          </cell>
          <cell r="L180">
            <v>0.45646231654968583</v>
          </cell>
          <cell r="M180">
            <v>2.5367414535947383</v>
          </cell>
          <cell r="N180">
            <v>0.95733617722361108</v>
          </cell>
          <cell r="O180">
            <v>1.4389509848694595</v>
          </cell>
          <cell r="R180" t="str">
            <v xml:space="preserve">         Más pasivo laboral contingente  (3)</v>
          </cell>
          <cell r="S180">
            <v>3.8058434614957268</v>
          </cell>
          <cell r="T180">
            <v>0.55746071898231453</v>
          </cell>
          <cell r="U180">
            <v>0.60786509021128887</v>
          </cell>
          <cell r="V180">
            <v>0.45711334782592922</v>
          </cell>
          <cell r="W180">
            <v>1.8648405530133103</v>
          </cell>
          <cell r="X180">
            <v>0.20553214461230804</v>
          </cell>
          <cell r="Y180">
            <v>0.27026214432634543</v>
          </cell>
          <cell r="Z180">
            <v>0.7573665118114602</v>
          </cell>
          <cell r="AC180" t="str">
            <v xml:space="preserve">         Más pasivo laboral contingente  (3)</v>
          </cell>
          <cell r="AD180">
            <v>8.3010522184776003E-2</v>
          </cell>
          <cell r="AE180">
            <v>0.11872952251005812</v>
          </cell>
          <cell r="AF180">
            <v>0.591915988255309</v>
          </cell>
          <cell r="AG180">
            <v>0.22113948274612041</v>
          </cell>
          <cell r="AJ180" t="str">
            <v xml:space="preserve">         Más pasivo laboral contingente  (3)</v>
          </cell>
          <cell r="AK180">
            <v>0.13950888303117118</v>
          </cell>
          <cell r="AL180">
            <v>0.20294240191600532</v>
          </cell>
        </row>
        <row r="181">
          <cell r="B181" t="str">
            <v xml:space="preserve">     Depreciación y Amortización</v>
          </cell>
          <cell r="C181">
            <v>3.0169650149584895</v>
          </cell>
          <cell r="D181">
            <v>1.1165340701623712</v>
          </cell>
          <cell r="E181">
            <v>0.98784145563797709</v>
          </cell>
          <cell r="F181">
            <v>0.44188381637517948</v>
          </cell>
          <cell r="G181">
            <v>0.92185616234376311</v>
          </cell>
          <cell r="J181" t="str">
            <v xml:space="preserve">     Depreciación y Amortización</v>
          </cell>
          <cell r="K181">
            <v>3.1018151965353784</v>
          </cell>
          <cell r="L181">
            <v>2.8118610799345554</v>
          </cell>
          <cell r="M181">
            <v>2.6836751111506953</v>
          </cell>
          <cell r="N181">
            <v>1.4706692338895637</v>
          </cell>
          <cell r="O181">
            <v>3.0169650149584895</v>
          </cell>
          <cell r="R181" t="str">
            <v xml:space="preserve">     Depreciación y Amortización</v>
          </cell>
          <cell r="S181">
            <v>5.8795588382778332</v>
          </cell>
          <cell r="T181">
            <v>0.7950482995258078</v>
          </cell>
          <cell r="U181">
            <v>0.96604888109138654</v>
          </cell>
          <cell r="V181">
            <v>0.7462187049268354</v>
          </cell>
          <cell r="W181">
            <v>1.1832623457038574</v>
          </cell>
          <cell r="X181">
            <v>0.51189099842184116</v>
          </cell>
          <cell r="Y181">
            <v>0.70989691633232899</v>
          </cell>
          <cell r="Z181">
            <v>1.1165340701623712</v>
          </cell>
          <cell r="AC181" t="str">
            <v xml:space="preserve">     Depreciación y Amortización</v>
          </cell>
          <cell r="AD181">
            <v>0.23746003254108081</v>
          </cell>
          <cell r="AE181">
            <v>0.5570924566966291</v>
          </cell>
          <cell r="AF181">
            <v>3.5148667135775442</v>
          </cell>
          <cell r="AG181">
            <v>0.44188381637517948</v>
          </cell>
          <cell r="AJ181" t="str">
            <v xml:space="preserve">     Depreciación y Amortización</v>
          </cell>
          <cell r="AK181">
            <v>0.68739174842097539</v>
          </cell>
          <cell r="AL181">
            <v>0.8141701531252592</v>
          </cell>
        </row>
        <row r="182">
          <cell r="B182" t="str">
            <v xml:space="preserve">          Plataformas</v>
          </cell>
          <cell r="C182">
            <v>2.748425982774523E-2</v>
          </cell>
          <cell r="D182">
            <v>0</v>
          </cell>
          <cell r="E182">
            <v>0.1219547976430294</v>
          </cell>
          <cell r="F182">
            <v>7.0906499406009932E-2</v>
          </cell>
          <cell r="G182">
            <v>6.0681407798216708E-2</v>
          </cell>
          <cell r="J182" t="str">
            <v xml:space="preserve">          Plataformas</v>
          </cell>
          <cell r="K182">
            <v>6.5345667145600916E-2</v>
          </cell>
          <cell r="L182">
            <v>0</v>
          </cell>
          <cell r="M182">
            <v>0.1339953115728823</v>
          </cell>
          <cell r="N182">
            <v>0</v>
          </cell>
          <cell r="O182">
            <v>2.748425982774523E-2</v>
          </cell>
          <cell r="R182" t="str">
            <v xml:space="preserve">          Plataformas</v>
          </cell>
          <cell r="S182">
            <v>0</v>
          </cell>
          <cell r="T182">
            <v>0</v>
          </cell>
          <cell r="U182">
            <v>0</v>
          </cell>
          <cell r="V182">
            <v>0</v>
          </cell>
          <cell r="W182">
            <v>0</v>
          </cell>
          <cell r="X182">
            <v>0</v>
          </cell>
          <cell r="Y182">
            <v>0</v>
          </cell>
          <cell r="Z182">
            <v>0</v>
          </cell>
          <cell r="AC182" t="str">
            <v xml:space="preserve">          Plataformas</v>
          </cell>
          <cell r="AD182">
            <v>5.6739405409055144E-2</v>
          </cell>
          <cell r="AE182">
            <v>7.1660977267898107E-2</v>
          </cell>
          <cell r="AF182">
            <v>0.39306989232154077</v>
          </cell>
          <cell r="AG182">
            <v>7.0906499406009932E-2</v>
          </cell>
          <cell r="AJ182" t="str">
            <v xml:space="preserve">          Plataformas</v>
          </cell>
          <cell r="AK182">
            <v>0.11322462394152014</v>
          </cell>
          <cell r="AL182">
            <v>0.14827085841940968</v>
          </cell>
        </row>
        <row r="183">
          <cell r="B183" t="str">
            <v xml:space="preserve">          Pozos</v>
          </cell>
          <cell r="C183">
            <v>2.0986227663714363</v>
          </cell>
          <cell r="D183">
            <v>0.68174998627290539</v>
          </cell>
          <cell r="E183">
            <v>0.47696683755916297</v>
          </cell>
          <cell r="F183">
            <v>0.208289188722558</v>
          </cell>
          <cell r="G183">
            <v>0.52607396495883318</v>
          </cell>
          <cell r="J183" t="str">
            <v xml:space="preserve">          Pozos</v>
          </cell>
          <cell r="K183">
            <v>2.0043351158220921</v>
          </cell>
          <cell r="L183">
            <v>2.4511503711534428</v>
          </cell>
          <cell r="M183">
            <v>1.571114047374162</v>
          </cell>
          <cell r="N183">
            <v>0.87073255064553956</v>
          </cell>
          <cell r="O183">
            <v>2.0986227663714363</v>
          </cell>
          <cell r="R183" t="str">
            <v xml:space="preserve">          Pozos</v>
          </cell>
          <cell r="S183">
            <v>4.7476177790944663</v>
          </cell>
          <cell r="T183">
            <v>0.44815925459621631</v>
          </cell>
          <cell r="U183">
            <v>0.63127718758600981</v>
          </cell>
          <cell r="V183">
            <v>0.35076906568376043</v>
          </cell>
          <cell r="W183">
            <v>0.62707010101549687</v>
          </cell>
          <cell r="X183">
            <v>0.41385927314747412</v>
          </cell>
          <cell r="Y183">
            <v>0.64331452177218817</v>
          </cell>
          <cell r="Z183">
            <v>0.68174998627290539</v>
          </cell>
          <cell r="AC183" t="str">
            <v xml:space="preserve">          Pozos</v>
          </cell>
          <cell r="AD183">
            <v>9.5155060603933958E-2</v>
          </cell>
          <cell r="AE183">
            <v>0.37550369320595478</v>
          </cell>
          <cell r="AF183">
            <v>2.8209232004725364</v>
          </cell>
          <cell r="AG183">
            <v>0.208289188722558</v>
          </cell>
          <cell r="AJ183" t="str">
            <v xml:space="preserve">          Pozos</v>
          </cell>
          <cell r="AK183">
            <v>0.4263865210097757</v>
          </cell>
          <cell r="AL183">
            <v>0.46882985653965781</v>
          </cell>
        </row>
        <row r="184">
          <cell r="B184" t="str">
            <v xml:space="preserve">          Otros</v>
          </cell>
          <cell r="C184">
            <v>0.89085798875930811</v>
          </cell>
          <cell r="D184">
            <v>0.43478408388946571</v>
          </cell>
          <cell r="E184">
            <v>0.38891982043578455</v>
          </cell>
          <cell r="F184">
            <v>0.16268812824661158</v>
          </cell>
          <cell r="G184">
            <v>0.33510078958671308</v>
          </cell>
          <cell r="J184" t="str">
            <v xml:space="preserve">          Otros</v>
          </cell>
          <cell r="K184">
            <v>1.0321344135676855</v>
          </cell>
          <cell r="L184">
            <v>0.360710708781112</v>
          </cell>
          <cell r="M184">
            <v>0.97856575220365083</v>
          </cell>
          <cell r="N184">
            <v>0.59993668324402394</v>
          </cell>
          <cell r="O184">
            <v>0.89085798875930811</v>
          </cell>
          <cell r="R184" t="str">
            <v xml:space="preserve">          Otros</v>
          </cell>
          <cell r="S184">
            <v>1.1319410591833674</v>
          </cell>
          <cell r="T184">
            <v>0.34688904492959161</v>
          </cell>
          <cell r="U184">
            <v>0.33477169350537678</v>
          </cell>
          <cell r="V184">
            <v>0.39544963924307514</v>
          </cell>
          <cell r="W184">
            <v>0.55619224468836048</v>
          </cell>
          <cell r="X184">
            <v>9.803172527436696E-2</v>
          </cell>
          <cell r="Y184">
            <v>6.6582394560140923E-2</v>
          </cell>
          <cell r="Z184">
            <v>0.43478408388946571</v>
          </cell>
          <cell r="AC184" t="str">
            <v xml:space="preserve">          Otros</v>
          </cell>
          <cell r="AD184">
            <v>8.5565566528091636E-2</v>
          </cell>
          <cell r="AE184">
            <v>0.10992778622277626</v>
          </cell>
          <cell r="AF184">
            <v>0.3008736207834668</v>
          </cell>
          <cell r="AG184">
            <v>0.16268812824661158</v>
          </cell>
          <cell r="AJ184" t="str">
            <v xml:space="preserve">          Otros</v>
          </cell>
          <cell r="AK184">
            <v>0.1477806034696795</v>
          </cell>
          <cell r="AL184">
            <v>0.1970694381661916</v>
          </cell>
        </row>
        <row r="185">
          <cell r="B185" t="str">
            <v>Costo de produccion (Dlls/BPCE) (4)</v>
          </cell>
          <cell r="C185">
            <v>9.6525939745414036</v>
          </cell>
          <cell r="D185">
            <v>4.6839398680122164</v>
          </cell>
          <cell r="E185">
            <v>3.8336666028634614</v>
          </cell>
          <cell r="F185">
            <v>2.8975119427576979</v>
          </cell>
          <cell r="G185">
            <v>4.0476290447487546</v>
          </cell>
          <cell r="J185" t="str">
            <v>Costo de produccion (Dlls/BPCE) (4)</v>
          </cell>
          <cell r="K185">
            <v>16.220312552899202</v>
          </cell>
          <cell r="L185">
            <v>7.6239509537095795</v>
          </cell>
          <cell r="M185">
            <v>13.425933590840369</v>
          </cell>
          <cell r="N185">
            <v>7.5831817079983441</v>
          </cell>
          <cell r="O185">
            <v>9.6525939745414036</v>
          </cell>
          <cell r="R185" t="str">
            <v>Costo de produccion (Dlls/BPCE) (4)</v>
          </cell>
          <cell r="S185">
            <v>16.99373531091911</v>
          </cell>
          <cell r="T185">
            <v>4.594765041321744</v>
          </cell>
          <cell r="U185">
            <v>4.7558309315978118</v>
          </cell>
          <cell r="V185">
            <v>4.0501637292225894</v>
          </cell>
          <cell r="W185">
            <v>8.0252991831271245</v>
          </cell>
          <cell r="X185">
            <v>2.7855784444986678</v>
          </cell>
          <cell r="Y185">
            <v>3.3714377293891049</v>
          </cell>
          <cell r="Z185">
            <v>4.6839398680122164</v>
          </cell>
          <cell r="AC185" t="str">
            <v>Costo de produccion (Dlls/BPCE) (4)</v>
          </cell>
          <cell r="AD185">
            <v>2.8037791629478797</v>
          </cell>
          <cell r="AE185">
            <v>2.7859600613529745</v>
          </cell>
          <cell r="AF185">
            <v>6.867786693615817</v>
          </cell>
          <cell r="AG185">
            <v>2.8975119427576979</v>
          </cell>
          <cell r="AJ185" t="str">
            <v>Costo de produccion (Dlls/BPCE) (4)</v>
          </cell>
          <cell r="AK185">
            <v>3.4827438361281535</v>
          </cell>
          <cell r="AL185">
            <v>4.0907182455491542</v>
          </cell>
        </row>
        <row r="186">
          <cell r="B186" t="str">
            <v>Costo de extracción (Dlls/BPCE)  (4)</v>
          </cell>
          <cell r="C186">
            <v>3.4329279660455918</v>
          </cell>
          <cell r="D186">
            <v>1.6283307000801686</v>
          </cell>
          <cell r="E186">
            <v>1.2190911594792049</v>
          </cell>
          <cell r="F186">
            <v>0.95026404697514166</v>
          </cell>
          <cell r="G186">
            <v>1.4975481478927624</v>
          </cell>
          <cell r="J186" t="str">
            <v>Costo de extracción (Dlls/BPCE)  (4)</v>
          </cell>
          <cell r="K186">
            <v>6.8852311863813522</v>
          </cell>
          <cell r="L186">
            <v>1.4337404470237702</v>
          </cell>
          <cell r="M186">
            <v>5.5402037630458567</v>
          </cell>
          <cell r="N186">
            <v>2.9388733236958271</v>
          </cell>
          <cell r="O186">
            <v>3.4329279660455918</v>
          </cell>
          <cell r="R186" t="str">
            <v>Costo de extracción (Dlls/BPCE)  (4)</v>
          </cell>
          <cell r="S186">
            <v>4.7559465975677586</v>
          </cell>
          <cell r="T186">
            <v>1.7663925564659593</v>
          </cell>
          <cell r="U186">
            <v>1.5359501385486025</v>
          </cell>
          <cell r="V186">
            <v>1.3772081003679233</v>
          </cell>
          <cell r="W186">
            <v>2.7238286965194929</v>
          </cell>
          <cell r="X186">
            <v>0.57954258974172768</v>
          </cell>
          <cell r="Y186">
            <v>0.48374745804353625</v>
          </cell>
          <cell r="Z186">
            <v>1.6283307000801686</v>
          </cell>
          <cell r="AC186" t="str">
            <v>Costo de extracción (Dlls/BPCE)  (4)</v>
          </cell>
          <cell r="AD186">
            <v>1.0205143297339989</v>
          </cell>
          <cell r="AE186">
            <v>1.0501367089837106</v>
          </cell>
          <cell r="AF186">
            <v>1.3692754042447932</v>
          </cell>
          <cell r="AG186">
            <v>0.95026404697514166</v>
          </cell>
          <cell r="AJ186" t="str">
            <v>Costo de extracción (Dlls/BPCE)  (4)</v>
          </cell>
          <cell r="AK186">
            <v>0.34163410413679851</v>
          </cell>
          <cell r="AL186">
            <v>0.61483812184328357</v>
          </cell>
        </row>
        <row r="187">
          <cell r="B187" t="str">
            <v>Costo de extracción con R.L (Dlls/BPCE)  (4)</v>
          </cell>
          <cell r="C187">
            <v>4.8718789509150513</v>
          </cell>
          <cell r="D187">
            <v>2.3856972118916286</v>
          </cell>
          <cell r="E187">
            <v>1.7066910200270438</v>
          </cell>
          <cell r="F187">
            <v>1.1714035297212622</v>
          </cell>
          <cell r="G187">
            <v>2.2143603627491504</v>
          </cell>
          <cell r="J187" t="str">
            <v>Costo de extracción con R.L (Dlls/BPCE)  (4)</v>
          </cell>
          <cell r="K187">
            <v>10.417884897787408</v>
          </cell>
          <cell r="L187">
            <v>1.890202763573456</v>
          </cell>
          <cell r="M187">
            <v>8.0769452166405955</v>
          </cell>
          <cell r="N187">
            <v>3.8962095009194382</v>
          </cell>
          <cell r="O187">
            <v>4.8718789509150513</v>
          </cell>
          <cell r="R187" t="str">
            <v>Costo de extracción con R.L (Dlls/BPCE)  (4)</v>
          </cell>
          <cell r="S187">
            <v>8.561790059063485</v>
          </cell>
          <cell r="T187">
            <v>2.3238532754482737</v>
          </cell>
          <cell r="U187">
            <v>2.1438152287598915</v>
          </cell>
          <cell r="V187">
            <v>1.8343214481938526</v>
          </cell>
          <cell r="W187">
            <v>4.5886692495328028</v>
          </cell>
          <cell r="X187">
            <v>0.78507473435403574</v>
          </cell>
          <cell r="Y187">
            <v>0.75400960236988168</v>
          </cell>
          <cell r="Z187">
            <v>2.3856972118916286</v>
          </cell>
          <cell r="AC187" t="str">
            <v>Costo de extracción con R.L (Dlls/BPCE)  (4)</v>
          </cell>
          <cell r="AD187">
            <v>1.1035248519187748</v>
          </cell>
          <cell r="AE187">
            <v>1.1688662314937688</v>
          </cell>
          <cell r="AF187">
            <v>1.9611913925001021</v>
          </cell>
          <cell r="AG187">
            <v>1.1714035297212622</v>
          </cell>
          <cell r="AJ187" t="str">
            <v>Costo de extracción con R.L (Dlls/BPCE)  (4)</v>
          </cell>
          <cell r="AK187">
            <v>0.48114298716796966</v>
          </cell>
          <cell r="AL187">
            <v>0.81778052375928889</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s>
    <sheetDataSet>
      <sheetData sheetId="0"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vmlDrawing" Target="../drawings/vmlDrawing2.vml"/><Relationship Id="rId7" Type="http://schemas.openxmlformats.org/officeDocument/2006/relationships/oleObject" Target="../embeddings/oleObject4.bin"/><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openxmlformats.org/officeDocument/2006/relationships/oleObject" Target="../embeddings/oleObject3.bin"/><Relationship Id="rId5" Type="http://schemas.openxmlformats.org/officeDocument/2006/relationships/oleObject" Target="../embeddings/oleObject2.bin"/><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printerSettings" Target="../printerSettings/printerSettings4.bin"/><Relationship Id="rId6" Type="http://schemas.openxmlformats.org/officeDocument/2006/relationships/oleObject" Target="../embeddings/oleObject8.bin"/><Relationship Id="rId5" Type="http://schemas.openxmlformats.org/officeDocument/2006/relationships/oleObject" Target="../embeddings/oleObject7.bin"/><Relationship Id="rId4" Type="http://schemas.openxmlformats.org/officeDocument/2006/relationships/oleObject" Target="../embeddings/oleObject6.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sheetPr codeName="Hoja1"/>
  <dimension ref="A2:L93"/>
  <sheetViews>
    <sheetView tabSelected="1" topLeftCell="A13" zoomScale="90" zoomScaleNormal="90" workbookViewId="0"/>
  </sheetViews>
  <sheetFormatPr baseColWidth="10" defaultColWidth="23.44140625" defaultRowHeight="13.2"/>
  <cols>
    <col min="1" max="1" width="49.88671875" style="154" customWidth="1"/>
    <col min="2" max="2" width="19.109375" style="154" customWidth="1"/>
    <col min="3" max="3" width="11.6640625" style="154" bestFit="1" customWidth="1"/>
    <col min="4" max="4" width="11" style="154" customWidth="1"/>
    <col min="5" max="5" width="9.44140625" style="154" bestFit="1" customWidth="1"/>
    <col min="6" max="6" width="12.5546875" style="154" customWidth="1"/>
    <col min="7" max="7" width="37.109375" style="154" customWidth="1"/>
    <col min="8" max="16384" width="23.44140625" style="154"/>
  </cols>
  <sheetData>
    <row r="2" spans="1:7" ht="12.75" customHeight="1">
      <c r="A2" s="461" t="s">
        <v>120</v>
      </c>
      <c r="B2" s="461"/>
      <c r="C2" s="461"/>
      <c r="D2" s="157" t="s">
        <v>121</v>
      </c>
      <c r="E2" s="461" t="s">
        <v>122</v>
      </c>
      <c r="F2" s="461"/>
      <c r="G2" s="461"/>
    </row>
    <row r="3" spans="1:7">
      <c r="A3" s="19" t="s">
        <v>24</v>
      </c>
      <c r="B3" s="19" t="s">
        <v>124</v>
      </c>
      <c r="C3" s="276">
        <v>56.1</v>
      </c>
      <c r="D3" s="156" t="s">
        <v>25</v>
      </c>
      <c r="E3" s="452" t="s">
        <v>254</v>
      </c>
      <c r="F3" s="467"/>
      <c r="G3" s="468"/>
    </row>
    <row r="4" spans="1:7" ht="24" customHeight="1">
      <c r="A4" s="195" t="s">
        <v>108</v>
      </c>
      <c r="B4" s="160" t="s">
        <v>125</v>
      </c>
      <c r="C4" s="276">
        <v>90.2</v>
      </c>
      <c r="D4" s="156" t="s">
        <v>36</v>
      </c>
      <c r="E4" s="471" t="s">
        <v>227</v>
      </c>
      <c r="F4" s="472"/>
      <c r="G4" s="473"/>
    </row>
    <row r="5" spans="1:7" ht="12.75" customHeight="1">
      <c r="A5" s="195" t="s">
        <v>126</v>
      </c>
      <c r="B5" s="161" t="s">
        <v>127</v>
      </c>
      <c r="C5" s="276">
        <v>0.25</v>
      </c>
      <c r="D5" s="156"/>
      <c r="E5" s="463" t="s">
        <v>128</v>
      </c>
      <c r="F5" s="464"/>
      <c r="G5" s="465"/>
    </row>
    <row r="6" spans="1:7" ht="12.75" customHeight="1">
      <c r="A6" s="466" t="s">
        <v>219</v>
      </c>
      <c r="B6" s="466"/>
      <c r="C6" s="274">
        <v>22581705</v>
      </c>
      <c r="D6" s="156" t="s">
        <v>129</v>
      </c>
      <c r="E6" s="455" t="s">
        <v>228</v>
      </c>
      <c r="F6" s="456"/>
      <c r="G6" s="457"/>
    </row>
    <row r="7" spans="1:7" ht="12.75" customHeight="1">
      <c r="A7" s="196" t="s">
        <v>133</v>
      </c>
      <c r="B7" s="171" t="s">
        <v>134</v>
      </c>
      <c r="C7" s="276">
        <v>1</v>
      </c>
      <c r="D7" s="156" t="s">
        <v>135</v>
      </c>
      <c r="E7" s="455" t="s">
        <v>228</v>
      </c>
      <c r="F7" s="456"/>
      <c r="G7" s="457"/>
    </row>
    <row r="8" spans="1:7" ht="12.75" customHeight="1">
      <c r="A8" s="195" t="s">
        <v>23</v>
      </c>
      <c r="B8" s="171"/>
      <c r="C8" s="274">
        <v>1313.6</v>
      </c>
      <c r="D8" s="156" t="s">
        <v>63</v>
      </c>
      <c r="E8" s="463" t="s">
        <v>204</v>
      </c>
      <c r="F8" s="464"/>
      <c r="G8" s="465"/>
    </row>
    <row r="9" spans="1:7" ht="12.75" customHeight="1">
      <c r="A9" s="195" t="s">
        <v>154</v>
      </c>
      <c r="B9" s="171"/>
      <c r="C9" s="274">
        <v>11680</v>
      </c>
      <c r="D9" s="156" t="s">
        <v>261</v>
      </c>
      <c r="E9" s="455" t="s">
        <v>258</v>
      </c>
      <c r="F9" s="464"/>
      <c r="G9" s="465"/>
    </row>
    <row r="10" spans="1:7" ht="12.75" customHeight="1">
      <c r="A10" s="292" t="s">
        <v>259</v>
      </c>
      <c r="B10" s="171"/>
      <c r="C10" s="293">
        <v>0.83699999999999997</v>
      </c>
      <c r="D10" s="156" t="s">
        <v>260</v>
      </c>
      <c r="E10" s="455" t="s">
        <v>264</v>
      </c>
      <c r="F10" s="456"/>
      <c r="G10" s="457"/>
    </row>
    <row r="11" spans="1:7" ht="12.75" customHeight="1">
      <c r="A11" s="19" t="s">
        <v>155</v>
      </c>
      <c r="B11" s="171"/>
      <c r="C11" s="276">
        <v>74.099999999999994</v>
      </c>
      <c r="D11" s="156" t="s">
        <v>25</v>
      </c>
      <c r="E11" s="463" t="s">
        <v>123</v>
      </c>
      <c r="F11" s="464"/>
      <c r="G11" s="465"/>
    </row>
    <row r="13" spans="1:7">
      <c r="A13" s="461" t="s">
        <v>188</v>
      </c>
      <c r="B13" s="461"/>
      <c r="C13" s="461"/>
      <c r="D13" s="157" t="s">
        <v>121</v>
      </c>
      <c r="E13" s="461" t="s">
        <v>122</v>
      </c>
      <c r="F13" s="461"/>
      <c r="G13" s="461"/>
    </row>
    <row r="14" spans="1:7">
      <c r="A14" s="196" t="s">
        <v>189</v>
      </c>
      <c r="B14" s="196"/>
      <c r="C14" s="208">
        <v>11.2</v>
      </c>
      <c r="D14" s="206" t="s">
        <v>61</v>
      </c>
      <c r="E14" s="452" t="s">
        <v>236</v>
      </c>
      <c r="F14" s="467"/>
      <c r="G14" s="468"/>
    </row>
    <row r="15" spans="1:7">
      <c r="A15" s="196" t="s">
        <v>195</v>
      </c>
      <c r="B15" s="196"/>
      <c r="C15" s="208">
        <v>16.297900000000009</v>
      </c>
      <c r="D15" s="206" t="s">
        <v>196</v>
      </c>
      <c r="E15" s="452" t="s">
        <v>265</v>
      </c>
      <c r="F15" s="467"/>
      <c r="G15" s="468"/>
    </row>
    <row r="16" spans="1:7" s="290" customFormat="1">
      <c r="A16" s="284"/>
      <c r="B16" s="284"/>
      <c r="C16" s="285"/>
      <c r="D16" s="286"/>
      <c r="E16" s="287"/>
      <c r="F16" s="288"/>
      <c r="G16" s="289"/>
    </row>
    <row r="17" spans="1:12" s="290" customFormat="1">
      <c r="A17" s="461" t="s">
        <v>226</v>
      </c>
      <c r="B17" s="461"/>
      <c r="C17" s="461"/>
      <c r="D17" s="157" t="s">
        <v>121</v>
      </c>
      <c r="E17" s="461" t="s">
        <v>122</v>
      </c>
      <c r="F17" s="461"/>
      <c r="G17" s="461"/>
    </row>
    <row r="18" spans="1:12">
      <c r="A18" s="196" t="s">
        <v>224</v>
      </c>
      <c r="B18" s="196" t="s">
        <v>225</v>
      </c>
      <c r="C18" s="155">
        <f>70*'BreakEven Analysis'!G14</f>
        <v>70</v>
      </c>
      <c r="D18" s="212" t="s">
        <v>36</v>
      </c>
      <c r="E18" s="452" t="s">
        <v>283</v>
      </c>
      <c r="F18" s="467"/>
      <c r="G18" s="468"/>
    </row>
    <row r="19" spans="1:12" ht="12.75" customHeight="1">
      <c r="A19" s="196" t="s">
        <v>73</v>
      </c>
      <c r="B19" s="196"/>
      <c r="C19" s="155">
        <v>10</v>
      </c>
      <c r="D19" s="212" t="s">
        <v>36</v>
      </c>
      <c r="E19" s="452" t="s">
        <v>237</v>
      </c>
      <c r="F19" s="453"/>
      <c r="G19" s="454"/>
    </row>
    <row r="20" spans="1:12" ht="12.75" customHeight="1">
      <c r="A20" s="196" t="s">
        <v>269</v>
      </c>
      <c r="B20" s="196"/>
      <c r="C20" s="350">
        <f>(3.3+3.4+2.5+4.1+0.1)/5</f>
        <v>2.6799999999999997</v>
      </c>
      <c r="D20" s="212" t="s">
        <v>36</v>
      </c>
      <c r="E20" s="469" t="s">
        <v>284</v>
      </c>
      <c r="F20" s="470"/>
      <c r="G20" s="470"/>
      <c r="H20" s="344"/>
      <c r="I20" s="344"/>
      <c r="J20" s="345"/>
      <c r="K20" s="290"/>
      <c r="L20" s="290"/>
    </row>
    <row r="21" spans="1:12" ht="12.75" customHeight="1">
      <c r="A21" s="196" t="s">
        <v>270</v>
      </c>
      <c r="B21" s="196"/>
      <c r="C21" s="155">
        <v>12</v>
      </c>
      <c r="D21" s="212" t="s">
        <v>36</v>
      </c>
      <c r="E21" s="452" t="s">
        <v>236</v>
      </c>
      <c r="F21" s="467"/>
      <c r="G21" s="468"/>
      <c r="H21" s="341"/>
      <c r="I21" s="342"/>
      <c r="J21" s="343"/>
      <c r="K21" s="290"/>
      <c r="L21" s="290"/>
    </row>
    <row r="22" spans="1:12" ht="12" customHeight="1">
      <c r="H22" s="290"/>
      <c r="I22" s="290"/>
      <c r="J22" s="290"/>
      <c r="K22" s="290"/>
      <c r="L22" s="290"/>
    </row>
    <row r="23" spans="1:12">
      <c r="A23" s="461" t="s">
        <v>210</v>
      </c>
      <c r="B23" s="461"/>
      <c r="C23" s="461"/>
      <c r="D23" s="157" t="s">
        <v>121</v>
      </c>
      <c r="E23" s="461" t="s">
        <v>122</v>
      </c>
      <c r="F23" s="461"/>
      <c r="G23" s="461"/>
    </row>
    <row r="24" spans="1:12">
      <c r="A24" s="196" t="s">
        <v>207</v>
      </c>
      <c r="B24" s="196"/>
      <c r="C24" s="155">
        <v>20</v>
      </c>
      <c r="D24" s="212" t="s">
        <v>192</v>
      </c>
      <c r="E24" s="452" t="s">
        <v>211</v>
      </c>
      <c r="F24" s="467"/>
      <c r="G24" s="468"/>
    </row>
    <row r="26" spans="1:12">
      <c r="A26" s="461" t="s">
        <v>130</v>
      </c>
      <c r="B26" s="461"/>
      <c r="C26" s="461"/>
      <c r="D26" s="157" t="s">
        <v>121</v>
      </c>
    </row>
    <row r="27" spans="1:12">
      <c r="A27" s="196" t="s">
        <v>132</v>
      </c>
      <c r="B27" s="196"/>
      <c r="C27" s="275">
        <v>4.1870000000000003</v>
      </c>
      <c r="D27" s="206" t="s">
        <v>131</v>
      </c>
    </row>
    <row r="28" spans="1:12">
      <c r="A28" s="196" t="s">
        <v>145</v>
      </c>
      <c r="B28" s="196"/>
      <c r="C28" s="278">
        <v>948.45165267699997</v>
      </c>
      <c r="D28" s="200" t="s">
        <v>146</v>
      </c>
    </row>
    <row r="29" spans="1:12">
      <c r="A29" s="195" t="s">
        <v>149</v>
      </c>
      <c r="B29" s="195"/>
      <c r="C29" s="277">
        <v>2.8316846E-2</v>
      </c>
      <c r="D29" s="207" t="s">
        <v>150</v>
      </c>
    </row>
    <row r="30" spans="1:12">
      <c r="A30" s="195" t="s">
        <v>163</v>
      </c>
      <c r="B30" s="160"/>
      <c r="C30" s="276">
        <v>0.746</v>
      </c>
      <c r="D30" s="207" t="s">
        <v>164</v>
      </c>
    </row>
    <row r="32" spans="1:12">
      <c r="A32" s="461" t="s">
        <v>18</v>
      </c>
      <c r="B32" s="461"/>
      <c r="C32" s="461"/>
      <c r="D32" s="461"/>
    </row>
    <row r="33" spans="1:11">
      <c r="A33" s="195" t="s">
        <v>19</v>
      </c>
      <c r="B33" s="195"/>
      <c r="C33" s="279">
        <f>365*24</f>
        <v>8760</v>
      </c>
      <c r="D33" s="156" t="s">
        <v>20</v>
      </c>
    </row>
    <row r="34" spans="1:11">
      <c r="A34" s="195" t="s">
        <v>21</v>
      </c>
      <c r="B34" s="195"/>
      <c r="C34" s="279">
        <v>8760</v>
      </c>
      <c r="D34" s="156" t="s">
        <v>20</v>
      </c>
    </row>
    <row r="35" spans="1:11">
      <c r="A35" s="195" t="s">
        <v>22</v>
      </c>
      <c r="B35" s="195"/>
      <c r="C35" s="279">
        <v>8760</v>
      </c>
      <c r="D35" s="156" t="s">
        <v>20</v>
      </c>
    </row>
    <row r="37" spans="1:11">
      <c r="A37" s="458" t="s">
        <v>158</v>
      </c>
      <c r="B37" s="459"/>
      <c r="C37" s="459"/>
      <c r="D37" s="459"/>
      <c r="E37" s="459"/>
      <c r="F37" s="459"/>
      <c r="G37" s="460"/>
    </row>
    <row r="38" spans="1:11">
      <c r="A38" s="157" t="s">
        <v>160</v>
      </c>
      <c r="B38" s="157" t="s">
        <v>91</v>
      </c>
      <c r="C38" s="461" t="s">
        <v>161</v>
      </c>
      <c r="D38" s="461"/>
      <c r="E38" s="461" t="s">
        <v>122</v>
      </c>
      <c r="F38" s="461"/>
      <c r="G38" s="461"/>
    </row>
    <row r="39" spans="1:11" ht="12.75" customHeight="1">
      <c r="A39" s="195" t="s">
        <v>159</v>
      </c>
      <c r="B39" s="279">
        <v>3</v>
      </c>
      <c r="C39" s="279">
        <v>500</v>
      </c>
      <c r="D39" s="199" t="s">
        <v>162</v>
      </c>
      <c r="E39" s="452" t="s">
        <v>229</v>
      </c>
      <c r="F39" s="453"/>
      <c r="G39" s="454"/>
    </row>
    <row r="40" spans="1:11" ht="12.75" customHeight="1">
      <c r="A40" s="291" t="s">
        <v>92</v>
      </c>
      <c r="B40" s="279">
        <v>2</v>
      </c>
      <c r="C40" s="279">
        <v>50</v>
      </c>
      <c r="D40" s="199" t="s">
        <v>162</v>
      </c>
      <c r="E40" s="452" t="s">
        <v>230</v>
      </c>
      <c r="F40" s="453"/>
      <c r="G40" s="454"/>
    </row>
    <row r="41" spans="1:11" ht="12.75" customHeight="1">
      <c r="A41" s="291" t="s">
        <v>93</v>
      </c>
      <c r="B41" s="279">
        <v>1</v>
      </c>
      <c r="C41" s="294">
        <v>7.5</v>
      </c>
      <c r="D41" s="199" t="s">
        <v>162</v>
      </c>
      <c r="E41" s="452" t="s">
        <v>231</v>
      </c>
      <c r="F41" s="453"/>
      <c r="G41" s="454"/>
    </row>
    <row r="43" spans="1:11" ht="12.75" customHeight="1">
      <c r="A43" s="458" t="s">
        <v>205</v>
      </c>
      <c r="B43" s="459"/>
      <c r="C43" s="459"/>
      <c r="D43" s="459"/>
      <c r="E43" s="459"/>
      <c r="F43" s="459"/>
      <c r="G43" s="459"/>
      <c r="H43" s="459"/>
      <c r="I43" s="459"/>
      <c r="J43" s="459"/>
      <c r="K43" s="460"/>
    </row>
    <row r="44" spans="1:11" ht="12.75" customHeight="1">
      <c r="A44" s="195" t="s">
        <v>177</v>
      </c>
      <c r="B44" s="157">
        <v>2008</v>
      </c>
      <c r="C44" s="157">
        <v>2009</v>
      </c>
      <c r="D44" s="157">
        <v>2010</v>
      </c>
      <c r="E44" s="157">
        <v>2011</v>
      </c>
      <c r="F44" s="157">
        <v>2012</v>
      </c>
      <c r="G44" s="157">
        <v>2013</v>
      </c>
      <c r="H44" s="157">
        <v>2014</v>
      </c>
      <c r="I44" s="157">
        <v>2015</v>
      </c>
      <c r="J44" s="157">
        <v>2016</v>
      </c>
      <c r="K44" s="157">
        <v>2017</v>
      </c>
    </row>
    <row r="45" spans="1:11" ht="12.75" customHeight="1">
      <c r="A45" s="195" t="s">
        <v>178</v>
      </c>
      <c r="B45" s="336">
        <f>6.89702871365221</f>
        <v>6.8970287136522099</v>
      </c>
      <c r="C45" s="336">
        <f>6.03276604653667</f>
        <v>6.0327660465366701</v>
      </c>
      <c r="D45" s="336">
        <f>5.82078141793227</f>
        <v>5.8207814179322703</v>
      </c>
      <c r="E45" s="336">
        <f>5.60869448256942</f>
        <v>5.6086944825694198</v>
      </c>
      <c r="F45" s="336">
        <f>5.50510838310588</f>
        <v>5.5051083831058802</v>
      </c>
      <c r="G45" s="336">
        <f>5.61862622286578</f>
        <v>5.61862622286578</v>
      </c>
      <c r="H45" s="336">
        <f>5.84064879332511</f>
        <v>5.8406487933251103</v>
      </c>
      <c r="I45" s="336">
        <f>5.8453745748678</f>
        <v>5.8453745748678001</v>
      </c>
      <c r="J45" s="336">
        <f>6.06720996731308</f>
        <v>6.0672099673130804</v>
      </c>
      <c r="K45" s="336">
        <f>6.39755565092754</f>
        <v>6.39755565092754</v>
      </c>
    </row>
    <row r="46" spans="1:11" ht="12.75" customHeight="1"/>
    <row r="47" spans="1:11" ht="12.75" customHeight="1">
      <c r="A47" s="461" t="s">
        <v>181</v>
      </c>
      <c r="B47" s="461"/>
      <c r="C47" s="461"/>
      <c r="D47" s="461"/>
      <c r="E47" s="461"/>
      <c r="F47" s="461"/>
      <c r="G47" s="461"/>
    </row>
    <row r="48" spans="1:11" ht="12.75" customHeight="1">
      <c r="A48" s="458" t="s">
        <v>120</v>
      </c>
      <c r="B48" s="459"/>
      <c r="C48" s="460"/>
      <c r="D48" s="157" t="s">
        <v>121</v>
      </c>
      <c r="E48" s="461" t="s">
        <v>122</v>
      </c>
      <c r="F48" s="461"/>
      <c r="G48" s="461"/>
    </row>
    <row r="49" spans="1:7" ht="12.75" customHeight="1">
      <c r="A49" s="435" t="s">
        <v>208</v>
      </c>
      <c r="B49" s="436"/>
      <c r="C49" s="273">
        <f>600*'BreakEven Analysis'!G13</f>
        <v>600</v>
      </c>
      <c r="D49" s="212" t="s">
        <v>209</v>
      </c>
      <c r="E49" s="455" t="s">
        <v>228</v>
      </c>
      <c r="F49" s="456"/>
      <c r="G49" s="457"/>
    </row>
    <row r="50" spans="1:7" ht="12.75" customHeight="1">
      <c r="A50" s="435" t="s">
        <v>182</v>
      </c>
      <c r="B50" s="436"/>
      <c r="C50" s="273">
        <f>120*'BreakEven Analysis'!G12</f>
        <v>120</v>
      </c>
      <c r="D50" s="206" t="s">
        <v>183</v>
      </c>
      <c r="E50" s="455" t="s">
        <v>184</v>
      </c>
      <c r="F50" s="456"/>
      <c r="G50" s="457"/>
    </row>
    <row r="51" spans="1:7" ht="12.75" customHeight="1">
      <c r="A51" s="435" t="s">
        <v>185</v>
      </c>
      <c r="B51" s="436"/>
      <c r="C51" s="273">
        <f>50</f>
        <v>50</v>
      </c>
      <c r="D51" s="206" t="s">
        <v>183</v>
      </c>
      <c r="E51" s="455" t="s">
        <v>186</v>
      </c>
      <c r="F51" s="456"/>
      <c r="G51" s="457"/>
    </row>
    <row r="52" spans="1:7" ht="12.75" customHeight="1">
      <c r="A52" s="435" t="s">
        <v>187</v>
      </c>
      <c r="B52" s="436"/>
      <c r="C52" s="273">
        <f>72*'BreakEven Analysis'!G11</f>
        <v>72</v>
      </c>
      <c r="D52" s="206" t="s">
        <v>223</v>
      </c>
      <c r="E52" s="455" t="s">
        <v>186</v>
      </c>
      <c r="F52" s="456"/>
      <c r="G52" s="457"/>
    </row>
    <row r="53" spans="1:7" ht="12.75" customHeight="1">
      <c r="A53" s="435" t="s">
        <v>281</v>
      </c>
      <c r="B53" s="436"/>
      <c r="C53" s="338">
        <v>1.72834550192256E-2</v>
      </c>
      <c r="D53" s="337"/>
      <c r="E53" s="455" t="s">
        <v>285</v>
      </c>
      <c r="F53" s="456"/>
      <c r="G53" s="457"/>
    </row>
    <row r="54" spans="1:7" ht="12.75" customHeight="1"/>
    <row r="55" spans="1:7">
      <c r="A55" s="461" t="s">
        <v>430</v>
      </c>
      <c r="B55" s="461"/>
      <c r="C55" s="461"/>
      <c r="D55" s="461"/>
      <c r="E55" s="461"/>
      <c r="F55" s="461"/>
      <c r="G55" s="461"/>
    </row>
    <row r="56" spans="1:7">
      <c r="A56" s="421" t="s">
        <v>120</v>
      </c>
      <c r="B56" s="422" t="s">
        <v>91</v>
      </c>
      <c r="C56" s="421" t="s">
        <v>172</v>
      </c>
      <c r="D56" s="420" t="s">
        <v>173</v>
      </c>
      <c r="E56" s="461" t="s">
        <v>122</v>
      </c>
      <c r="F56" s="461"/>
      <c r="G56" s="461"/>
    </row>
    <row r="57" spans="1:7">
      <c r="A57" s="435" t="s">
        <v>441</v>
      </c>
      <c r="B57" s="436"/>
      <c r="C57" s="416">
        <v>2619015.7919642851</v>
      </c>
      <c r="D57" s="207" t="s">
        <v>192</v>
      </c>
      <c r="E57" s="433" t="s">
        <v>233</v>
      </c>
      <c r="F57" s="434"/>
      <c r="G57" s="434"/>
    </row>
    <row r="58" spans="1:7">
      <c r="A58" s="435" t="s">
        <v>58</v>
      </c>
      <c r="B58" s="436"/>
      <c r="C58" s="272">
        <v>340772.18482142861</v>
      </c>
      <c r="D58" s="207" t="s">
        <v>192</v>
      </c>
      <c r="E58" s="433" t="s">
        <v>233</v>
      </c>
      <c r="F58" s="434"/>
      <c r="G58" s="434"/>
    </row>
    <row r="59" spans="1:7">
      <c r="A59" s="435" t="s">
        <v>433</v>
      </c>
      <c r="B59" s="436"/>
      <c r="C59" s="272">
        <v>1439096.7758928572</v>
      </c>
      <c r="D59" s="207" t="s">
        <v>192</v>
      </c>
      <c r="E59" s="433" t="s">
        <v>233</v>
      </c>
      <c r="F59" s="434"/>
      <c r="G59" s="434"/>
    </row>
    <row r="60" spans="1:7">
      <c r="A60" s="474" t="s">
        <v>434</v>
      </c>
      <c r="B60" s="475"/>
      <c r="C60" s="423">
        <f>SUM(C57:C59)</f>
        <v>4398884.7526785713</v>
      </c>
      <c r="D60" s="207" t="s">
        <v>192</v>
      </c>
      <c r="E60" s="476"/>
      <c r="F60" s="477"/>
      <c r="G60" s="478"/>
    </row>
    <row r="62" spans="1:7">
      <c r="A62" s="461" t="s">
        <v>190</v>
      </c>
      <c r="B62" s="461"/>
      <c r="C62" s="461"/>
      <c r="D62" s="461"/>
      <c r="E62" s="461"/>
      <c r="F62" s="461"/>
      <c r="G62" s="461"/>
    </row>
    <row r="63" spans="1:7">
      <c r="A63" s="197" t="s">
        <v>120</v>
      </c>
      <c r="B63" s="198" t="s">
        <v>91</v>
      </c>
      <c r="C63" s="197" t="s">
        <v>172</v>
      </c>
      <c r="D63" s="157" t="s">
        <v>173</v>
      </c>
      <c r="E63" s="461" t="s">
        <v>122</v>
      </c>
      <c r="F63" s="461"/>
      <c r="G63" s="461"/>
    </row>
    <row r="64" spans="1:7">
      <c r="A64" s="435" t="s">
        <v>191</v>
      </c>
      <c r="B64" s="436"/>
      <c r="C64" s="209"/>
      <c r="D64" s="206"/>
      <c r="E64" s="462"/>
      <c r="F64" s="462"/>
      <c r="G64" s="462"/>
    </row>
    <row r="65" spans="1:7" ht="12.75" customHeight="1">
      <c r="A65" s="435" t="s">
        <v>238</v>
      </c>
      <c r="B65" s="436"/>
      <c r="C65" s="272">
        <v>2672078.0428571431</v>
      </c>
      <c r="D65" s="207" t="s">
        <v>192</v>
      </c>
      <c r="E65" s="433" t="s">
        <v>233</v>
      </c>
      <c r="F65" s="434"/>
      <c r="G65" s="434"/>
    </row>
    <row r="66" spans="1:7" ht="12.75" customHeight="1">
      <c r="A66" s="435" t="s">
        <v>239</v>
      </c>
      <c r="B66" s="436"/>
      <c r="C66" s="272">
        <v>104613.05357142858</v>
      </c>
      <c r="D66" s="207" t="s">
        <v>192</v>
      </c>
      <c r="E66" s="433" t="s">
        <v>233</v>
      </c>
      <c r="F66" s="434"/>
      <c r="G66" s="434"/>
    </row>
    <row r="67" spans="1:7" ht="12.75" customHeight="1">
      <c r="A67" s="435" t="s">
        <v>240</v>
      </c>
      <c r="B67" s="436"/>
      <c r="C67" s="272">
        <v>653502.59821428568</v>
      </c>
      <c r="D67" s="207" t="s">
        <v>192</v>
      </c>
      <c r="E67" s="433" t="s">
        <v>233</v>
      </c>
      <c r="F67" s="434"/>
      <c r="G67" s="434"/>
    </row>
    <row r="68" spans="1:7" ht="12.75" customHeight="1">
      <c r="A68" s="435" t="s">
        <v>241</v>
      </c>
      <c r="B68" s="436"/>
      <c r="C68" s="272">
        <v>2167517.34375</v>
      </c>
      <c r="D68" s="207" t="s">
        <v>192</v>
      </c>
      <c r="E68" s="433" t="s">
        <v>233</v>
      </c>
      <c r="F68" s="434"/>
      <c r="G68" s="434"/>
    </row>
    <row r="69" spans="1:7" ht="12.75" customHeight="1">
      <c r="A69" s="435" t="s">
        <v>242</v>
      </c>
      <c r="B69" s="436"/>
      <c r="C69" s="272">
        <v>572200.7839285715</v>
      </c>
      <c r="D69" s="207" t="s">
        <v>192</v>
      </c>
      <c r="E69" s="433" t="s">
        <v>233</v>
      </c>
      <c r="F69" s="434"/>
      <c r="G69" s="434"/>
    </row>
    <row r="70" spans="1:7" ht="12.75" customHeight="1">
      <c r="A70" s="435" t="s">
        <v>243</v>
      </c>
      <c r="B70" s="436"/>
      <c r="C70" s="272">
        <v>19544730.842857145</v>
      </c>
      <c r="D70" s="207" t="s">
        <v>192</v>
      </c>
      <c r="E70" s="433" t="s">
        <v>233</v>
      </c>
      <c r="F70" s="434"/>
      <c r="G70" s="434"/>
    </row>
    <row r="71" spans="1:7">
      <c r="A71" s="435" t="s">
        <v>244</v>
      </c>
      <c r="B71" s="436"/>
      <c r="C71" s="272">
        <v>1246408.6455357145</v>
      </c>
      <c r="D71" s="207" t="s">
        <v>192</v>
      </c>
      <c r="E71" s="433" t="s">
        <v>233</v>
      </c>
      <c r="F71" s="434"/>
      <c r="G71" s="434"/>
    </row>
    <row r="72" spans="1:7">
      <c r="A72" s="435" t="s">
        <v>435</v>
      </c>
      <c r="B72" s="436"/>
      <c r="C72" s="427">
        <f>SUM(C65:C71)</f>
        <v>26961051.31071429</v>
      </c>
      <c r="D72" s="207" t="s">
        <v>192</v>
      </c>
      <c r="E72" s="433"/>
      <c r="F72" s="434"/>
      <c r="G72" s="434"/>
    </row>
    <row r="73" spans="1:7" ht="12.75" customHeight="1">
      <c r="A73" s="435" t="s">
        <v>245</v>
      </c>
      <c r="B73" s="436"/>
      <c r="C73" s="272">
        <v>8578053.7419642862</v>
      </c>
      <c r="D73" s="207" t="s">
        <v>192</v>
      </c>
      <c r="E73" s="433" t="s">
        <v>233</v>
      </c>
      <c r="F73" s="434"/>
      <c r="G73" s="434"/>
    </row>
    <row r="74" spans="1:7" ht="12.75" customHeight="1">
      <c r="A74" s="435" t="s">
        <v>246</v>
      </c>
      <c r="B74" s="436"/>
      <c r="C74" s="272">
        <v>2952234.7473214287</v>
      </c>
      <c r="D74" s="207" t="s">
        <v>192</v>
      </c>
      <c r="E74" s="433" t="s">
        <v>233</v>
      </c>
      <c r="F74" s="434"/>
      <c r="G74" s="434"/>
    </row>
    <row r="75" spans="1:7" ht="12.75" customHeight="1">
      <c r="A75" s="435" t="s">
        <v>247</v>
      </c>
      <c r="B75" s="436"/>
      <c r="C75" s="272">
        <v>994654.86607142864</v>
      </c>
      <c r="D75" s="207" t="s">
        <v>192</v>
      </c>
      <c r="E75" s="433" t="s">
        <v>233</v>
      </c>
      <c r="F75" s="434"/>
      <c r="G75" s="434"/>
    </row>
    <row r="76" spans="1:7" ht="12.75" customHeight="1">
      <c r="A76" s="435" t="s">
        <v>193</v>
      </c>
      <c r="B76" s="436"/>
      <c r="C76" s="272"/>
      <c r="D76" s="207"/>
      <c r="E76" s="433"/>
      <c r="F76" s="434"/>
      <c r="G76" s="434"/>
    </row>
    <row r="77" spans="1:7">
      <c r="A77" s="435" t="s">
        <v>248</v>
      </c>
      <c r="B77" s="436"/>
      <c r="C77" s="272">
        <v>957584</v>
      </c>
      <c r="D77" s="207" t="s">
        <v>174</v>
      </c>
      <c r="E77" s="433" t="s">
        <v>234</v>
      </c>
      <c r="F77" s="434"/>
      <c r="G77" s="434"/>
    </row>
    <row r="78" spans="1:7">
      <c r="A78" s="435" t="s">
        <v>249</v>
      </c>
      <c r="B78" s="436"/>
      <c r="C78" s="272">
        <v>1360064</v>
      </c>
      <c r="D78" s="207" t="s">
        <v>174</v>
      </c>
      <c r="E78" s="433" t="s">
        <v>234</v>
      </c>
      <c r="F78" s="434"/>
      <c r="G78" s="434"/>
    </row>
    <row r="79" spans="1:7" ht="13.2" customHeight="1">
      <c r="A79" s="435" t="s">
        <v>250</v>
      </c>
      <c r="B79" s="436"/>
      <c r="C79" s="272">
        <v>4020219</v>
      </c>
      <c r="D79" s="207" t="s">
        <v>174</v>
      </c>
      <c r="E79" s="433" t="s">
        <v>234</v>
      </c>
      <c r="F79" s="434"/>
      <c r="G79" s="434"/>
    </row>
    <row r="80" spans="1:7">
      <c r="A80" s="435" t="s">
        <v>251</v>
      </c>
      <c r="B80" s="436"/>
      <c r="C80" s="272">
        <v>769355.05</v>
      </c>
      <c r="D80" s="207" t="s">
        <v>174</v>
      </c>
      <c r="E80" s="433" t="s">
        <v>234</v>
      </c>
      <c r="F80" s="434"/>
      <c r="G80" s="434"/>
    </row>
    <row r="81" spans="1:7">
      <c r="A81" s="435" t="s">
        <v>445</v>
      </c>
      <c r="B81" s="436"/>
      <c r="C81" s="427">
        <f>SUM(C77:C80)</f>
        <v>7107222.0499999998</v>
      </c>
      <c r="D81" s="591" t="s">
        <v>174</v>
      </c>
      <c r="E81" s="429"/>
      <c r="F81" s="589"/>
      <c r="G81" s="590"/>
    </row>
    <row r="82" spans="1:7">
      <c r="A82" s="437" t="s">
        <v>252</v>
      </c>
      <c r="B82" s="438"/>
      <c r="C82" s="272">
        <v>731766.84</v>
      </c>
      <c r="D82" s="207" t="s">
        <v>192</v>
      </c>
      <c r="E82" s="443" t="s">
        <v>235</v>
      </c>
      <c r="F82" s="444"/>
      <c r="G82" s="445"/>
    </row>
    <row r="83" spans="1:7">
      <c r="A83" s="439"/>
      <c r="B83" s="440"/>
      <c r="C83" s="272">
        <v>20180.759999999998</v>
      </c>
      <c r="D83" s="207" t="s">
        <v>194</v>
      </c>
      <c r="E83" s="446"/>
      <c r="F83" s="447"/>
      <c r="G83" s="448"/>
    </row>
    <row r="84" spans="1:7">
      <c r="A84" s="441"/>
      <c r="B84" s="442"/>
      <c r="C84" s="272">
        <v>4912.5200000000004</v>
      </c>
      <c r="D84" s="207" t="s">
        <v>174</v>
      </c>
      <c r="E84" s="449"/>
      <c r="F84" s="450"/>
      <c r="G84" s="451"/>
    </row>
    <row r="85" spans="1:7">
      <c r="A85" s="435" t="s">
        <v>446</v>
      </c>
      <c r="B85" s="436"/>
      <c r="C85" s="427">
        <f>C82+C83*C15/C14+C84/C14</f>
        <v>761571.88717892847</v>
      </c>
      <c r="D85" s="591" t="s">
        <v>192</v>
      </c>
      <c r="E85" s="430"/>
      <c r="F85" s="431"/>
      <c r="G85" s="432"/>
    </row>
    <row r="86" spans="1:7" ht="13.2" customHeight="1"/>
    <row r="87" spans="1:7" ht="13.2" customHeight="1">
      <c r="A87" s="461" t="s">
        <v>171</v>
      </c>
      <c r="B87" s="461"/>
      <c r="C87" s="461"/>
      <c r="D87" s="461"/>
      <c r="E87" s="461"/>
      <c r="F87" s="461"/>
      <c r="G87" s="461"/>
    </row>
    <row r="88" spans="1:7" ht="13.2" customHeight="1">
      <c r="A88" s="157" t="s">
        <v>120</v>
      </c>
      <c r="B88" s="157" t="s">
        <v>91</v>
      </c>
      <c r="C88" s="157" t="s">
        <v>172</v>
      </c>
      <c r="D88" s="157" t="s">
        <v>173</v>
      </c>
      <c r="E88" s="461" t="s">
        <v>122</v>
      </c>
      <c r="F88" s="461"/>
      <c r="G88" s="461"/>
    </row>
    <row r="89" spans="1:7" ht="132">
      <c r="A89" s="425" t="s">
        <v>440</v>
      </c>
      <c r="B89" s="159">
        <v>4</v>
      </c>
      <c r="C89" s="274">
        <v>19848191</v>
      </c>
      <c r="D89" s="206" t="s">
        <v>174</v>
      </c>
      <c r="E89" s="452" t="s">
        <v>431</v>
      </c>
      <c r="F89" s="453"/>
      <c r="G89" s="454"/>
    </row>
    <row r="90" spans="1:7">
      <c r="A90" s="425" t="s">
        <v>70</v>
      </c>
      <c r="B90" s="194" t="s">
        <v>175</v>
      </c>
      <c r="C90" s="274">
        <v>10729835.507999999</v>
      </c>
      <c r="D90" s="207" t="s">
        <v>174</v>
      </c>
      <c r="E90" s="433" t="s">
        <v>232</v>
      </c>
      <c r="F90" s="434"/>
      <c r="G90" s="434"/>
    </row>
    <row r="93" spans="1:7">
      <c r="C93" s="426"/>
    </row>
  </sheetData>
  <mergeCells count="101">
    <mergeCell ref="E39:G39"/>
    <mergeCell ref="A37:G37"/>
    <mergeCell ref="A57:B57"/>
    <mergeCell ref="A60:B60"/>
    <mergeCell ref="E58:G58"/>
    <mergeCell ref="A58:B58"/>
    <mergeCell ref="E60:G60"/>
    <mergeCell ref="E40:G40"/>
    <mergeCell ref="E41:G41"/>
    <mergeCell ref="A55:G55"/>
    <mergeCell ref="E56:G56"/>
    <mergeCell ref="A50:B50"/>
    <mergeCell ref="E50:G50"/>
    <mergeCell ref="A51:B51"/>
    <mergeCell ref="E51:G51"/>
    <mergeCell ref="A53:B53"/>
    <mergeCell ref="E38:G38"/>
    <mergeCell ref="A2:C2"/>
    <mergeCell ref="E2:G2"/>
    <mergeCell ref="E3:G3"/>
    <mergeCell ref="E4:G4"/>
    <mergeCell ref="E14:G14"/>
    <mergeCell ref="C38:D38"/>
    <mergeCell ref="E13:G13"/>
    <mergeCell ref="E8:G8"/>
    <mergeCell ref="E9:G9"/>
    <mergeCell ref="A32:D32"/>
    <mergeCell ref="A17:C17"/>
    <mergeCell ref="E17:G17"/>
    <mergeCell ref="E15:G15"/>
    <mergeCell ref="E21:G21"/>
    <mergeCell ref="E5:G5"/>
    <mergeCell ref="E6:G6"/>
    <mergeCell ref="A6:B6"/>
    <mergeCell ref="A26:C26"/>
    <mergeCell ref="E7:G7"/>
    <mergeCell ref="E11:G11"/>
    <mergeCell ref="A23:C23"/>
    <mergeCell ref="E23:G23"/>
    <mergeCell ref="E18:G18"/>
    <mergeCell ref="E19:G19"/>
    <mergeCell ref="E20:G20"/>
    <mergeCell ref="E24:G24"/>
    <mergeCell ref="A13:C13"/>
    <mergeCell ref="E10:G10"/>
    <mergeCell ref="A43:K43"/>
    <mergeCell ref="A47:G47"/>
    <mergeCell ref="E48:G48"/>
    <mergeCell ref="A77:B77"/>
    <mergeCell ref="E59:G59"/>
    <mergeCell ref="E52:G52"/>
    <mergeCell ref="E63:G63"/>
    <mergeCell ref="E64:G64"/>
    <mergeCell ref="E65:G65"/>
    <mergeCell ref="E75:G75"/>
    <mergeCell ref="A59:B59"/>
    <mergeCell ref="A75:B75"/>
    <mergeCell ref="A62:G62"/>
    <mergeCell ref="E53:G53"/>
    <mergeCell ref="A64:B64"/>
    <mergeCell ref="E89:G89"/>
    <mergeCell ref="E49:G49"/>
    <mergeCell ref="A49:B49"/>
    <mergeCell ref="A48:C48"/>
    <mergeCell ref="A87:G87"/>
    <mergeCell ref="E88:G88"/>
    <mergeCell ref="E80:G80"/>
    <mergeCell ref="A81:B81"/>
    <mergeCell ref="A85:B85"/>
    <mergeCell ref="A70:B70"/>
    <mergeCell ref="E90:G90"/>
    <mergeCell ref="A52:B52"/>
    <mergeCell ref="A82:B84"/>
    <mergeCell ref="E82:G84"/>
    <mergeCell ref="A78:B78"/>
    <mergeCell ref="A79:B79"/>
    <mergeCell ref="A80:B80"/>
    <mergeCell ref="E78:G78"/>
    <mergeCell ref="E79:G79"/>
    <mergeCell ref="E71:G71"/>
    <mergeCell ref="E73:G73"/>
    <mergeCell ref="E74:G74"/>
    <mergeCell ref="E57:G57"/>
    <mergeCell ref="A66:B66"/>
    <mergeCell ref="E66:G66"/>
    <mergeCell ref="E77:G77"/>
    <mergeCell ref="A74:B74"/>
    <mergeCell ref="A73:B73"/>
    <mergeCell ref="A65:B65"/>
    <mergeCell ref="A72:B72"/>
    <mergeCell ref="E72:G72"/>
    <mergeCell ref="A76:B76"/>
    <mergeCell ref="E76:G76"/>
    <mergeCell ref="A71:B71"/>
    <mergeCell ref="E68:G68"/>
    <mergeCell ref="E69:G69"/>
    <mergeCell ref="A67:B67"/>
    <mergeCell ref="E70:G70"/>
    <mergeCell ref="E67:G67"/>
    <mergeCell ref="A68:B68"/>
    <mergeCell ref="A69:B69"/>
  </mergeCells>
  <phoneticPr fontId="3" type="noConversion"/>
  <pageMargins left="0.75" right="0.75" top="1" bottom="1" header="0" footer="0"/>
  <pageSetup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sheetPr codeName="Hoja3"/>
  <dimension ref="B2:BP64"/>
  <sheetViews>
    <sheetView zoomScale="85" workbookViewId="0"/>
  </sheetViews>
  <sheetFormatPr baseColWidth="10" defaultColWidth="23.44140625" defaultRowHeight="13.2"/>
  <cols>
    <col min="1" max="1" width="3.44140625" style="324" customWidth="1"/>
    <col min="2" max="2" width="18.44140625" style="324" bestFit="1" customWidth="1"/>
    <col min="3" max="3" width="12.5546875" style="324" customWidth="1"/>
    <col min="4" max="4" width="11" style="324" customWidth="1"/>
    <col min="5" max="5" width="13.33203125" style="324" bestFit="1" customWidth="1"/>
    <col min="6" max="6" width="18.44140625" style="324" customWidth="1"/>
    <col min="7" max="7" width="12.5546875" style="324" customWidth="1"/>
    <col min="8" max="8" width="11" style="324" customWidth="1"/>
    <col min="9" max="9" width="13.33203125" style="324" customWidth="1"/>
    <col min="10" max="10" width="18.44140625" style="324" customWidth="1"/>
    <col min="11" max="11" width="12.6640625" style="324" customWidth="1"/>
    <col min="12" max="12" width="11" style="324" customWidth="1"/>
    <col min="13" max="16384" width="23.44140625" style="324"/>
  </cols>
  <sheetData>
    <row r="2" spans="2:12">
      <c r="B2" s="479" t="s">
        <v>197</v>
      </c>
      <c r="C2" s="479"/>
      <c r="D2" s="479"/>
      <c r="F2" s="479" t="s">
        <v>199</v>
      </c>
      <c r="G2" s="479"/>
      <c r="H2" s="479"/>
      <c r="J2" s="479" t="s">
        <v>42</v>
      </c>
      <c r="K2" s="479"/>
      <c r="L2" s="479"/>
    </row>
    <row r="3" spans="2:12">
      <c r="B3" s="325" t="s">
        <v>177</v>
      </c>
      <c r="C3" s="480" t="s">
        <v>197</v>
      </c>
      <c r="D3" s="480"/>
      <c r="F3" s="325" t="s">
        <v>177</v>
      </c>
      <c r="G3" s="480" t="s">
        <v>197</v>
      </c>
      <c r="H3" s="480"/>
      <c r="J3" s="325" t="s">
        <v>177</v>
      </c>
      <c r="K3" s="480" t="s">
        <v>197</v>
      </c>
      <c r="L3" s="480"/>
    </row>
    <row r="4" spans="2:12">
      <c r="B4" s="328" t="str">
        <f>'Baseline Emissions'!B13</f>
        <v>1/06/2012-31/05/2013</v>
      </c>
      <c r="C4" s="326">
        <f>'Baseline Emissions'!B18</f>
        <v>101246.1188265604</v>
      </c>
      <c r="D4" s="327" t="s">
        <v>198</v>
      </c>
      <c r="F4" s="353" t="str">
        <f>'Project Emissions'!B10</f>
        <v>1/06/2012-31/05/2013</v>
      </c>
      <c r="G4" s="326">
        <f>'Project Emissions'!B14</f>
        <v>13135.055185577514</v>
      </c>
      <c r="H4" s="327" t="s">
        <v>198</v>
      </c>
      <c r="J4" s="353" t="str">
        <f>'Emissions Reductions'!B3</f>
        <v>1/06/2012-31/05/2013</v>
      </c>
      <c r="K4" s="326">
        <f>'Emissions Reductions'!B9</f>
        <v>88111</v>
      </c>
      <c r="L4" s="327" t="s">
        <v>198</v>
      </c>
    </row>
    <row r="5" spans="2:12">
      <c r="B5" s="353" t="str">
        <f>'Baseline Emissions'!C13</f>
        <v>1/06/2013-31/05/2014</v>
      </c>
      <c r="C5" s="326">
        <f>'Baseline Emissions'!C18</f>
        <v>101246.1188265604</v>
      </c>
      <c r="D5" s="327" t="s">
        <v>198</v>
      </c>
      <c r="F5" s="353" t="str">
        <f>'Project Emissions'!C10</f>
        <v>1/06/2013-31/05/2014</v>
      </c>
      <c r="G5" s="326">
        <f>'Project Emissions'!C14</f>
        <v>13135.055185577514</v>
      </c>
      <c r="H5" s="327" t="s">
        <v>198</v>
      </c>
      <c r="J5" s="353" t="str">
        <f>'Emissions Reductions'!C3</f>
        <v>1/06/2013-31/05/2014</v>
      </c>
      <c r="K5" s="326">
        <f>'Emissions Reductions'!C9</f>
        <v>88111</v>
      </c>
      <c r="L5" s="327" t="s">
        <v>198</v>
      </c>
    </row>
    <row r="6" spans="2:12">
      <c r="B6" s="353" t="str">
        <f>'Baseline Emissions'!D13</f>
        <v>1/06/2014-31/05/2015</v>
      </c>
      <c r="C6" s="326">
        <f>'Baseline Emissions'!D18</f>
        <v>101246.1188265604</v>
      </c>
      <c r="D6" s="327" t="s">
        <v>198</v>
      </c>
      <c r="F6" s="353" t="str">
        <f>'Project Emissions'!D10</f>
        <v>1/06/2014-31/05/2015</v>
      </c>
      <c r="G6" s="326">
        <f>'Project Emissions'!D14</f>
        <v>13135.055185577514</v>
      </c>
      <c r="H6" s="327" t="s">
        <v>198</v>
      </c>
      <c r="J6" s="353" t="str">
        <f>'Emissions Reductions'!D3</f>
        <v>1/06/2014-31/05/2015</v>
      </c>
      <c r="K6" s="326">
        <f>'Emissions Reductions'!D9</f>
        <v>88111</v>
      </c>
      <c r="L6" s="327" t="s">
        <v>198</v>
      </c>
    </row>
    <row r="7" spans="2:12">
      <c r="B7" s="353" t="str">
        <f>'Baseline Emissions'!E13</f>
        <v>1/06/2015-31/05/2016</v>
      </c>
      <c r="C7" s="326">
        <f>'Baseline Emissions'!E18</f>
        <v>101246.1188265604</v>
      </c>
      <c r="D7" s="327" t="s">
        <v>198</v>
      </c>
      <c r="F7" s="353" t="str">
        <f>'Project Emissions'!E10</f>
        <v>1/06/2015-31/05/2016</v>
      </c>
      <c r="G7" s="326">
        <f>'Project Emissions'!E14</f>
        <v>13135.055185577514</v>
      </c>
      <c r="H7" s="327" t="s">
        <v>198</v>
      </c>
      <c r="J7" s="353" t="str">
        <f>'Emissions Reductions'!E3</f>
        <v>1/06/2015-31/05/2016</v>
      </c>
      <c r="K7" s="326">
        <f>'Emissions Reductions'!E9</f>
        <v>88111</v>
      </c>
      <c r="L7" s="327" t="s">
        <v>198</v>
      </c>
    </row>
    <row r="8" spans="2:12">
      <c r="B8" s="353" t="str">
        <f>'Baseline Emissions'!F13</f>
        <v>1/06/2016-31/05/2017</v>
      </c>
      <c r="C8" s="326">
        <f>'Baseline Emissions'!F18</f>
        <v>101246.1188265604</v>
      </c>
      <c r="D8" s="327" t="s">
        <v>198</v>
      </c>
      <c r="F8" s="353" t="str">
        <f>'Project Emissions'!F10</f>
        <v>1/06/2016-31/05/2017</v>
      </c>
      <c r="G8" s="326">
        <f>'Project Emissions'!F14</f>
        <v>13135.055185577514</v>
      </c>
      <c r="H8" s="327" t="s">
        <v>198</v>
      </c>
      <c r="J8" s="353" t="str">
        <f>'Emissions Reductions'!F3</f>
        <v>1/06/2016-31/05/2017</v>
      </c>
      <c r="K8" s="326">
        <f>'Emissions Reductions'!F9</f>
        <v>88111</v>
      </c>
      <c r="L8" s="327" t="s">
        <v>198</v>
      </c>
    </row>
    <row r="9" spans="2:12">
      <c r="B9" s="353" t="str">
        <f>'Baseline Emissions'!G13</f>
        <v>1/06/2017-31/05/2018</v>
      </c>
      <c r="C9" s="326">
        <f>'Baseline Emissions'!G18</f>
        <v>101246.1188265604</v>
      </c>
      <c r="D9" s="327" t="s">
        <v>198</v>
      </c>
      <c r="F9" s="353" t="str">
        <f>'Project Emissions'!G10</f>
        <v>1/06/2017-31/05/2018</v>
      </c>
      <c r="G9" s="329">
        <f>'Project Emissions'!G14</f>
        <v>13135.055185577514</v>
      </c>
      <c r="H9" s="327" t="s">
        <v>198</v>
      </c>
      <c r="J9" s="353" t="str">
        <f>'Emissions Reductions'!G3</f>
        <v>1/06/2017-31/05/2018</v>
      </c>
      <c r="K9" s="329">
        <f>'Emissions Reductions'!G9</f>
        <v>88111</v>
      </c>
      <c r="L9" s="327" t="s">
        <v>198</v>
      </c>
    </row>
    <row r="10" spans="2:12">
      <c r="B10" s="353" t="str">
        <f>'Baseline Emissions'!H13</f>
        <v>1/06/2018-31/05/2019</v>
      </c>
      <c r="C10" s="326">
        <f>'Baseline Emissions'!H18</f>
        <v>101246.1188265604</v>
      </c>
      <c r="D10" s="327" t="s">
        <v>198</v>
      </c>
      <c r="F10" s="353" t="str">
        <f>'Project Emissions'!H10</f>
        <v>1/06/2018-31/05/2019</v>
      </c>
      <c r="G10" s="326">
        <f>'Project Emissions'!H14</f>
        <v>13135.055185577514</v>
      </c>
      <c r="H10" s="327" t="s">
        <v>198</v>
      </c>
      <c r="J10" s="353" t="str">
        <f>'Emissions Reductions'!H3</f>
        <v>1/06/2018-31/05/2019</v>
      </c>
      <c r="K10" s="326">
        <f>'Emissions Reductions'!H9</f>
        <v>88111</v>
      </c>
      <c r="L10" s="327" t="s">
        <v>198</v>
      </c>
    </row>
    <row r="11" spans="2:12">
      <c r="B11" s="353" t="str">
        <f>'Baseline Emissions'!I13</f>
        <v>1/06/2019-31/05/2020</v>
      </c>
      <c r="C11" s="326">
        <f>'Baseline Emissions'!I18</f>
        <v>101246.1188265604</v>
      </c>
      <c r="D11" s="327" t="s">
        <v>198</v>
      </c>
      <c r="F11" s="353" t="str">
        <f>'Project Emissions'!I10</f>
        <v>1/06/2019-31/05/2020</v>
      </c>
      <c r="G11" s="326">
        <f>'Project Emissions'!I14</f>
        <v>13135.055185577514</v>
      </c>
      <c r="H11" s="327" t="s">
        <v>198</v>
      </c>
      <c r="J11" s="353" t="str">
        <f>'Emissions Reductions'!I3</f>
        <v>1/06/2019-31/05/2020</v>
      </c>
      <c r="K11" s="326">
        <f>'Emissions Reductions'!I9</f>
        <v>88111</v>
      </c>
      <c r="L11" s="327" t="s">
        <v>198</v>
      </c>
    </row>
    <row r="12" spans="2:12">
      <c r="B12" s="353" t="str">
        <f>'Baseline Emissions'!J13</f>
        <v>1/06/2020-31/05/2021</v>
      </c>
      <c r="C12" s="326">
        <f>'Baseline Emissions'!J18</f>
        <v>101246.1188265604</v>
      </c>
      <c r="D12" s="327" t="s">
        <v>198</v>
      </c>
      <c r="F12" s="353" t="str">
        <f>'Project Emissions'!J10</f>
        <v>1/06/2020-31/05/2021</v>
      </c>
      <c r="G12" s="326">
        <f>'Project Emissions'!J14</f>
        <v>13135.055185577514</v>
      </c>
      <c r="H12" s="327" t="s">
        <v>198</v>
      </c>
      <c r="J12" s="353" t="str">
        <f>'Emissions Reductions'!J3</f>
        <v>1/06/2020-31/05/2021</v>
      </c>
      <c r="K12" s="326">
        <f>'Emissions Reductions'!J9</f>
        <v>88111</v>
      </c>
      <c r="L12" s="327" t="s">
        <v>198</v>
      </c>
    </row>
    <row r="13" spans="2:12">
      <c r="B13" s="353" t="str">
        <f>'Baseline Emissions'!K13</f>
        <v>1/06/2021-31/05/2022</v>
      </c>
      <c r="C13" s="326">
        <f>'Baseline Emissions'!K18</f>
        <v>101246.1188265604</v>
      </c>
      <c r="D13" s="327" t="s">
        <v>198</v>
      </c>
      <c r="F13" s="353" t="str">
        <f>'Project Emissions'!K10</f>
        <v>1/06/2021-31/05/2022</v>
      </c>
      <c r="G13" s="326">
        <f>'Project Emissions'!K14</f>
        <v>13135.055185577514</v>
      </c>
      <c r="H13" s="327" t="s">
        <v>198</v>
      </c>
      <c r="J13" s="353" t="str">
        <f>'Emissions Reductions'!K3</f>
        <v>1/06/2021-31/05/2022</v>
      </c>
      <c r="K13" s="326">
        <f>'Emissions Reductions'!K9</f>
        <v>88111</v>
      </c>
      <c r="L13" s="327" t="s">
        <v>198</v>
      </c>
    </row>
    <row r="16" spans="2:12">
      <c r="F16" s="479" t="s">
        <v>200</v>
      </c>
      <c r="G16" s="479"/>
      <c r="H16" s="479"/>
    </row>
    <row r="17" spans="2:68">
      <c r="F17" s="481" t="s">
        <v>201</v>
      </c>
      <c r="G17" s="481"/>
      <c r="H17" s="330">
        <f>Baseline_NaturalGas!C51</f>
        <v>2.3930274200338046</v>
      </c>
    </row>
    <row r="18" spans="2:68" ht="24.75" customHeight="1">
      <c r="F18" s="481" t="s">
        <v>202</v>
      </c>
      <c r="G18" s="481"/>
      <c r="H18" s="330">
        <f>'WHRS_Project Scenario'!C47</f>
        <v>0.74631049628791313</v>
      </c>
    </row>
    <row r="19" spans="2:68" ht="24.75" customHeight="1" thickBot="1">
      <c r="F19" s="481" t="s">
        <v>203</v>
      </c>
      <c r="G19" s="481"/>
      <c r="H19" s="330">
        <f>'WHRS_Project Scenario'!C58</f>
        <v>0.78521602069247809</v>
      </c>
    </row>
    <row r="20" spans="2:68">
      <c r="F20" s="331"/>
      <c r="AT20" s="339" t="s">
        <v>271</v>
      </c>
      <c r="AU20" s="339" t="s">
        <v>272</v>
      </c>
      <c r="AV20" s="339" t="s">
        <v>273</v>
      </c>
      <c r="AW20" s="339" t="s">
        <v>274</v>
      </c>
      <c r="AX20" s="339" t="s">
        <v>275</v>
      </c>
      <c r="AY20" s="339" t="s">
        <v>276</v>
      </c>
      <c r="AZ20" s="340" t="s">
        <v>277</v>
      </c>
      <c r="BA20" s="340" t="s">
        <v>277</v>
      </c>
      <c r="BB20" s="340" t="s">
        <v>277</v>
      </c>
      <c r="BC20" s="340" t="s">
        <v>277</v>
      </c>
      <c r="BD20" s="340" t="s">
        <v>277</v>
      </c>
      <c r="BE20" s="340" t="s">
        <v>277</v>
      </c>
      <c r="BF20" s="340" t="s">
        <v>277</v>
      </c>
      <c r="BG20" s="340" t="s">
        <v>277</v>
      </c>
      <c r="BH20" s="340" t="s">
        <v>277</v>
      </c>
      <c r="BI20" s="340" t="s">
        <v>277</v>
      </c>
      <c r="BJ20" s="340" t="s">
        <v>277</v>
      </c>
      <c r="BK20" s="340" t="s">
        <v>277</v>
      </c>
      <c r="BL20" s="340" t="s">
        <v>277</v>
      </c>
      <c r="BM20" s="340" t="s">
        <v>277</v>
      </c>
      <c r="BN20" s="340" t="s">
        <v>278</v>
      </c>
      <c r="BO20" s="340" t="s">
        <v>279</v>
      </c>
      <c r="BP20" s="340" t="s">
        <v>280</v>
      </c>
    </row>
    <row r="21" spans="2:68">
      <c r="B21" s="332"/>
    </row>
    <row r="25" spans="2:68" hidden="1">
      <c r="B25" s="333"/>
    </row>
    <row r="27" spans="2:68">
      <c r="B27" s="407"/>
      <c r="C27" s="408"/>
      <c r="D27" s="346"/>
      <c r="E27" s="346"/>
      <c r="F27" s="346"/>
      <c r="G27" s="346"/>
      <c r="H27" s="346"/>
    </row>
    <row r="28" spans="2:68">
      <c r="B28" s="407"/>
      <c r="C28" s="409"/>
      <c r="D28" s="348"/>
      <c r="E28" s="348"/>
      <c r="F28" s="347"/>
      <c r="G28" s="348"/>
      <c r="H28" s="348"/>
    </row>
    <row r="29" spans="2:68">
      <c r="B29" s="407"/>
      <c r="C29" s="349"/>
      <c r="D29" s="349"/>
      <c r="E29" s="349"/>
      <c r="F29" s="349"/>
      <c r="G29" s="349"/>
      <c r="H29" s="349"/>
    </row>
    <row r="30" spans="2:68">
      <c r="B30" s="410"/>
      <c r="C30" s="410"/>
      <c r="D30" s="410"/>
      <c r="E30" s="410"/>
      <c r="F30" s="410"/>
      <c r="G30" s="410"/>
      <c r="H30" s="410"/>
    </row>
    <row r="31" spans="2:68">
      <c r="B31" s="407"/>
      <c r="C31" s="408"/>
      <c r="D31" s="346"/>
      <c r="E31" s="346"/>
      <c r="F31" s="346"/>
      <c r="G31" s="346"/>
      <c r="H31" s="346"/>
    </row>
    <row r="32" spans="2:68">
      <c r="B32" s="407"/>
      <c r="C32" s="409"/>
      <c r="D32" s="348"/>
      <c r="E32" s="348"/>
      <c r="F32" s="347"/>
      <c r="G32" s="348"/>
      <c r="H32" s="348"/>
    </row>
    <row r="33" spans="2:8">
      <c r="B33" s="407"/>
      <c r="C33" s="409"/>
      <c r="D33" s="348"/>
      <c r="E33" s="348"/>
      <c r="F33" s="347"/>
      <c r="G33" s="348"/>
      <c r="H33" s="348"/>
    </row>
    <row r="34" spans="2:8">
      <c r="B34" s="407"/>
      <c r="C34" s="349"/>
      <c r="D34" s="349"/>
      <c r="E34" s="349"/>
      <c r="F34" s="349"/>
      <c r="G34" s="349"/>
      <c r="H34" s="349"/>
    </row>
    <row r="35" spans="2:8">
      <c r="B35" s="407"/>
      <c r="C35" s="349"/>
      <c r="D35" s="349"/>
      <c r="E35" s="349"/>
      <c r="F35" s="349"/>
      <c r="G35" s="349"/>
      <c r="H35" s="349"/>
    </row>
    <row r="37" spans="2:8">
      <c r="B37" s="407"/>
      <c r="C37" s="408"/>
      <c r="D37" s="346"/>
      <c r="E37" s="346"/>
      <c r="F37" s="346"/>
      <c r="G37" s="346"/>
      <c r="H37" s="346"/>
    </row>
    <row r="38" spans="2:8">
      <c r="B38" s="407"/>
      <c r="C38" s="409"/>
      <c r="D38" s="348"/>
      <c r="E38" s="348"/>
      <c r="F38" s="347"/>
      <c r="G38" s="348"/>
      <c r="H38" s="348"/>
    </row>
    <row r="39" spans="2:8">
      <c r="B39" s="407"/>
      <c r="C39" s="409"/>
      <c r="D39" s="348"/>
      <c r="E39" s="348"/>
      <c r="F39" s="347"/>
      <c r="G39" s="348"/>
      <c r="H39" s="348"/>
    </row>
    <row r="40" spans="2:8">
      <c r="B40" s="407"/>
      <c r="C40" s="349"/>
      <c r="D40" s="349"/>
      <c r="E40" s="349"/>
      <c r="F40" s="349"/>
      <c r="G40" s="349"/>
      <c r="H40" s="349"/>
    </row>
    <row r="41" spans="2:8">
      <c r="B41" s="407"/>
      <c r="C41" s="349"/>
      <c r="D41" s="349"/>
      <c r="E41" s="349"/>
      <c r="F41" s="349"/>
      <c r="G41" s="349"/>
      <c r="H41" s="349"/>
    </row>
    <row r="43" spans="2:8">
      <c r="B43" s="407"/>
      <c r="C43" s="408"/>
      <c r="D43" s="346"/>
      <c r="E43" s="346"/>
      <c r="F43" s="346"/>
      <c r="G43" s="346"/>
      <c r="H43" s="346"/>
    </row>
    <row r="44" spans="2:8">
      <c r="B44" s="407"/>
      <c r="C44" s="409"/>
      <c r="D44" s="348"/>
      <c r="E44" s="348"/>
      <c r="F44" s="347"/>
      <c r="G44" s="348"/>
      <c r="H44" s="348"/>
    </row>
    <row r="45" spans="2:8">
      <c r="B45" s="407"/>
      <c r="C45" s="409"/>
      <c r="D45" s="348"/>
      <c r="E45" s="348"/>
      <c r="F45" s="347"/>
      <c r="G45" s="348"/>
      <c r="H45" s="348"/>
    </row>
    <row r="46" spans="2:8">
      <c r="B46" s="407"/>
      <c r="C46" s="349"/>
      <c r="D46" s="349"/>
      <c r="E46" s="349"/>
      <c r="F46" s="349"/>
      <c r="G46" s="349"/>
      <c r="H46" s="349"/>
    </row>
    <row r="47" spans="2:8">
      <c r="B47" s="407"/>
      <c r="C47" s="349"/>
      <c r="D47" s="349"/>
      <c r="E47" s="349"/>
      <c r="F47" s="349"/>
      <c r="G47" s="349"/>
      <c r="H47" s="349"/>
    </row>
    <row r="49" spans="2:10">
      <c r="B49" s="407"/>
      <c r="C49" s="408"/>
      <c r="D49" s="346"/>
      <c r="E49" s="346"/>
      <c r="F49" s="346"/>
      <c r="G49" s="346"/>
      <c r="H49" s="346"/>
    </row>
    <row r="50" spans="2:10">
      <c r="B50" s="407"/>
      <c r="C50" s="409"/>
      <c r="D50" s="348"/>
      <c r="E50" s="348"/>
      <c r="F50" s="347"/>
      <c r="G50" s="348"/>
      <c r="H50" s="348"/>
    </row>
    <row r="51" spans="2:10">
      <c r="B51" s="407"/>
      <c r="C51" s="349"/>
      <c r="D51" s="349"/>
      <c r="E51" s="349"/>
      <c r="F51" s="349"/>
      <c r="G51" s="349"/>
      <c r="H51" s="349"/>
    </row>
    <row r="53" spans="2:10">
      <c r="B53" s="407"/>
      <c r="C53" s="411"/>
      <c r="D53" s="346"/>
      <c r="E53" s="346"/>
      <c r="F53" s="346"/>
      <c r="G53" s="346"/>
      <c r="H53" s="346"/>
    </row>
    <row r="54" spans="2:10">
      <c r="B54" s="407"/>
      <c r="C54" s="409"/>
      <c r="D54" s="348"/>
      <c r="E54" s="348"/>
      <c r="F54" s="347"/>
      <c r="G54" s="348"/>
      <c r="H54" s="348"/>
      <c r="J54" s="349"/>
    </row>
    <row r="55" spans="2:10">
      <c r="B55" s="407"/>
      <c r="C55" s="349"/>
      <c r="D55" s="349"/>
      <c r="E55" s="349"/>
      <c r="F55" s="349"/>
      <c r="G55" s="349"/>
      <c r="H55" s="349"/>
    </row>
    <row r="57" spans="2:10">
      <c r="B57" s="407"/>
      <c r="C57" s="412"/>
      <c r="D57" s="412"/>
      <c r="E57" s="412"/>
      <c r="F57" s="412"/>
      <c r="G57" s="412"/>
      <c r="H57" s="412"/>
    </row>
    <row r="58" spans="2:10">
      <c r="B58" s="407"/>
      <c r="C58" s="409"/>
      <c r="D58" s="348"/>
      <c r="E58" s="348"/>
      <c r="F58" s="348"/>
      <c r="G58" s="348"/>
      <c r="H58" s="348"/>
    </row>
    <row r="59" spans="2:10">
      <c r="B59" s="407"/>
      <c r="C59" s="409"/>
      <c r="D59" s="348"/>
      <c r="E59" s="348"/>
      <c r="F59" s="348"/>
      <c r="G59" s="348"/>
      <c r="H59" s="348"/>
    </row>
    <row r="60" spans="2:10">
      <c r="B60" s="407"/>
      <c r="C60" s="349"/>
      <c r="D60" s="349"/>
      <c r="E60" s="349"/>
      <c r="F60" s="349"/>
      <c r="G60" s="349"/>
      <c r="H60" s="349"/>
    </row>
    <row r="61" spans="2:10">
      <c r="B61" s="407"/>
      <c r="C61" s="349"/>
      <c r="D61" s="349"/>
      <c r="E61" s="349"/>
      <c r="F61" s="349"/>
      <c r="G61" s="349"/>
      <c r="H61" s="349"/>
    </row>
    <row r="64" spans="2:10">
      <c r="I64" s="351"/>
    </row>
  </sheetData>
  <mergeCells count="10">
    <mergeCell ref="F16:H16"/>
    <mergeCell ref="F17:G17"/>
    <mergeCell ref="F19:G19"/>
    <mergeCell ref="F18:G18"/>
    <mergeCell ref="B2:D2"/>
    <mergeCell ref="C3:D3"/>
    <mergeCell ref="F2:H2"/>
    <mergeCell ref="G3:H3"/>
    <mergeCell ref="J2:L2"/>
    <mergeCell ref="K3:L3"/>
  </mergeCells>
  <phoneticPr fontId="81" type="noConversion"/>
  <pageMargins left="0.75" right="0.75" top="1" bottom="1" header="0" footer="0"/>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sheetPr codeName="Hoja4"/>
  <dimension ref="A1:N66"/>
  <sheetViews>
    <sheetView zoomScale="85" workbookViewId="0">
      <selection sqref="A1:K1"/>
    </sheetView>
  </sheetViews>
  <sheetFormatPr baseColWidth="10" defaultColWidth="9.109375" defaultRowHeight="13.2"/>
  <cols>
    <col min="1" max="1" width="35.44140625" style="154" customWidth="1"/>
    <col min="2" max="2" width="18.109375" style="154" bestFit="1" customWidth="1"/>
    <col min="3" max="3" width="16.33203125" style="154" customWidth="1"/>
    <col min="4" max="4" width="14.6640625" style="154" customWidth="1"/>
    <col min="5" max="5" width="13.6640625" style="154" bestFit="1" customWidth="1"/>
    <col min="6" max="6" width="14.109375" style="154" customWidth="1"/>
    <col min="7" max="7" width="13.44140625" style="154" customWidth="1"/>
    <col min="8" max="11" width="13.6640625" style="154" bestFit="1" customWidth="1"/>
    <col min="12" max="12" width="16.6640625" style="154" bestFit="1" customWidth="1"/>
    <col min="13" max="16384" width="9.109375" style="154"/>
  </cols>
  <sheetData>
    <row r="1" spans="1:11">
      <c r="A1" s="484" t="s">
        <v>0</v>
      </c>
      <c r="B1" s="484"/>
      <c r="C1" s="484"/>
      <c r="D1" s="484"/>
      <c r="E1" s="484"/>
      <c r="F1" s="484"/>
      <c r="G1" s="484"/>
      <c r="H1" s="484"/>
      <c r="I1" s="484"/>
      <c r="J1" s="484"/>
      <c r="K1" s="484"/>
    </row>
    <row r="2" spans="1:11">
      <c r="A2" s="485" t="s">
        <v>1</v>
      </c>
      <c r="B2" s="485"/>
    </row>
    <row r="3" spans="1:11">
      <c r="A3" s="40"/>
      <c r="B3" s="162"/>
    </row>
    <row r="4" spans="1:11">
      <c r="A4" s="162"/>
      <c r="B4" s="162"/>
    </row>
    <row r="5" spans="1:11">
      <c r="A5" s="162"/>
      <c r="B5" s="162"/>
    </row>
    <row r="6" spans="1:11">
      <c r="A6" s="162"/>
    </row>
    <row r="7" spans="1:11">
      <c r="A7" s="163"/>
      <c r="B7" s="164"/>
      <c r="D7" s="165"/>
      <c r="K7" s="166"/>
    </row>
    <row r="8" spans="1:11">
      <c r="B8" s="164"/>
      <c r="D8" s="165"/>
      <c r="K8" s="166"/>
    </row>
    <row r="9" spans="1:11">
      <c r="A9" s="40"/>
      <c r="B9" s="164"/>
      <c r="D9" s="165"/>
      <c r="K9" s="166"/>
    </row>
    <row r="10" spans="1:11">
      <c r="A10" s="163"/>
      <c r="B10" s="167">
        <v>1</v>
      </c>
      <c r="C10" s="168">
        <v>2</v>
      </c>
      <c r="D10" s="167">
        <v>3</v>
      </c>
      <c r="E10" s="168">
        <v>4</v>
      </c>
      <c r="F10" s="167">
        <v>5</v>
      </c>
      <c r="G10" s="168">
        <v>6</v>
      </c>
      <c r="H10" s="167">
        <v>7</v>
      </c>
      <c r="I10" s="168">
        <v>8</v>
      </c>
      <c r="J10" s="167">
        <v>9</v>
      </c>
      <c r="K10" s="168">
        <v>10</v>
      </c>
    </row>
    <row r="11" spans="1:11">
      <c r="A11" s="162" t="s">
        <v>28</v>
      </c>
      <c r="B11" s="169"/>
      <c r="C11" s="170"/>
      <c r="D11" s="170"/>
      <c r="E11" s="170"/>
      <c r="F11" s="170"/>
      <c r="G11" s="170"/>
      <c r="H11" s="170"/>
      <c r="I11" s="170"/>
      <c r="J11" s="170"/>
      <c r="K11" s="169"/>
    </row>
    <row r="12" spans="1:11">
      <c r="A12" s="1"/>
      <c r="B12" s="158" t="s">
        <v>2</v>
      </c>
      <c r="C12" s="158" t="s">
        <v>3</v>
      </c>
      <c r="D12" s="158" t="s">
        <v>4</v>
      </c>
      <c r="E12" s="158" t="s">
        <v>5</v>
      </c>
      <c r="F12" s="158" t="s">
        <v>6</v>
      </c>
      <c r="G12" s="158" t="s">
        <v>7</v>
      </c>
      <c r="H12" s="158" t="s">
        <v>8</v>
      </c>
      <c r="I12" s="158" t="s">
        <v>9</v>
      </c>
      <c r="J12" s="158" t="s">
        <v>10</v>
      </c>
      <c r="K12" s="158" t="s">
        <v>11</v>
      </c>
    </row>
    <row r="13" spans="1:11" ht="26.4">
      <c r="A13" s="1"/>
      <c r="B13" s="352" t="s">
        <v>407</v>
      </c>
      <c r="C13" s="352" t="s">
        <v>408</v>
      </c>
      <c r="D13" s="352" t="s">
        <v>409</v>
      </c>
      <c r="E13" s="352" t="s">
        <v>410</v>
      </c>
      <c r="F13" s="352" t="s">
        <v>411</v>
      </c>
      <c r="G13" s="352" t="s">
        <v>412</v>
      </c>
      <c r="H13" s="352" t="s">
        <v>413</v>
      </c>
      <c r="I13" s="352" t="s">
        <v>414</v>
      </c>
      <c r="J13" s="352" t="s">
        <v>415</v>
      </c>
      <c r="K13" s="352" t="s">
        <v>416</v>
      </c>
    </row>
    <row r="14" spans="1:11">
      <c r="A14" s="2" t="s">
        <v>29</v>
      </c>
      <c r="B14" s="172">
        <f>+B66</f>
        <v>1</v>
      </c>
      <c r="C14" s="172">
        <f t="shared" ref="C14:K14" si="0">+C66</f>
        <v>1</v>
      </c>
      <c r="D14" s="172">
        <f t="shared" si="0"/>
        <v>1</v>
      </c>
      <c r="E14" s="172">
        <f t="shared" si="0"/>
        <v>1</v>
      </c>
      <c r="F14" s="172">
        <f t="shared" si="0"/>
        <v>1</v>
      </c>
      <c r="G14" s="172">
        <f t="shared" si="0"/>
        <v>1</v>
      </c>
      <c r="H14" s="172">
        <f t="shared" si="0"/>
        <v>1</v>
      </c>
      <c r="I14" s="172">
        <f t="shared" si="0"/>
        <v>1</v>
      </c>
      <c r="J14" s="172">
        <f t="shared" si="0"/>
        <v>1</v>
      </c>
      <c r="K14" s="172">
        <f t="shared" si="0"/>
        <v>1</v>
      </c>
    </row>
    <row r="15" spans="1:11">
      <c r="A15" s="2" t="s">
        <v>27</v>
      </c>
      <c r="B15" s="172">
        <f>+B43</f>
        <v>1</v>
      </c>
      <c r="C15" s="172">
        <f t="shared" ref="C15:K15" si="1">+C43</f>
        <v>1</v>
      </c>
      <c r="D15" s="172">
        <f t="shared" si="1"/>
        <v>1</v>
      </c>
      <c r="E15" s="172">
        <f t="shared" si="1"/>
        <v>1</v>
      </c>
      <c r="F15" s="172">
        <f t="shared" si="1"/>
        <v>1</v>
      </c>
      <c r="G15" s="172">
        <f t="shared" si="1"/>
        <v>1</v>
      </c>
      <c r="H15" s="172">
        <f t="shared" si="1"/>
        <v>1</v>
      </c>
      <c r="I15" s="172">
        <f t="shared" si="1"/>
        <v>1</v>
      </c>
      <c r="J15" s="172">
        <f t="shared" si="1"/>
        <v>1</v>
      </c>
      <c r="K15" s="172">
        <f t="shared" si="1"/>
        <v>1</v>
      </c>
    </row>
    <row r="16" spans="1:11" ht="15.6">
      <c r="A16" s="2" t="s">
        <v>14</v>
      </c>
      <c r="B16" s="184">
        <f>+B42</f>
        <v>1627.8787732897947</v>
      </c>
      <c r="C16" s="184">
        <f t="shared" ref="C16:K16" si="2">+C42</f>
        <v>1627.8787732897947</v>
      </c>
      <c r="D16" s="184">
        <f t="shared" si="2"/>
        <v>1627.8787732897947</v>
      </c>
      <c r="E16" s="184">
        <f t="shared" si="2"/>
        <v>1627.8787732897947</v>
      </c>
      <c r="F16" s="184">
        <f t="shared" si="2"/>
        <v>1627.8787732897947</v>
      </c>
      <c r="G16" s="184">
        <f t="shared" si="2"/>
        <v>1627.8787732897947</v>
      </c>
      <c r="H16" s="184">
        <f t="shared" si="2"/>
        <v>1627.8787732897947</v>
      </c>
      <c r="I16" s="184">
        <f t="shared" si="2"/>
        <v>1627.8787732897947</v>
      </c>
      <c r="J16" s="184">
        <f t="shared" si="2"/>
        <v>1627.8787732897947</v>
      </c>
      <c r="K16" s="184">
        <f t="shared" si="2"/>
        <v>1627.8787732897947</v>
      </c>
    </row>
    <row r="17" spans="1:14">
      <c r="A17" s="2" t="s">
        <v>13</v>
      </c>
      <c r="B17" s="172">
        <f>+B34</f>
        <v>62.195121951219512</v>
      </c>
      <c r="C17" s="172">
        <f t="shared" ref="C17:K17" si="3">+C34</f>
        <v>62.195121951219512</v>
      </c>
      <c r="D17" s="172">
        <f t="shared" si="3"/>
        <v>62.195121951219512</v>
      </c>
      <c r="E17" s="172">
        <f t="shared" si="3"/>
        <v>62.195121951219512</v>
      </c>
      <c r="F17" s="172">
        <f t="shared" si="3"/>
        <v>62.195121951219512</v>
      </c>
      <c r="G17" s="172">
        <f t="shared" si="3"/>
        <v>62.195121951219512</v>
      </c>
      <c r="H17" s="172">
        <f t="shared" si="3"/>
        <v>62.195121951219512</v>
      </c>
      <c r="I17" s="172">
        <f t="shared" si="3"/>
        <v>62.195121951219512</v>
      </c>
      <c r="J17" s="172">
        <f t="shared" si="3"/>
        <v>62.195121951219512</v>
      </c>
      <c r="K17" s="172">
        <f t="shared" si="3"/>
        <v>62.195121951219512</v>
      </c>
    </row>
    <row r="18" spans="1:14">
      <c r="A18" s="173" t="s">
        <v>84</v>
      </c>
      <c r="B18" s="270">
        <f>+B14*B15*B16*B17</f>
        <v>101246.1188265604</v>
      </c>
      <c r="C18" s="270">
        <f t="shared" ref="C18:K18" si="4">+C14*C15*C16*C17</f>
        <v>101246.1188265604</v>
      </c>
      <c r="D18" s="270">
        <f t="shared" si="4"/>
        <v>101246.1188265604</v>
      </c>
      <c r="E18" s="270">
        <f t="shared" si="4"/>
        <v>101246.1188265604</v>
      </c>
      <c r="F18" s="270">
        <f t="shared" si="4"/>
        <v>101246.1188265604</v>
      </c>
      <c r="G18" s="270">
        <f t="shared" si="4"/>
        <v>101246.1188265604</v>
      </c>
      <c r="H18" s="270">
        <f t="shared" si="4"/>
        <v>101246.1188265604</v>
      </c>
      <c r="I18" s="270">
        <f t="shared" si="4"/>
        <v>101246.1188265604</v>
      </c>
      <c r="J18" s="270">
        <f t="shared" si="4"/>
        <v>101246.1188265604</v>
      </c>
      <c r="K18" s="270">
        <f t="shared" si="4"/>
        <v>101246.1188265604</v>
      </c>
    </row>
    <row r="19" spans="1:14">
      <c r="A19" s="163"/>
      <c r="B19" s="164"/>
      <c r="D19" s="165"/>
      <c r="K19" s="166"/>
    </row>
    <row r="20" spans="1:14" ht="12.75" customHeight="1">
      <c r="A20" s="461" t="s">
        <v>85</v>
      </c>
      <c r="B20" s="486"/>
      <c r="K20" s="174"/>
    </row>
    <row r="21" spans="1:14">
      <c r="A21" s="486"/>
      <c r="B21" s="486"/>
      <c r="K21" s="174"/>
    </row>
    <row r="22" spans="1:14">
      <c r="K22" s="174"/>
    </row>
    <row r="23" spans="1:14">
      <c r="K23" s="174"/>
    </row>
    <row r="24" spans="1:14">
      <c r="K24" s="174"/>
    </row>
    <row r="25" spans="1:14">
      <c r="C25" s="40"/>
      <c r="K25" s="174"/>
    </row>
    <row r="26" spans="1:14">
      <c r="A26" s="1"/>
      <c r="B26" s="158" t="s">
        <v>2</v>
      </c>
      <c r="C26" s="158" t="s">
        <v>3</v>
      </c>
      <c r="D26" s="158" t="s">
        <v>4</v>
      </c>
      <c r="E26" s="158" t="s">
        <v>5</v>
      </c>
      <c r="F26" s="158" t="s">
        <v>6</v>
      </c>
      <c r="G26" s="158" t="s">
        <v>7</v>
      </c>
      <c r="H26" s="158" t="s">
        <v>8</v>
      </c>
      <c r="I26" s="158" t="s">
        <v>9</v>
      </c>
      <c r="J26" s="158" t="s">
        <v>10</v>
      </c>
      <c r="K26" s="158" t="s">
        <v>11</v>
      </c>
    </row>
    <row r="27" spans="1:14" ht="26.4">
      <c r="A27" s="1"/>
      <c r="B27" s="352" t="s">
        <v>407</v>
      </c>
      <c r="C27" s="352" t="s">
        <v>408</v>
      </c>
      <c r="D27" s="352" t="s">
        <v>409</v>
      </c>
      <c r="E27" s="352" t="s">
        <v>410</v>
      </c>
      <c r="F27" s="352" t="s">
        <v>411</v>
      </c>
      <c r="G27" s="352" t="s">
        <v>412</v>
      </c>
      <c r="H27" s="352" t="s">
        <v>413</v>
      </c>
      <c r="I27" s="352" t="s">
        <v>414</v>
      </c>
      <c r="J27" s="352" t="s">
        <v>415</v>
      </c>
      <c r="K27" s="352" t="s">
        <v>416</v>
      </c>
      <c r="M27" s="175"/>
      <c r="N27" s="175"/>
    </row>
    <row r="28" spans="1:14">
      <c r="A28" s="31" t="s">
        <v>87</v>
      </c>
      <c r="B28" s="176">
        <f>+'Initial Data'!$C$3</f>
        <v>56.1</v>
      </c>
      <c r="C28" s="176">
        <f t="shared" ref="C28:K28" si="5">+B28</f>
        <v>56.1</v>
      </c>
      <c r="D28" s="176">
        <f t="shared" si="5"/>
        <v>56.1</v>
      </c>
      <c r="E28" s="176">
        <f t="shared" si="5"/>
        <v>56.1</v>
      </c>
      <c r="F28" s="176">
        <f t="shared" si="5"/>
        <v>56.1</v>
      </c>
      <c r="G28" s="176">
        <f t="shared" si="5"/>
        <v>56.1</v>
      </c>
      <c r="H28" s="176">
        <f t="shared" si="5"/>
        <v>56.1</v>
      </c>
      <c r="I28" s="176">
        <f t="shared" si="5"/>
        <v>56.1</v>
      </c>
      <c r="J28" s="176">
        <f t="shared" si="5"/>
        <v>56.1</v>
      </c>
      <c r="K28" s="176">
        <f t="shared" si="5"/>
        <v>56.1</v>
      </c>
      <c r="M28" s="175"/>
      <c r="N28" s="175"/>
    </row>
    <row r="29" spans="1:14" ht="12.75" customHeight="1">
      <c r="A29" s="177" t="s">
        <v>111</v>
      </c>
      <c r="B29" s="178">
        <f>'Initial Data'!C4/100</f>
        <v>0.90200000000000002</v>
      </c>
      <c r="C29" s="178">
        <f t="shared" ref="C29:K29" si="6">+B29</f>
        <v>0.90200000000000002</v>
      </c>
      <c r="D29" s="178">
        <f t="shared" si="6"/>
        <v>0.90200000000000002</v>
      </c>
      <c r="E29" s="178">
        <f t="shared" si="6"/>
        <v>0.90200000000000002</v>
      </c>
      <c r="F29" s="178">
        <f t="shared" si="6"/>
        <v>0.90200000000000002</v>
      </c>
      <c r="G29" s="178">
        <f t="shared" si="6"/>
        <v>0.90200000000000002</v>
      </c>
      <c r="H29" s="178">
        <f t="shared" si="6"/>
        <v>0.90200000000000002</v>
      </c>
      <c r="I29" s="178">
        <f t="shared" si="6"/>
        <v>0.90200000000000002</v>
      </c>
      <c r="J29" s="178">
        <f t="shared" si="6"/>
        <v>0.90200000000000002</v>
      </c>
      <c r="K29" s="178">
        <f t="shared" si="6"/>
        <v>0.90200000000000002</v>
      </c>
      <c r="M29" s="175"/>
      <c r="N29" s="175"/>
    </row>
    <row r="30" spans="1:14">
      <c r="A30" s="177" t="s">
        <v>112</v>
      </c>
      <c r="B30" s="178">
        <f>B29</f>
        <v>0.90200000000000002</v>
      </c>
      <c r="C30" s="178">
        <f t="shared" ref="C30:K30" si="7">+B30</f>
        <v>0.90200000000000002</v>
      </c>
      <c r="D30" s="178">
        <f t="shared" si="7"/>
        <v>0.90200000000000002</v>
      </c>
      <c r="E30" s="178">
        <f t="shared" si="7"/>
        <v>0.90200000000000002</v>
      </c>
      <c r="F30" s="178">
        <f t="shared" si="7"/>
        <v>0.90200000000000002</v>
      </c>
      <c r="G30" s="178">
        <f t="shared" si="7"/>
        <v>0.90200000000000002</v>
      </c>
      <c r="H30" s="178">
        <f t="shared" si="7"/>
        <v>0.90200000000000002</v>
      </c>
      <c r="I30" s="178">
        <f t="shared" si="7"/>
        <v>0.90200000000000002</v>
      </c>
      <c r="J30" s="178">
        <f t="shared" si="7"/>
        <v>0.90200000000000002</v>
      </c>
      <c r="K30" s="178">
        <f t="shared" si="7"/>
        <v>0.90200000000000002</v>
      </c>
      <c r="M30" s="175"/>
      <c r="N30" s="175"/>
    </row>
    <row r="31" spans="1:14">
      <c r="A31" s="177" t="s">
        <v>113</v>
      </c>
      <c r="B31" s="178">
        <f>B29</f>
        <v>0.90200000000000002</v>
      </c>
      <c r="C31" s="178">
        <f t="shared" ref="C31:K32" si="8">+B31</f>
        <v>0.90200000000000002</v>
      </c>
      <c r="D31" s="178">
        <f t="shared" si="8"/>
        <v>0.90200000000000002</v>
      </c>
      <c r="E31" s="178">
        <f t="shared" si="8"/>
        <v>0.90200000000000002</v>
      </c>
      <c r="F31" s="178">
        <f t="shared" si="8"/>
        <v>0.90200000000000002</v>
      </c>
      <c r="G31" s="178">
        <f t="shared" si="8"/>
        <v>0.90200000000000002</v>
      </c>
      <c r="H31" s="178">
        <f t="shared" si="8"/>
        <v>0.90200000000000002</v>
      </c>
      <c r="I31" s="178">
        <f t="shared" si="8"/>
        <v>0.90200000000000002</v>
      </c>
      <c r="J31" s="178">
        <f t="shared" si="8"/>
        <v>0.90200000000000002</v>
      </c>
      <c r="K31" s="178">
        <f t="shared" si="8"/>
        <v>0.90200000000000002</v>
      </c>
      <c r="M31" s="175"/>
      <c r="N31" s="175"/>
    </row>
    <row r="32" spans="1:14">
      <c r="A32" s="177" t="s">
        <v>114</v>
      </c>
      <c r="B32" s="178">
        <f>B29</f>
        <v>0.90200000000000002</v>
      </c>
      <c r="C32" s="178">
        <f t="shared" si="8"/>
        <v>0.90200000000000002</v>
      </c>
      <c r="D32" s="178">
        <f t="shared" si="8"/>
        <v>0.90200000000000002</v>
      </c>
      <c r="E32" s="178">
        <f t="shared" si="8"/>
        <v>0.90200000000000002</v>
      </c>
      <c r="F32" s="178">
        <f t="shared" si="8"/>
        <v>0.90200000000000002</v>
      </c>
      <c r="G32" s="178">
        <f t="shared" si="8"/>
        <v>0.90200000000000002</v>
      </c>
      <c r="H32" s="178">
        <f t="shared" si="8"/>
        <v>0.90200000000000002</v>
      </c>
      <c r="I32" s="178">
        <f t="shared" si="8"/>
        <v>0.90200000000000002</v>
      </c>
      <c r="J32" s="178">
        <f t="shared" si="8"/>
        <v>0.90200000000000002</v>
      </c>
      <c r="K32" s="178">
        <f t="shared" si="8"/>
        <v>0.90200000000000002</v>
      </c>
      <c r="M32" s="175"/>
      <c r="N32" s="175"/>
    </row>
    <row r="33" spans="1:14">
      <c r="A33" s="31" t="s">
        <v>17</v>
      </c>
      <c r="B33" s="176">
        <f>'Initial Data'!C5</f>
        <v>0.25</v>
      </c>
      <c r="C33" s="176">
        <f>+B33</f>
        <v>0.25</v>
      </c>
      <c r="D33" s="176">
        <f t="shared" ref="D33:K33" si="9">+C33</f>
        <v>0.25</v>
      </c>
      <c r="E33" s="176">
        <f t="shared" si="9"/>
        <v>0.25</v>
      </c>
      <c r="F33" s="176">
        <f t="shared" si="9"/>
        <v>0.25</v>
      </c>
      <c r="G33" s="176">
        <f t="shared" si="9"/>
        <v>0.25</v>
      </c>
      <c r="H33" s="176">
        <f t="shared" si="9"/>
        <v>0.25</v>
      </c>
      <c r="I33" s="176">
        <f t="shared" si="9"/>
        <v>0.25</v>
      </c>
      <c r="J33" s="176">
        <f t="shared" si="9"/>
        <v>0.25</v>
      </c>
      <c r="K33" s="176">
        <f t="shared" si="9"/>
        <v>0.25</v>
      </c>
      <c r="M33" s="175"/>
      <c r="N33" s="175"/>
    </row>
    <row r="34" spans="1:14">
      <c r="A34" s="2" t="s">
        <v>13</v>
      </c>
      <c r="B34" s="179">
        <f>B33*B28/B29+B33*B28/B30+B33*B28/B31+B33*B28/B32</f>
        <v>62.195121951219512</v>
      </c>
      <c r="C34" s="179">
        <f t="shared" ref="C34:K34" si="10">C33*C28/C29+C33*C28/C30+C33*C28/C31+C33*C28/C32</f>
        <v>62.195121951219512</v>
      </c>
      <c r="D34" s="179">
        <f t="shared" si="10"/>
        <v>62.195121951219512</v>
      </c>
      <c r="E34" s="179">
        <f t="shared" si="10"/>
        <v>62.195121951219512</v>
      </c>
      <c r="F34" s="179">
        <f t="shared" si="10"/>
        <v>62.195121951219512</v>
      </c>
      <c r="G34" s="179">
        <f t="shared" si="10"/>
        <v>62.195121951219512</v>
      </c>
      <c r="H34" s="179">
        <f t="shared" si="10"/>
        <v>62.195121951219512</v>
      </c>
      <c r="I34" s="179">
        <f t="shared" si="10"/>
        <v>62.195121951219512</v>
      </c>
      <c r="J34" s="179">
        <f t="shared" si="10"/>
        <v>62.195121951219512</v>
      </c>
      <c r="K34" s="179">
        <f t="shared" si="10"/>
        <v>62.195121951219512</v>
      </c>
      <c r="M34" s="175"/>
      <c r="N34" s="175"/>
    </row>
    <row r="35" spans="1:14">
      <c r="A35" s="180"/>
      <c r="B35" s="181"/>
      <c r="C35" s="181"/>
      <c r="D35" s="181"/>
      <c r="E35" s="181"/>
      <c r="F35" s="181"/>
      <c r="G35" s="181"/>
      <c r="H35" s="181"/>
      <c r="I35" s="181"/>
      <c r="J35" s="181"/>
      <c r="K35" s="181"/>
      <c r="M35" s="175"/>
      <c r="N35" s="175"/>
    </row>
    <row r="36" spans="1:14">
      <c r="A36" s="461" t="s">
        <v>86</v>
      </c>
      <c r="B36" s="461"/>
      <c r="K36" s="174"/>
      <c r="L36" s="175"/>
      <c r="M36" s="175"/>
      <c r="N36" s="175"/>
    </row>
    <row r="37" spans="1:14">
      <c r="A37" s="461"/>
      <c r="B37" s="461"/>
      <c r="E37" s="40"/>
      <c r="K37" s="174"/>
    </row>
    <row r="38" spans="1:14">
      <c r="A38" s="163"/>
      <c r="B38" s="164"/>
      <c r="K38" s="174"/>
    </row>
    <row r="39" spans="1:14">
      <c r="A39" s="1"/>
      <c r="B39" s="158" t="s">
        <v>2</v>
      </c>
      <c r="C39" s="158" t="s">
        <v>3</v>
      </c>
      <c r="D39" s="158" t="s">
        <v>4</v>
      </c>
      <c r="E39" s="158" t="s">
        <v>5</v>
      </c>
      <c r="F39" s="158" t="s">
        <v>6</v>
      </c>
      <c r="G39" s="158" t="s">
        <v>7</v>
      </c>
      <c r="H39" s="158" t="s">
        <v>8</v>
      </c>
      <c r="I39" s="158" t="s">
        <v>9</v>
      </c>
      <c r="J39" s="158" t="s">
        <v>10</v>
      </c>
      <c r="K39" s="158" t="s">
        <v>11</v>
      </c>
    </row>
    <row r="40" spans="1:14" ht="26.4">
      <c r="A40" s="1"/>
      <c r="B40" s="352" t="s">
        <v>407</v>
      </c>
      <c r="C40" s="352" t="s">
        <v>408</v>
      </c>
      <c r="D40" s="352" t="s">
        <v>409</v>
      </c>
      <c r="E40" s="352" t="s">
        <v>410</v>
      </c>
      <c r="F40" s="352" t="s">
        <v>411</v>
      </c>
      <c r="G40" s="352" t="s">
        <v>412</v>
      </c>
      <c r="H40" s="352" t="s">
        <v>413</v>
      </c>
      <c r="I40" s="352" t="s">
        <v>414</v>
      </c>
      <c r="J40" s="352" t="s">
        <v>415</v>
      </c>
      <c r="K40" s="352" t="s">
        <v>416</v>
      </c>
    </row>
    <row r="41" spans="1:14">
      <c r="A41" s="182"/>
      <c r="B41" s="183"/>
      <c r="C41" s="183"/>
      <c r="D41" s="183"/>
      <c r="E41" s="183"/>
      <c r="F41" s="183"/>
      <c r="G41" s="183"/>
      <c r="H41" s="183"/>
      <c r="I41" s="183"/>
      <c r="J41" s="183"/>
      <c r="K41" s="183"/>
    </row>
    <row r="42" spans="1:14" ht="15.6">
      <c r="A42" s="2" t="s">
        <v>14</v>
      </c>
      <c r="B42" s="184">
        <f>'Initial Data'!$C$6*2*'Initial Data'!$C$27/1000000000*24*365*(1-'Initial Data'!$C$53)</f>
        <v>1627.8787732897947</v>
      </c>
      <c r="C42" s="184">
        <f>'Initial Data'!$C$6*2*'Initial Data'!$C$27/1000000000*24*365*(1-'Initial Data'!$C$53)</f>
        <v>1627.8787732897947</v>
      </c>
      <c r="D42" s="184">
        <f>'Initial Data'!$C$6*2*'Initial Data'!$C$27/1000000000*24*365*(1-'Initial Data'!$C$53)</f>
        <v>1627.8787732897947</v>
      </c>
      <c r="E42" s="184">
        <f>'Initial Data'!$C$6*2*'Initial Data'!$C$27/1000000000*24*365*(1-'Initial Data'!$C$53)</f>
        <v>1627.8787732897947</v>
      </c>
      <c r="F42" s="184">
        <f>'Initial Data'!$C$6*2*'Initial Data'!$C$27/1000000000*24*365*(1-'Initial Data'!$C$53)</f>
        <v>1627.8787732897947</v>
      </c>
      <c r="G42" s="184">
        <f>'Initial Data'!$C$6*2*'Initial Data'!$C$27/1000000000*24*365*(1-'Initial Data'!$C$53)</f>
        <v>1627.8787732897947</v>
      </c>
      <c r="H42" s="184">
        <f>'Initial Data'!$C$6*2*'Initial Data'!$C$27/1000000000*24*365*(1-'Initial Data'!$C$53)</f>
        <v>1627.8787732897947</v>
      </c>
      <c r="I42" s="184">
        <f>'Initial Data'!$C$6*2*'Initial Data'!$C$27/1000000000*24*365*(1-'Initial Data'!$C$53)</f>
        <v>1627.8787732897947</v>
      </c>
      <c r="J42" s="184">
        <f>'Initial Data'!$C$6*2*'Initial Data'!$C$27/1000000000*24*365*(1-'Initial Data'!$C$53)</f>
        <v>1627.8787732897947</v>
      </c>
      <c r="K42" s="184">
        <f>'Initial Data'!$C$6*2*'Initial Data'!$C$27/1000000000*24*365*(1-'Initial Data'!$C$53)</f>
        <v>1627.8787732897947</v>
      </c>
      <c r="L42" s="483"/>
      <c r="M42" s="483"/>
    </row>
    <row r="43" spans="1:14">
      <c r="A43" s="2" t="s">
        <v>27</v>
      </c>
      <c r="B43" s="172">
        <f>'Initial Data'!C7</f>
        <v>1</v>
      </c>
      <c r="C43" s="172">
        <f>B43</f>
        <v>1</v>
      </c>
      <c r="D43" s="172">
        <f t="shared" ref="D43:K43" si="11">C43</f>
        <v>1</v>
      </c>
      <c r="E43" s="172">
        <f t="shared" si="11"/>
        <v>1</v>
      </c>
      <c r="F43" s="172">
        <f t="shared" si="11"/>
        <v>1</v>
      </c>
      <c r="G43" s="172">
        <f t="shared" si="11"/>
        <v>1</v>
      </c>
      <c r="H43" s="172">
        <f t="shared" si="11"/>
        <v>1</v>
      </c>
      <c r="I43" s="172">
        <f t="shared" si="11"/>
        <v>1</v>
      </c>
      <c r="J43" s="172">
        <f t="shared" si="11"/>
        <v>1</v>
      </c>
      <c r="K43" s="172">
        <f t="shared" si="11"/>
        <v>1</v>
      </c>
    </row>
    <row r="44" spans="1:14">
      <c r="A44" s="185"/>
      <c r="B44" s="186"/>
      <c r="C44" s="187"/>
      <c r="K44" s="174"/>
    </row>
    <row r="45" spans="1:14">
      <c r="A45" s="180"/>
      <c r="B45" s="181"/>
      <c r="C45" s="181"/>
      <c r="D45" s="181"/>
      <c r="E45" s="181"/>
      <c r="F45" s="181"/>
      <c r="G45" s="181"/>
      <c r="H45" s="181"/>
      <c r="I45" s="181"/>
      <c r="J45" s="181"/>
      <c r="K45" s="181"/>
    </row>
    <row r="46" spans="1:14" ht="13.5" customHeight="1">
      <c r="A46" s="482" t="s">
        <v>16</v>
      </c>
      <c r="B46" s="482"/>
      <c r="C46" s="482"/>
      <c r="D46" s="181"/>
      <c r="E46" s="181"/>
      <c r="F46" s="181"/>
      <c r="G46" s="181"/>
      <c r="H46" s="181"/>
      <c r="I46" s="181"/>
      <c r="J46" s="181"/>
      <c r="K46" s="181"/>
    </row>
    <row r="47" spans="1:14" ht="13.5" customHeight="1">
      <c r="A47" s="482"/>
      <c r="B47" s="482"/>
      <c r="C47" s="482"/>
      <c r="D47" s="181"/>
      <c r="E47" s="181"/>
      <c r="F47" s="181"/>
      <c r="G47" s="181"/>
      <c r="H47" s="181"/>
      <c r="I47" s="181"/>
      <c r="J47" s="181"/>
      <c r="K47" s="181"/>
    </row>
    <row r="48" spans="1:14" ht="13.5" customHeight="1">
      <c r="A48" s="188"/>
      <c r="B48" s="188"/>
      <c r="C48" s="188"/>
      <c r="D48" s="181"/>
      <c r="E48" s="181"/>
      <c r="F48" s="181"/>
      <c r="G48" s="181"/>
      <c r="H48" s="181"/>
      <c r="I48" s="181"/>
      <c r="J48" s="181"/>
      <c r="K48" s="181"/>
    </row>
    <row r="49" spans="1:12" ht="13.5" customHeight="1">
      <c r="A49" s="158"/>
      <c r="G49" s="214"/>
      <c r="H49" s="214"/>
    </row>
    <row r="50" spans="1:12" ht="13.5" customHeight="1">
      <c r="H50" s="214"/>
    </row>
    <row r="51" spans="1:12" ht="13.5" customHeight="1">
      <c r="A51" s="189" t="s">
        <v>255</v>
      </c>
      <c r="H51" s="214"/>
    </row>
    <row r="52" spans="1:12" ht="13.5" customHeight="1">
      <c r="A52" s="190"/>
      <c r="H52" s="214"/>
    </row>
    <row r="53" spans="1:12" ht="13.5" customHeight="1">
      <c r="A53" s="190"/>
      <c r="G53" s="214"/>
    </row>
    <row r="54" spans="1:12" ht="13.5" customHeight="1">
      <c r="A54" s="190"/>
    </row>
    <row r="55" spans="1:12" ht="13.5" customHeight="1">
      <c r="A55" s="190"/>
    </row>
    <row r="56" spans="1:12" ht="13.5" customHeight="1">
      <c r="A56" s="190"/>
    </row>
    <row r="57" spans="1:12" ht="13.5" customHeight="1">
      <c r="A57" s="190"/>
    </row>
    <row r="58" spans="1:12" ht="13.5" customHeight="1">
      <c r="A58" s="185"/>
      <c r="B58" s="158" t="s">
        <v>2</v>
      </c>
      <c r="C58" s="158" t="s">
        <v>3</v>
      </c>
      <c r="D58" s="158" t="s">
        <v>4</v>
      </c>
      <c r="E58" s="158" t="s">
        <v>5</v>
      </c>
      <c r="F58" s="158" t="s">
        <v>6</v>
      </c>
      <c r="G58" s="158" t="s">
        <v>7</v>
      </c>
      <c r="H58" s="158" t="s">
        <v>8</v>
      </c>
      <c r="I58" s="158" t="s">
        <v>9</v>
      </c>
      <c r="J58" s="158" t="s">
        <v>10</v>
      </c>
      <c r="K58" s="158" t="s">
        <v>11</v>
      </c>
    </row>
    <row r="59" spans="1:12" ht="30" customHeight="1">
      <c r="A59" s="185"/>
      <c r="B59" s="352" t="s">
        <v>376</v>
      </c>
      <c r="C59" s="352" t="s">
        <v>377</v>
      </c>
      <c r="D59" s="352" t="s">
        <v>378</v>
      </c>
      <c r="E59" s="352" t="s">
        <v>379</v>
      </c>
      <c r="F59" s="352" t="s">
        <v>380</v>
      </c>
      <c r="G59" s="352" t="s">
        <v>381</v>
      </c>
      <c r="H59" s="352" t="s">
        <v>382</v>
      </c>
      <c r="I59" s="352" t="s">
        <v>383</v>
      </c>
      <c r="J59" s="352" t="s">
        <v>384</v>
      </c>
      <c r="K59" s="352" t="s">
        <v>385</v>
      </c>
    </row>
    <row r="60" spans="1:12" ht="13.5" customHeight="1">
      <c r="A60" s="31" t="s">
        <v>256</v>
      </c>
      <c r="B60" s="184">
        <f>B42</f>
        <v>1627.8787732897947</v>
      </c>
      <c r="C60" s="184">
        <f>B60</f>
        <v>1627.8787732897947</v>
      </c>
      <c r="D60" s="184">
        <f t="shared" ref="D60:K60" si="12">C60</f>
        <v>1627.8787732897947</v>
      </c>
      <c r="E60" s="184">
        <f t="shared" si="12"/>
        <v>1627.8787732897947</v>
      </c>
      <c r="F60" s="184">
        <f t="shared" si="12"/>
        <v>1627.8787732897947</v>
      </c>
      <c r="G60" s="184">
        <f t="shared" si="12"/>
        <v>1627.8787732897947</v>
      </c>
      <c r="H60" s="184">
        <f t="shared" si="12"/>
        <v>1627.8787732897947</v>
      </c>
      <c r="I60" s="184">
        <f t="shared" si="12"/>
        <v>1627.8787732897947</v>
      </c>
      <c r="J60" s="184">
        <f t="shared" si="12"/>
        <v>1627.8787732897947</v>
      </c>
      <c r="K60" s="184">
        <f t="shared" si="12"/>
        <v>1627.8787732897947</v>
      </c>
      <c r="L60" s="213"/>
    </row>
    <row r="61" spans="1:12" ht="13.5" customHeight="1">
      <c r="A61" s="31" t="s">
        <v>257</v>
      </c>
      <c r="B61" s="184">
        <f>B42</f>
        <v>1627.8787732897947</v>
      </c>
      <c r="C61" s="184">
        <f t="shared" ref="C61:K61" si="13">+B61</f>
        <v>1627.8787732897947</v>
      </c>
      <c r="D61" s="184">
        <f t="shared" si="13"/>
        <v>1627.8787732897947</v>
      </c>
      <c r="E61" s="184">
        <f t="shared" si="13"/>
        <v>1627.8787732897947</v>
      </c>
      <c r="F61" s="184">
        <f t="shared" si="13"/>
        <v>1627.8787732897947</v>
      </c>
      <c r="G61" s="184">
        <f t="shared" si="13"/>
        <v>1627.8787732897947</v>
      </c>
      <c r="H61" s="184">
        <f t="shared" si="13"/>
        <v>1627.8787732897947</v>
      </c>
      <c r="I61" s="184">
        <f t="shared" si="13"/>
        <v>1627.8787732897947</v>
      </c>
      <c r="J61" s="184">
        <f t="shared" si="13"/>
        <v>1627.8787732897947</v>
      </c>
      <c r="K61" s="184">
        <f t="shared" si="13"/>
        <v>1627.8787732897947</v>
      </c>
      <c r="L61" s="213"/>
    </row>
    <row r="62" spans="1:12" ht="13.5" customHeight="1">
      <c r="A62" s="2" t="s">
        <v>29</v>
      </c>
      <c r="B62" s="172">
        <f>B60/B61</f>
        <v>1</v>
      </c>
      <c r="C62" s="172">
        <f>C60/C61</f>
        <v>1</v>
      </c>
      <c r="D62" s="172">
        <f t="shared" ref="D62:K62" si="14">D60/D61</f>
        <v>1</v>
      </c>
      <c r="E62" s="172">
        <f t="shared" si="14"/>
        <v>1</v>
      </c>
      <c r="F62" s="172">
        <f t="shared" si="14"/>
        <v>1</v>
      </c>
      <c r="G62" s="172">
        <f t="shared" si="14"/>
        <v>1</v>
      </c>
      <c r="H62" s="172">
        <f t="shared" si="14"/>
        <v>1</v>
      </c>
      <c r="I62" s="172">
        <f t="shared" si="14"/>
        <v>1</v>
      </c>
      <c r="J62" s="172">
        <f t="shared" si="14"/>
        <v>1</v>
      </c>
      <c r="K62" s="172">
        <f t="shared" si="14"/>
        <v>1</v>
      </c>
    </row>
    <row r="63" spans="1:12" ht="13.5" customHeight="1"/>
    <row r="64" spans="1:12">
      <c r="A64" s="191"/>
      <c r="B64" s="158" t="s">
        <v>2</v>
      </c>
      <c r="C64" s="158" t="s">
        <v>3</v>
      </c>
      <c r="D64" s="158" t="s">
        <v>4</v>
      </c>
      <c r="E64" s="158" t="s">
        <v>5</v>
      </c>
      <c r="F64" s="158" t="s">
        <v>6</v>
      </c>
      <c r="G64" s="158" t="s">
        <v>7</v>
      </c>
      <c r="H64" s="158" t="s">
        <v>8</v>
      </c>
      <c r="I64" s="158" t="s">
        <v>9</v>
      </c>
      <c r="J64" s="158" t="s">
        <v>10</v>
      </c>
      <c r="K64" s="158" t="s">
        <v>11</v>
      </c>
    </row>
    <row r="65" spans="1:11" ht="26.4">
      <c r="A65" s="185"/>
      <c r="B65" s="352" t="s">
        <v>376</v>
      </c>
      <c r="C65" s="352" t="s">
        <v>377</v>
      </c>
      <c r="D65" s="352" t="s">
        <v>378</v>
      </c>
      <c r="E65" s="352" t="s">
        <v>379</v>
      </c>
      <c r="F65" s="352" t="s">
        <v>380</v>
      </c>
      <c r="G65" s="352" t="s">
        <v>381</v>
      </c>
      <c r="H65" s="352" t="s">
        <v>382</v>
      </c>
      <c r="I65" s="352" t="s">
        <v>383</v>
      </c>
      <c r="J65" s="352" t="s">
        <v>384</v>
      </c>
      <c r="K65" s="352" t="s">
        <v>385</v>
      </c>
    </row>
    <row r="66" spans="1:11">
      <c r="A66" s="192" t="s">
        <v>30</v>
      </c>
      <c r="B66" s="193">
        <f>B62</f>
        <v>1</v>
      </c>
      <c r="C66" s="193">
        <f t="shared" ref="C66:K66" si="15">C62</f>
        <v>1</v>
      </c>
      <c r="D66" s="193">
        <f t="shared" si="15"/>
        <v>1</v>
      </c>
      <c r="E66" s="193">
        <f t="shared" si="15"/>
        <v>1</v>
      </c>
      <c r="F66" s="193">
        <f t="shared" si="15"/>
        <v>1</v>
      </c>
      <c r="G66" s="193">
        <f t="shared" si="15"/>
        <v>1</v>
      </c>
      <c r="H66" s="193">
        <f t="shared" si="15"/>
        <v>1</v>
      </c>
      <c r="I66" s="193">
        <f t="shared" si="15"/>
        <v>1</v>
      </c>
      <c r="J66" s="193">
        <f t="shared" si="15"/>
        <v>1</v>
      </c>
      <c r="K66" s="193">
        <f t="shared" si="15"/>
        <v>1</v>
      </c>
    </row>
  </sheetData>
  <mergeCells count="6">
    <mergeCell ref="A46:C47"/>
    <mergeCell ref="L42:M42"/>
    <mergeCell ref="A1:K1"/>
    <mergeCell ref="A2:B2"/>
    <mergeCell ref="A20:B21"/>
    <mergeCell ref="A36:B37"/>
  </mergeCells>
  <phoneticPr fontId="3" type="noConversion"/>
  <conditionalFormatting sqref="B66:K66">
    <cfRule type="cellIs" dxfId="2" priority="1" stopIfTrue="1" operator="greaterThan">
      <formula>1</formula>
    </cfRule>
  </conditionalFormatting>
  <pageMargins left="0.75" right="0.75" top="1" bottom="1" header="0.5" footer="0.5"/>
  <pageSetup orientation="portrait" r:id="rId1"/>
  <headerFooter alignWithMargins="0"/>
  <drawing r:id="rId2"/>
  <legacyDrawing r:id="rId3"/>
  <oleObjects>
    <oleObject progId="Equation.3" shapeId="1062" r:id="rId4"/>
    <oleObject progId="Equation.3" shapeId="1063" r:id="rId5"/>
    <oleObject progId="Equation.3" shapeId="1116" r:id="rId6"/>
    <oleObject progId="Equation.3" shapeId="1117" r:id="rId7"/>
  </oleObjects>
</worksheet>
</file>

<file path=xl/worksheets/sheet4.xml><?xml version="1.0" encoding="utf-8"?>
<worksheet xmlns="http://schemas.openxmlformats.org/spreadsheetml/2006/main" xmlns:r="http://schemas.openxmlformats.org/officeDocument/2006/relationships">
  <sheetPr codeName="Hoja5"/>
  <dimension ref="A1:O49"/>
  <sheetViews>
    <sheetView defaultGridColor="0" colorId="9" zoomScale="85" workbookViewId="0">
      <pane ySplit="6" topLeftCell="A7" activePane="bottomLeft" state="frozen"/>
      <selection activeCell="G30" sqref="G20:G30"/>
      <selection pane="bottomLeft" sqref="A1:K1"/>
    </sheetView>
  </sheetViews>
  <sheetFormatPr baseColWidth="10" defaultColWidth="9.109375" defaultRowHeight="13.2"/>
  <cols>
    <col min="1" max="1" width="30.33203125" style="3" bestFit="1" customWidth="1"/>
    <col min="2" max="2" width="12.6640625" style="3" customWidth="1"/>
    <col min="3" max="3" width="12.6640625" style="3" bestFit="1" customWidth="1"/>
    <col min="4" max="4" width="12.5546875" style="3" customWidth="1"/>
    <col min="5" max="5" width="12.6640625" style="3" bestFit="1" customWidth="1"/>
    <col min="6" max="6" width="12.5546875" style="3" customWidth="1"/>
    <col min="7" max="7" width="13.44140625" style="3" customWidth="1"/>
    <col min="8" max="8" width="11.5546875" style="3" customWidth="1"/>
    <col min="9" max="11" width="11.88671875" style="3" customWidth="1"/>
    <col min="12" max="16384" width="9.109375" style="3"/>
  </cols>
  <sheetData>
    <row r="1" spans="1:15">
      <c r="A1" s="488" t="s">
        <v>0</v>
      </c>
      <c r="B1" s="488"/>
      <c r="C1" s="488"/>
      <c r="D1" s="488"/>
      <c r="E1" s="488"/>
      <c r="F1" s="488"/>
      <c r="G1" s="488"/>
      <c r="H1" s="488"/>
      <c r="I1" s="488"/>
      <c r="J1" s="488"/>
      <c r="K1" s="488"/>
    </row>
    <row r="2" spans="1:15">
      <c r="A2" s="489" t="s">
        <v>31</v>
      </c>
      <c r="B2" s="489"/>
    </row>
    <row r="3" spans="1:15" s="6" customFormat="1">
      <c r="A3" s="4"/>
      <c r="B3" s="5"/>
      <c r="D3" s="7"/>
      <c r="K3" s="8"/>
    </row>
    <row r="4" spans="1:15" s="6" customFormat="1">
      <c r="A4" s="3"/>
      <c r="B4" s="5"/>
      <c r="D4" s="7"/>
      <c r="K4" s="8"/>
    </row>
    <row r="5" spans="1:15" s="6" customFormat="1">
      <c r="A5" s="3"/>
      <c r="B5" s="5"/>
      <c r="D5" s="7"/>
      <c r="K5" s="8"/>
    </row>
    <row r="6" spans="1:15" s="6" customFormat="1">
      <c r="A6" s="3"/>
      <c r="B6" s="5"/>
      <c r="D6" s="7"/>
      <c r="K6" s="8"/>
    </row>
    <row r="7" spans="1:15" s="66" customFormat="1">
      <c r="A7" s="65"/>
      <c r="B7" s="67">
        <v>1</v>
      </c>
      <c r="C7" s="68">
        <v>2</v>
      </c>
      <c r="D7" s="67">
        <v>3</v>
      </c>
      <c r="E7" s="68">
        <v>4</v>
      </c>
      <c r="F7" s="67">
        <v>5</v>
      </c>
      <c r="G7" s="68">
        <v>6</v>
      </c>
      <c r="H7" s="67">
        <v>7</v>
      </c>
      <c r="I7" s="68">
        <v>8</v>
      </c>
      <c r="J7" s="67">
        <v>9</v>
      </c>
      <c r="K7" s="68">
        <v>10</v>
      </c>
      <c r="O7" s="6"/>
    </row>
    <row r="8" spans="1:15" s="6" customFormat="1">
      <c r="A8" s="21" t="s">
        <v>28</v>
      </c>
      <c r="B8" s="23"/>
      <c r="C8" s="24"/>
      <c r="D8" s="24"/>
      <c r="E8" s="24"/>
      <c r="F8" s="24"/>
      <c r="G8" s="24"/>
      <c r="H8" s="24"/>
      <c r="I8" s="24"/>
      <c r="J8" s="24"/>
      <c r="K8" s="23"/>
    </row>
    <row r="9" spans="1:15" s="6" customFormat="1">
      <c r="A9" s="1"/>
      <c r="B9" s="10" t="s">
        <v>2</v>
      </c>
      <c r="C9" s="10" t="s">
        <v>3</v>
      </c>
      <c r="D9" s="10" t="s">
        <v>4</v>
      </c>
      <c r="E9" s="10" t="s">
        <v>5</v>
      </c>
      <c r="F9" s="10" t="s">
        <v>6</v>
      </c>
      <c r="G9" s="10" t="s">
        <v>7</v>
      </c>
      <c r="H9" s="10" t="s">
        <v>8</v>
      </c>
      <c r="I9" s="10" t="s">
        <v>9</v>
      </c>
      <c r="J9" s="10" t="s">
        <v>10</v>
      </c>
      <c r="K9" s="10" t="s">
        <v>11</v>
      </c>
    </row>
    <row r="10" spans="1:15" s="6" customFormat="1" ht="26.4">
      <c r="A10" s="22"/>
      <c r="B10" s="352" t="s">
        <v>407</v>
      </c>
      <c r="C10" s="352" t="s">
        <v>408</v>
      </c>
      <c r="D10" s="352" t="s">
        <v>409</v>
      </c>
      <c r="E10" s="352" t="s">
        <v>410</v>
      </c>
      <c r="F10" s="352" t="s">
        <v>411</v>
      </c>
      <c r="G10" s="352" t="s">
        <v>412</v>
      </c>
      <c r="H10" s="352" t="s">
        <v>413</v>
      </c>
      <c r="I10" s="352" t="s">
        <v>414</v>
      </c>
      <c r="J10" s="352" t="s">
        <v>415</v>
      </c>
      <c r="K10" s="352" t="s">
        <v>416</v>
      </c>
    </row>
    <row r="11" spans="1:15" s="6" customFormat="1">
      <c r="A11" s="2" t="s">
        <v>34</v>
      </c>
      <c r="B11" s="60">
        <f>+B19</f>
        <v>0</v>
      </c>
      <c r="C11" s="60">
        <f t="shared" ref="C11:K11" si="0">+C19</f>
        <v>0</v>
      </c>
      <c r="D11" s="60">
        <f t="shared" si="0"/>
        <v>0</v>
      </c>
      <c r="E11" s="60">
        <f t="shared" si="0"/>
        <v>0</v>
      </c>
      <c r="F11" s="60">
        <f t="shared" si="0"/>
        <v>0</v>
      </c>
      <c r="G11" s="60">
        <f t="shared" si="0"/>
        <v>0</v>
      </c>
      <c r="H11" s="60">
        <f t="shared" si="0"/>
        <v>0</v>
      </c>
      <c r="I11" s="60">
        <f t="shared" si="0"/>
        <v>0</v>
      </c>
      <c r="J11" s="60">
        <f t="shared" si="0"/>
        <v>0</v>
      </c>
      <c r="K11" s="60">
        <f t="shared" si="0"/>
        <v>0</v>
      </c>
    </row>
    <row r="12" spans="1:15" s="6" customFormat="1">
      <c r="A12" s="2" t="s">
        <v>32</v>
      </c>
      <c r="B12" s="280">
        <f>+B37</f>
        <v>13135.055185577514</v>
      </c>
      <c r="C12" s="280">
        <f t="shared" ref="C12:K12" si="1">+C37</f>
        <v>13135.055185577514</v>
      </c>
      <c r="D12" s="280">
        <f t="shared" si="1"/>
        <v>13135.055185577514</v>
      </c>
      <c r="E12" s="280">
        <f t="shared" si="1"/>
        <v>13135.055185577514</v>
      </c>
      <c r="F12" s="280">
        <f t="shared" si="1"/>
        <v>13135.055185577514</v>
      </c>
      <c r="G12" s="280">
        <f t="shared" si="1"/>
        <v>13135.055185577514</v>
      </c>
      <c r="H12" s="280">
        <f t="shared" si="1"/>
        <v>13135.055185577514</v>
      </c>
      <c r="I12" s="280">
        <f t="shared" si="1"/>
        <v>13135.055185577514</v>
      </c>
      <c r="J12" s="280">
        <f t="shared" si="1"/>
        <v>13135.055185577514</v>
      </c>
      <c r="K12" s="280">
        <f t="shared" si="1"/>
        <v>13135.055185577514</v>
      </c>
    </row>
    <row r="13" spans="1:15" s="6" customFormat="1" ht="13.8" thickBot="1">
      <c r="A13" s="2" t="s">
        <v>33</v>
      </c>
      <c r="B13" s="61">
        <v>0</v>
      </c>
      <c r="C13" s="60">
        <f>+B13</f>
        <v>0</v>
      </c>
      <c r="D13" s="60">
        <f t="shared" ref="D13:K13" si="2">+C13</f>
        <v>0</v>
      </c>
      <c r="E13" s="60">
        <f t="shared" si="2"/>
        <v>0</v>
      </c>
      <c r="F13" s="60">
        <f t="shared" si="2"/>
        <v>0</v>
      </c>
      <c r="G13" s="60">
        <f t="shared" si="2"/>
        <v>0</v>
      </c>
      <c r="H13" s="60">
        <f t="shared" si="2"/>
        <v>0</v>
      </c>
      <c r="I13" s="60">
        <f t="shared" si="2"/>
        <v>0</v>
      </c>
      <c r="J13" s="60">
        <f t="shared" si="2"/>
        <v>0</v>
      </c>
      <c r="K13" s="60">
        <f t="shared" si="2"/>
        <v>0</v>
      </c>
    </row>
    <row r="14" spans="1:15" s="6" customFormat="1" ht="13.8" thickTop="1">
      <c r="A14" s="143" t="s">
        <v>39</v>
      </c>
      <c r="B14" s="283">
        <f>+B11+B12+B13</f>
        <v>13135.055185577514</v>
      </c>
      <c r="C14" s="283">
        <f t="shared" ref="C14:K14" si="3">+C11+C12+C13</f>
        <v>13135.055185577514</v>
      </c>
      <c r="D14" s="283">
        <f t="shared" si="3"/>
        <v>13135.055185577514</v>
      </c>
      <c r="E14" s="283">
        <f t="shared" si="3"/>
        <v>13135.055185577514</v>
      </c>
      <c r="F14" s="283">
        <f t="shared" si="3"/>
        <v>13135.055185577514</v>
      </c>
      <c r="G14" s="283">
        <f t="shared" si="3"/>
        <v>13135.055185577514</v>
      </c>
      <c r="H14" s="283">
        <f t="shared" si="3"/>
        <v>13135.055185577514</v>
      </c>
      <c r="I14" s="283">
        <f t="shared" si="3"/>
        <v>13135.055185577514</v>
      </c>
      <c r="J14" s="283">
        <f t="shared" si="3"/>
        <v>13135.055185577514</v>
      </c>
      <c r="K14" s="283">
        <f t="shared" si="3"/>
        <v>13135.055185577514</v>
      </c>
    </row>
    <row r="15" spans="1:15" s="6" customFormat="1">
      <c r="A15" s="4"/>
      <c r="B15" s="5"/>
      <c r="D15" s="7"/>
      <c r="K15" s="8"/>
    </row>
    <row r="16" spans="1:15" s="6" customFormat="1" ht="15.75" customHeight="1">
      <c r="A16" s="490" t="s">
        <v>88</v>
      </c>
      <c r="B16" s="490"/>
      <c r="C16" s="490"/>
      <c r="K16" s="9"/>
    </row>
    <row r="17" spans="1:13" s="6" customFormat="1" ht="15.75" customHeight="1">
      <c r="A17" s="490"/>
      <c r="B17" s="490"/>
      <c r="C17" s="490"/>
      <c r="K17" s="9"/>
    </row>
    <row r="18" spans="1:13" s="6" customFormat="1" ht="15.75" customHeight="1" thickBot="1">
      <c r="A18" s="204"/>
      <c r="B18" s="204"/>
      <c r="C18" s="204"/>
      <c r="K18" s="9"/>
    </row>
    <row r="19" spans="1:13" ht="13.8" thickTop="1">
      <c r="A19" s="25" t="s">
        <v>34</v>
      </c>
      <c r="B19" s="26">
        <v>0</v>
      </c>
      <c r="C19" s="26">
        <v>0</v>
      </c>
      <c r="D19" s="26">
        <v>0</v>
      </c>
      <c r="E19" s="26">
        <v>0</v>
      </c>
      <c r="F19" s="26">
        <v>0</v>
      </c>
      <c r="G19" s="26">
        <v>0</v>
      </c>
      <c r="H19" s="26">
        <v>0</v>
      </c>
      <c r="I19" s="26">
        <v>0</v>
      </c>
      <c r="J19" s="26">
        <v>0</v>
      </c>
      <c r="K19" s="26">
        <v>0</v>
      </c>
      <c r="L19" s="487"/>
      <c r="M19" s="487"/>
    </row>
    <row r="20" spans="1:13">
      <c r="A20" s="12"/>
      <c r="B20" s="13"/>
      <c r="C20" s="14"/>
      <c r="D20" s="15"/>
      <c r="E20" s="15"/>
      <c r="F20" s="14"/>
      <c r="G20" s="15"/>
      <c r="H20" s="15"/>
      <c r="I20" s="16"/>
      <c r="J20" s="16"/>
      <c r="K20" s="13"/>
      <c r="L20" s="487"/>
      <c r="M20" s="487"/>
    </row>
    <row r="21" spans="1:13" s="6" customFormat="1" ht="15.75" customHeight="1">
      <c r="A21" s="490" t="s">
        <v>89</v>
      </c>
      <c r="B21" s="490"/>
      <c r="C21" s="490"/>
      <c r="K21" s="9"/>
    </row>
    <row r="22" spans="1:13" s="6" customFormat="1" ht="15.75" customHeight="1">
      <c r="A22" s="490"/>
      <c r="B22" s="490"/>
      <c r="C22" s="490"/>
      <c r="K22" s="9"/>
    </row>
    <row r="23" spans="1:13" s="6" customFormat="1">
      <c r="K23" s="9"/>
    </row>
    <row r="24" spans="1:13" s="6" customFormat="1">
      <c r="K24" s="9"/>
    </row>
    <row r="25" spans="1:13" s="6" customFormat="1">
      <c r="K25" s="9"/>
    </row>
    <row r="26" spans="1:13" s="6" customFormat="1">
      <c r="A26" s="20" t="s">
        <v>90</v>
      </c>
      <c r="B26" s="18" t="s">
        <v>47</v>
      </c>
      <c r="C26" s="11" t="s">
        <v>15</v>
      </c>
      <c r="K26" s="9"/>
    </row>
    <row r="27" spans="1:13" s="6" customFormat="1">
      <c r="K27" s="9"/>
    </row>
    <row r="28" spans="1:13">
      <c r="A28" s="1"/>
      <c r="B28" s="10" t="s">
        <v>2</v>
      </c>
      <c r="C28" s="10" t="s">
        <v>3</v>
      </c>
      <c r="D28" s="10" t="s">
        <v>4</v>
      </c>
      <c r="E28" s="10" t="s">
        <v>5</v>
      </c>
      <c r="F28" s="10" t="s">
        <v>6</v>
      </c>
      <c r="G28" s="10" t="s">
        <v>7</v>
      </c>
      <c r="H28" s="10" t="s">
        <v>8</v>
      </c>
      <c r="I28" s="10" t="s">
        <v>9</v>
      </c>
      <c r="J28" s="10" t="s">
        <v>10</v>
      </c>
      <c r="K28" s="10" t="s">
        <v>11</v>
      </c>
    </row>
    <row r="29" spans="1:13" ht="26.4">
      <c r="A29" s="1"/>
      <c r="B29" s="352" t="s">
        <v>407</v>
      </c>
      <c r="C29" s="352" t="s">
        <v>408</v>
      </c>
      <c r="D29" s="352" t="s">
        <v>409</v>
      </c>
      <c r="E29" s="352" t="s">
        <v>410</v>
      </c>
      <c r="F29" s="352" t="s">
        <v>411</v>
      </c>
      <c r="G29" s="352" t="s">
        <v>412</v>
      </c>
      <c r="H29" s="352" t="s">
        <v>413</v>
      </c>
      <c r="I29" s="352" t="s">
        <v>414</v>
      </c>
      <c r="J29" s="352" t="s">
        <v>415</v>
      </c>
      <c r="K29" s="352" t="s">
        <v>416</v>
      </c>
    </row>
    <row r="30" spans="1:13">
      <c r="A30" s="19" t="s">
        <v>221</v>
      </c>
      <c r="B30" s="152">
        <f>'Elec Gene jul-dec 2008'!K461</f>
        <v>1.2503683916858834</v>
      </c>
      <c r="C30" s="152">
        <f>+B30</f>
        <v>1.2503683916858834</v>
      </c>
      <c r="D30" s="152">
        <f t="shared" ref="D30:K30" si="4">+C30</f>
        <v>1.2503683916858834</v>
      </c>
      <c r="E30" s="152">
        <f t="shared" si="4"/>
        <v>1.2503683916858834</v>
      </c>
      <c r="F30" s="152">
        <f t="shared" si="4"/>
        <v>1.2503683916858834</v>
      </c>
      <c r="G30" s="152">
        <f t="shared" si="4"/>
        <v>1.2503683916858834</v>
      </c>
      <c r="H30" s="152">
        <f t="shared" si="4"/>
        <v>1.2503683916858834</v>
      </c>
      <c r="I30" s="152">
        <f t="shared" si="4"/>
        <v>1.2503683916858834</v>
      </c>
      <c r="J30" s="152">
        <f t="shared" si="4"/>
        <v>1.2503683916858834</v>
      </c>
      <c r="K30" s="152">
        <f t="shared" si="4"/>
        <v>1.2503683916858834</v>
      </c>
    </row>
    <row r="31" spans="1:13">
      <c r="A31" s="492" t="s">
        <v>37</v>
      </c>
      <c r="B31" s="493"/>
      <c r="C31" s="494"/>
      <c r="D31" s="17"/>
      <c r="E31" s="17"/>
      <c r="F31" s="17"/>
      <c r="G31" s="17"/>
      <c r="H31" s="17"/>
      <c r="I31" s="17"/>
      <c r="J31" s="17"/>
      <c r="K31" s="17"/>
    </row>
    <row r="32" spans="1:13">
      <c r="A32" s="19" t="s">
        <v>95</v>
      </c>
      <c r="B32" s="280">
        <f>'Pumps Data'!G3*'Initial Data'!C35/'Initial Data'!C34</f>
        <v>9802.44</v>
      </c>
      <c r="C32" s="280">
        <f>B32</f>
        <v>9802.44</v>
      </c>
      <c r="D32" s="280">
        <f t="shared" ref="D32:K32" si="5">C32</f>
        <v>9802.44</v>
      </c>
      <c r="E32" s="280">
        <f t="shared" si="5"/>
        <v>9802.44</v>
      </c>
      <c r="F32" s="280">
        <f t="shared" si="5"/>
        <v>9802.44</v>
      </c>
      <c r="G32" s="280">
        <f t="shared" si="5"/>
        <v>9802.44</v>
      </c>
      <c r="H32" s="280">
        <f t="shared" si="5"/>
        <v>9802.44</v>
      </c>
      <c r="I32" s="280">
        <f t="shared" si="5"/>
        <v>9802.44</v>
      </c>
      <c r="J32" s="280">
        <f t="shared" si="5"/>
        <v>9802.44</v>
      </c>
      <c r="K32" s="280">
        <f t="shared" si="5"/>
        <v>9802.44</v>
      </c>
      <c r="L32" s="491"/>
      <c r="M32" s="491"/>
    </row>
    <row r="33" spans="1:13" s="59" customFormat="1">
      <c r="A33" s="19" t="s">
        <v>96</v>
      </c>
      <c r="B33" s="280">
        <f>'Pumps Data'!G4</f>
        <v>653.49599999999998</v>
      </c>
      <c r="C33" s="280">
        <f>B33</f>
        <v>653.49599999999998</v>
      </c>
      <c r="D33" s="280">
        <f t="shared" ref="C33:K35" si="6">C33</f>
        <v>653.49599999999998</v>
      </c>
      <c r="E33" s="280">
        <f t="shared" si="6"/>
        <v>653.49599999999998</v>
      </c>
      <c r="F33" s="280">
        <f t="shared" si="6"/>
        <v>653.49599999999998</v>
      </c>
      <c r="G33" s="280">
        <f t="shared" si="6"/>
        <v>653.49599999999998</v>
      </c>
      <c r="H33" s="280">
        <f t="shared" si="6"/>
        <v>653.49599999999998</v>
      </c>
      <c r="I33" s="280">
        <f t="shared" si="6"/>
        <v>653.49599999999998</v>
      </c>
      <c r="J33" s="280">
        <f t="shared" si="6"/>
        <v>653.49599999999998</v>
      </c>
      <c r="K33" s="280">
        <f t="shared" si="6"/>
        <v>653.49599999999998</v>
      </c>
      <c r="L33" s="495"/>
      <c r="M33" s="495"/>
    </row>
    <row r="34" spans="1:13">
      <c r="A34" s="19" t="s">
        <v>97</v>
      </c>
      <c r="B34" s="280">
        <f>'Pumps Data'!G5*'Initial Data'!C35/'Initial Data'!C34</f>
        <v>49.0122</v>
      </c>
      <c r="C34" s="280">
        <f>B34</f>
        <v>49.0122</v>
      </c>
      <c r="D34" s="280">
        <f t="shared" si="6"/>
        <v>49.0122</v>
      </c>
      <c r="E34" s="280">
        <f t="shared" si="6"/>
        <v>49.0122</v>
      </c>
      <c r="F34" s="280">
        <f t="shared" si="6"/>
        <v>49.0122</v>
      </c>
      <c r="G34" s="280">
        <f t="shared" si="6"/>
        <v>49.0122</v>
      </c>
      <c r="H34" s="280">
        <f t="shared" si="6"/>
        <v>49.0122</v>
      </c>
      <c r="I34" s="280">
        <f t="shared" si="6"/>
        <v>49.0122</v>
      </c>
      <c r="J34" s="280">
        <f t="shared" si="6"/>
        <v>49.0122</v>
      </c>
      <c r="K34" s="280">
        <f t="shared" si="6"/>
        <v>49.0122</v>
      </c>
      <c r="L34" s="491"/>
      <c r="M34" s="491"/>
    </row>
    <row r="35" spans="1:13">
      <c r="A35" s="19" t="s">
        <v>98</v>
      </c>
      <c r="B35" s="280">
        <v>0</v>
      </c>
      <c r="C35" s="280">
        <f t="shared" si="6"/>
        <v>0</v>
      </c>
      <c r="D35" s="280">
        <f t="shared" si="6"/>
        <v>0</v>
      </c>
      <c r="E35" s="280">
        <f t="shared" si="6"/>
        <v>0</v>
      </c>
      <c r="F35" s="280">
        <f t="shared" si="6"/>
        <v>0</v>
      </c>
      <c r="G35" s="280">
        <f t="shared" si="6"/>
        <v>0</v>
      </c>
      <c r="H35" s="280">
        <f t="shared" si="6"/>
        <v>0</v>
      </c>
      <c r="I35" s="280">
        <f t="shared" si="6"/>
        <v>0</v>
      </c>
      <c r="J35" s="280">
        <f t="shared" si="6"/>
        <v>0</v>
      </c>
      <c r="K35" s="280">
        <f t="shared" si="6"/>
        <v>0</v>
      </c>
      <c r="L35" s="491"/>
      <c r="M35" s="491"/>
    </row>
    <row r="36" spans="1:13" ht="13.8" thickBot="1">
      <c r="A36" s="27" t="s">
        <v>38</v>
      </c>
      <c r="B36" s="281">
        <v>0</v>
      </c>
      <c r="C36" s="281">
        <f>+B36</f>
        <v>0</v>
      </c>
      <c r="D36" s="281">
        <f t="shared" ref="D36:K36" si="7">+C36</f>
        <v>0</v>
      </c>
      <c r="E36" s="281">
        <f t="shared" si="7"/>
        <v>0</v>
      </c>
      <c r="F36" s="281">
        <f t="shared" si="7"/>
        <v>0</v>
      </c>
      <c r="G36" s="281">
        <f t="shared" si="7"/>
        <v>0</v>
      </c>
      <c r="H36" s="281">
        <f t="shared" si="7"/>
        <v>0</v>
      </c>
      <c r="I36" s="281">
        <f t="shared" si="7"/>
        <v>0</v>
      </c>
      <c r="J36" s="281">
        <f t="shared" si="7"/>
        <v>0</v>
      </c>
      <c r="K36" s="281">
        <f t="shared" si="7"/>
        <v>0</v>
      </c>
    </row>
    <row r="37" spans="1:13" ht="13.8" thickTop="1">
      <c r="A37" s="25" t="s">
        <v>34</v>
      </c>
      <c r="B37" s="282">
        <f>IF($B$26="yes",+SUM(B32:B36)*B30,0)</f>
        <v>13135.055185577514</v>
      </c>
      <c r="C37" s="282">
        <f t="shared" ref="C37:K37" si="8">IF($B$26="yes",+SUM(C32:C36)*C30,0)</f>
        <v>13135.055185577514</v>
      </c>
      <c r="D37" s="282">
        <f t="shared" si="8"/>
        <v>13135.055185577514</v>
      </c>
      <c r="E37" s="282">
        <f t="shared" si="8"/>
        <v>13135.055185577514</v>
      </c>
      <c r="F37" s="282">
        <f t="shared" si="8"/>
        <v>13135.055185577514</v>
      </c>
      <c r="G37" s="282">
        <f t="shared" si="8"/>
        <v>13135.055185577514</v>
      </c>
      <c r="H37" s="282">
        <f t="shared" si="8"/>
        <v>13135.055185577514</v>
      </c>
      <c r="I37" s="282">
        <f t="shared" si="8"/>
        <v>13135.055185577514</v>
      </c>
      <c r="J37" s="282">
        <f t="shared" si="8"/>
        <v>13135.055185577514</v>
      </c>
      <c r="K37" s="282">
        <f t="shared" si="8"/>
        <v>13135.055185577514</v>
      </c>
    </row>
    <row r="38" spans="1:13" s="6" customFormat="1" ht="15.75" customHeight="1">
      <c r="K38" s="9"/>
    </row>
    <row r="39" spans="1:13">
      <c r="B39" s="149"/>
      <c r="C39" s="149"/>
      <c r="D39" s="149"/>
      <c r="E39" s="149"/>
    </row>
    <row r="40" spans="1:13">
      <c r="B40" s="149"/>
      <c r="C40" s="149"/>
      <c r="D40" s="149"/>
      <c r="E40" s="149"/>
    </row>
    <row r="41" spans="1:13">
      <c r="B41" s="149"/>
      <c r="C41" s="149"/>
      <c r="D41" s="149"/>
      <c r="E41" s="149"/>
    </row>
    <row r="42" spans="1:13">
      <c r="B42" s="149"/>
      <c r="C42" s="149"/>
      <c r="D42" s="149"/>
      <c r="E42" s="149"/>
    </row>
    <row r="43" spans="1:13">
      <c r="B43" s="149"/>
      <c r="C43" s="149"/>
      <c r="D43" s="149"/>
      <c r="E43" s="149"/>
    </row>
    <row r="44" spans="1:13">
      <c r="B44" s="149"/>
      <c r="C44" s="149"/>
      <c r="D44" s="149"/>
      <c r="E44" s="149"/>
    </row>
    <row r="45" spans="1:13">
      <c r="B45" s="149"/>
      <c r="C45" s="149"/>
      <c r="D45" s="149"/>
      <c r="E45" s="149"/>
    </row>
    <row r="46" spans="1:13">
      <c r="B46" s="149"/>
      <c r="C46" s="149"/>
      <c r="D46" s="149"/>
      <c r="E46" s="149"/>
    </row>
    <row r="47" spans="1:13">
      <c r="B47" s="149"/>
      <c r="C47" s="149"/>
      <c r="D47" s="149"/>
      <c r="E47" s="149"/>
    </row>
    <row r="48" spans="1:13">
      <c r="B48" s="149"/>
      <c r="C48" s="149"/>
      <c r="D48" s="149"/>
      <c r="E48" s="149"/>
    </row>
    <row r="49" spans="2:5">
      <c r="B49" s="149"/>
      <c r="C49" s="149"/>
      <c r="D49" s="149"/>
      <c r="E49" s="149"/>
    </row>
  </sheetData>
  <mergeCells count="11">
    <mergeCell ref="L35:M35"/>
    <mergeCell ref="A21:C22"/>
    <mergeCell ref="A31:C31"/>
    <mergeCell ref="L32:M32"/>
    <mergeCell ref="L33:M33"/>
    <mergeCell ref="L34:M34"/>
    <mergeCell ref="L19:M19"/>
    <mergeCell ref="L20:M20"/>
    <mergeCell ref="A1:K1"/>
    <mergeCell ref="A2:B2"/>
    <mergeCell ref="A16:C17"/>
  </mergeCells>
  <phoneticPr fontId="3" type="noConversion"/>
  <pageMargins left="0.75" right="0.75" top="1" bottom="1" header="0.5" footer="0.5"/>
  <pageSetup orientation="portrait" r:id="rId1"/>
  <headerFooter alignWithMargins="0"/>
  <legacyDrawing r:id="rId2"/>
  <oleObjects>
    <oleObject progId="Equation.3" shapeId="4132" r:id="rId3"/>
    <oleObject progId="Equation.3" shapeId="4133" r:id="rId4"/>
    <oleObject progId="Equation.3" shapeId="4136" r:id="rId5"/>
    <oleObject progId="Equation.3" shapeId="4151" r:id="rId6"/>
  </oleObjects>
</worksheet>
</file>

<file path=xl/worksheets/sheet5.xml><?xml version="1.0" encoding="utf-8"?>
<worksheet xmlns="http://schemas.openxmlformats.org/spreadsheetml/2006/main" xmlns:r="http://schemas.openxmlformats.org/officeDocument/2006/relationships">
  <sheetPr codeName="Hoja6"/>
  <dimension ref="B2:G14"/>
  <sheetViews>
    <sheetView workbookViewId="0"/>
  </sheetViews>
  <sheetFormatPr baseColWidth="10" defaultColWidth="11.44140625" defaultRowHeight="13.2"/>
  <cols>
    <col min="1" max="1" width="11.44140625" style="3"/>
    <col min="2" max="2" width="15.88671875" style="3" bestFit="1" customWidth="1"/>
    <col min="3" max="3" width="27.6640625" style="3" customWidth="1"/>
    <col min="4" max="4" width="21.6640625" style="3" bestFit="1" customWidth="1"/>
    <col min="5" max="6" width="11.44140625" style="3"/>
    <col min="7" max="7" width="27.33203125" style="3" customWidth="1"/>
    <col min="8" max="16384" width="11.44140625" style="3"/>
  </cols>
  <sheetData>
    <row r="2" spans="2:7">
      <c r="B2" s="157" t="s">
        <v>160</v>
      </c>
      <c r="C2" s="157"/>
      <c r="D2" s="157" t="s">
        <v>91</v>
      </c>
      <c r="E2" s="157" t="s">
        <v>165</v>
      </c>
      <c r="F2" s="157" t="s">
        <v>166</v>
      </c>
      <c r="G2" s="157" t="s">
        <v>167</v>
      </c>
    </row>
    <row r="3" spans="2:7">
      <c r="B3" s="195" t="s">
        <v>159</v>
      </c>
      <c r="C3" s="195" t="s">
        <v>168</v>
      </c>
      <c r="D3" s="156">
        <f>'Initial Data'!B39</f>
        <v>3</v>
      </c>
      <c r="E3" s="156">
        <f>'Initial Data'!C39</f>
        <v>500</v>
      </c>
      <c r="F3" s="156">
        <f>E3*'Initial Data'!$C$30</f>
        <v>373</v>
      </c>
      <c r="G3" s="32">
        <f>F3*D3*$D$8/1000</f>
        <v>9802.44</v>
      </c>
    </row>
    <row r="4" spans="2:7">
      <c r="B4" s="195" t="s">
        <v>92</v>
      </c>
      <c r="C4" s="195" t="s">
        <v>169</v>
      </c>
      <c r="D4" s="156">
        <f>'Initial Data'!B40</f>
        <v>2</v>
      </c>
      <c r="E4" s="156">
        <f>'Initial Data'!C40</f>
        <v>50</v>
      </c>
      <c r="F4" s="156">
        <f>E4*'Initial Data'!$C$30</f>
        <v>37.299999999999997</v>
      </c>
      <c r="G4" s="32">
        <f>F4*D4*$D$8/1000</f>
        <v>653.49599999999998</v>
      </c>
    </row>
    <row r="5" spans="2:7">
      <c r="B5" s="195" t="s">
        <v>93</v>
      </c>
      <c r="C5" s="195" t="s">
        <v>170</v>
      </c>
      <c r="D5" s="156">
        <f>'Initial Data'!B41</f>
        <v>1</v>
      </c>
      <c r="E5" s="156">
        <f>'Initial Data'!C41</f>
        <v>7.5</v>
      </c>
      <c r="F5" s="156">
        <f>E5*'Initial Data'!$C$30</f>
        <v>5.5949999999999998</v>
      </c>
      <c r="G5" s="32">
        <f>F5*D5*$D$8/1000</f>
        <v>49.0122</v>
      </c>
    </row>
    <row r="8" spans="2:7" ht="26.4">
      <c r="B8" s="195" t="s">
        <v>94</v>
      </c>
      <c r="C8" s="195"/>
      <c r="D8" s="156">
        <f>'Initial Data'!C34</f>
        <v>8760</v>
      </c>
    </row>
    <row r="11" spans="2:7">
      <c r="B11" s="201"/>
      <c r="C11" s="201"/>
      <c r="D11" s="201"/>
      <c r="E11" s="496"/>
      <c r="F11" s="497"/>
    </row>
    <row r="12" spans="2:7">
      <c r="B12" s="202"/>
      <c r="C12" s="202"/>
      <c r="D12" s="49"/>
      <c r="E12" s="49"/>
      <c r="F12" s="203"/>
    </row>
    <row r="13" spans="2:7">
      <c r="B13" s="202"/>
      <c r="C13" s="202"/>
      <c r="D13" s="49"/>
      <c r="E13" s="49"/>
      <c r="F13" s="203"/>
    </row>
    <row r="14" spans="2:7">
      <c r="B14" s="202"/>
      <c r="C14" s="202"/>
      <c r="D14" s="49"/>
      <c r="E14" s="49"/>
      <c r="F14" s="203"/>
    </row>
  </sheetData>
  <mergeCells count="1">
    <mergeCell ref="E11:F11"/>
  </mergeCells>
  <phoneticPr fontId="3" type="noConversion"/>
  <pageMargins left="0.75" right="0.75" top="1" bottom="1" header="0" footer="0"/>
  <headerFooter alignWithMargins="0"/>
</worksheet>
</file>

<file path=xl/worksheets/sheet6.xml><?xml version="1.0" encoding="utf-8"?>
<worksheet xmlns="http://schemas.openxmlformats.org/spreadsheetml/2006/main" xmlns:r="http://schemas.openxmlformats.org/officeDocument/2006/relationships">
  <sheetPr codeName="Hoja2"/>
  <dimension ref="A1:L32"/>
  <sheetViews>
    <sheetView zoomScale="80" workbookViewId="0"/>
  </sheetViews>
  <sheetFormatPr baseColWidth="10" defaultColWidth="9.109375" defaultRowHeight="13.2"/>
  <cols>
    <col min="1" max="1" width="34.5546875" style="28" bestFit="1" customWidth="1"/>
    <col min="2" max="2" width="13.109375" style="28" bestFit="1" customWidth="1"/>
    <col min="3" max="3" width="14.5546875" style="28" bestFit="1" customWidth="1"/>
    <col min="4" max="11" width="11.6640625" style="28" customWidth="1"/>
    <col min="12" max="12" width="11.44140625" style="28" bestFit="1" customWidth="1"/>
    <col min="13" max="16384" width="9.109375" style="28"/>
  </cols>
  <sheetData>
    <row r="1" spans="1:12">
      <c r="B1" s="23"/>
      <c r="C1" s="24"/>
      <c r="D1" s="24"/>
      <c r="E1" s="24"/>
      <c r="F1" s="24"/>
      <c r="G1" s="24"/>
      <c r="H1" s="24"/>
      <c r="I1" s="24"/>
      <c r="J1" s="24"/>
      <c r="K1" s="23"/>
    </row>
    <row r="2" spans="1:12" ht="12.75" customHeight="1">
      <c r="B2" s="10" t="s">
        <v>2</v>
      </c>
      <c r="C2" s="10" t="s">
        <v>3</v>
      </c>
      <c r="D2" s="10" t="s">
        <v>4</v>
      </c>
      <c r="E2" s="10" t="s">
        <v>5</v>
      </c>
      <c r="F2" s="10" t="s">
        <v>6</v>
      </c>
      <c r="G2" s="10" t="s">
        <v>7</v>
      </c>
      <c r="H2" s="10" t="s">
        <v>8</v>
      </c>
      <c r="I2" s="10" t="s">
        <v>9</v>
      </c>
      <c r="J2" s="10" t="s">
        <v>10</v>
      </c>
      <c r="K2" s="10" t="s">
        <v>11</v>
      </c>
      <c r="L2" s="502" t="s">
        <v>12</v>
      </c>
    </row>
    <row r="3" spans="1:12" ht="30" customHeight="1">
      <c r="B3" s="352" t="s">
        <v>407</v>
      </c>
      <c r="C3" s="352" t="s">
        <v>408</v>
      </c>
      <c r="D3" s="352" t="s">
        <v>409</v>
      </c>
      <c r="E3" s="352" t="s">
        <v>410</v>
      </c>
      <c r="F3" s="352" t="s">
        <v>411</v>
      </c>
      <c r="G3" s="352" t="s">
        <v>412</v>
      </c>
      <c r="H3" s="352" t="s">
        <v>413</v>
      </c>
      <c r="I3" s="352" t="s">
        <v>414</v>
      </c>
      <c r="J3" s="352" t="s">
        <v>415</v>
      </c>
      <c r="K3" s="352" t="s">
        <v>416</v>
      </c>
      <c r="L3" s="503"/>
    </row>
    <row r="4" spans="1:12">
      <c r="B4" s="29"/>
      <c r="C4" s="30"/>
      <c r="D4" s="30"/>
      <c r="E4" s="30"/>
      <c r="F4" s="30"/>
      <c r="G4" s="30"/>
      <c r="H4" s="30"/>
      <c r="I4" s="30"/>
      <c r="J4" s="30"/>
      <c r="K4" s="30"/>
    </row>
    <row r="5" spans="1:12">
      <c r="A5" s="31" t="s">
        <v>40</v>
      </c>
      <c r="B5" s="32">
        <f>+'Baseline Emissions'!B18</f>
        <v>101246.1188265604</v>
      </c>
      <c r="C5" s="32">
        <f>+'Baseline Emissions'!C18</f>
        <v>101246.1188265604</v>
      </c>
      <c r="D5" s="32">
        <f>+'Baseline Emissions'!D18</f>
        <v>101246.1188265604</v>
      </c>
      <c r="E5" s="32">
        <f>+'Baseline Emissions'!E18</f>
        <v>101246.1188265604</v>
      </c>
      <c r="F5" s="32">
        <f>+'Baseline Emissions'!F18</f>
        <v>101246.1188265604</v>
      </c>
      <c r="G5" s="32">
        <f>+'Baseline Emissions'!G18</f>
        <v>101246.1188265604</v>
      </c>
      <c r="H5" s="32">
        <f>+'Baseline Emissions'!H18</f>
        <v>101246.1188265604</v>
      </c>
      <c r="I5" s="32">
        <f>+'Baseline Emissions'!I18</f>
        <v>101246.1188265604</v>
      </c>
      <c r="J5" s="32">
        <f>+'Baseline Emissions'!J18</f>
        <v>101246.1188265604</v>
      </c>
      <c r="K5" s="32">
        <f>+'Baseline Emissions'!K18</f>
        <v>101246.1188265604</v>
      </c>
      <c r="L5" s="271">
        <f>+SUM(B5:K5)</f>
        <v>1012461.1882656042</v>
      </c>
    </row>
    <row r="6" spans="1:12">
      <c r="B6" s="33"/>
      <c r="C6" s="33"/>
      <c r="D6" s="33"/>
      <c r="E6" s="33"/>
      <c r="F6" s="33"/>
      <c r="G6" s="33"/>
      <c r="H6" s="33"/>
      <c r="I6" s="33"/>
      <c r="J6" s="33"/>
      <c r="K6" s="33"/>
      <c r="L6" s="33"/>
    </row>
    <row r="7" spans="1:12">
      <c r="A7" s="31" t="s">
        <v>41</v>
      </c>
      <c r="B7" s="32">
        <f>+'Project Emissions'!B14</f>
        <v>13135.055185577514</v>
      </c>
      <c r="C7" s="32">
        <f>+'Project Emissions'!C14</f>
        <v>13135.055185577514</v>
      </c>
      <c r="D7" s="32">
        <f>+'Project Emissions'!D14</f>
        <v>13135.055185577514</v>
      </c>
      <c r="E7" s="32">
        <f>+'Project Emissions'!E14</f>
        <v>13135.055185577514</v>
      </c>
      <c r="F7" s="32">
        <f>+'Project Emissions'!F14</f>
        <v>13135.055185577514</v>
      </c>
      <c r="G7" s="32">
        <f>+'Project Emissions'!G14</f>
        <v>13135.055185577514</v>
      </c>
      <c r="H7" s="32">
        <f>+'Project Emissions'!H14</f>
        <v>13135.055185577514</v>
      </c>
      <c r="I7" s="32">
        <f>+'Project Emissions'!I14</f>
        <v>13135.055185577514</v>
      </c>
      <c r="J7" s="32">
        <f>+'Project Emissions'!J14</f>
        <v>13135.055185577514</v>
      </c>
      <c r="K7" s="32">
        <f>+'Project Emissions'!K14</f>
        <v>13135.055185577514</v>
      </c>
      <c r="L7" s="271">
        <f>+SUM(B7:K7)</f>
        <v>131350.55185577515</v>
      </c>
    </row>
    <row r="8" spans="1:12">
      <c r="A8" s="34"/>
      <c r="B8" s="35"/>
      <c r="C8" s="35"/>
      <c r="D8" s="35"/>
      <c r="E8" s="35"/>
      <c r="F8" s="35"/>
      <c r="G8" s="35"/>
      <c r="H8" s="35"/>
      <c r="I8" s="35"/>
      <c r="J8" s="35"/>
      <c r="K8" s="35"/>
      <c r="L8" s="33"/>
    </row>
    <row r="9" spans="1:12">
      <c r="A9" s="31" t="s">
        <v>42</v>
      </c>
      <c r="B9" s="32">
        <f>ROUNDDOWN(+B5-B7,0)</f>
        <v>88111</v>
      </c>
      <c r="C9" s="32">
        <f t="shared" ref="C9:K9" si="0">ROUNDDOWN(+C5-C7,0)</f>
        <v>88111</v>
      </c>
      <c r="D9" s="32">
        <f t="shared" si="0"/>
        <v>88111</v>
      </c>
      <c r="E9" s="32">
        <f t="shared" si="0"/>
        <v>88111</v>
      </c>
      <c r="F9" s="32">
        <f t="shared" si="0"/>
        <v>88111</v>
      </c>
      <c r="G9" s="32">
        <f t="shared" si="0"/>
        <v>88111</v>
      </c>
      <c r="H9" s="32">
        <f t="shared" si="0"/>
        <v>88111</v>
      </c>
      <c r="I9" s="32">
        <f t="shared" si="0"/>
        <v>88111</v>
      </c>
      <c r="J9" s="32">
        <f t="shared" si="0"/>
        <v>88111</v>
      </c>
      <c r="K9" s="32">
        <f t="shared" si="0"/>
        <v>88111</v>
      </c>
      <c r="L9" s="271">
        <f>+SUM(B9:K9)</f>
        <v>881110</v>
      </c>
    </row>
    <row r="10" spans="1:12">
      <c r="A10" s="36"/>
      <c r="B10" s="37"/>
      <c r="C10" s="37"/>
      <c r="D10" s="38"/>
      <c r="E10" s="38"/>
      <c r="F10" s="38"/>
      <c r="G10" s="38"/>
      <c r="H10" s="38"/>
      <c r="I10" s="38"/>
      <c r="J10" s="38"/>
      <c r="K10" s="38"/>
    </row>
    <row r="11" spans="1:12">
      <c r="A11" s="504" t="s">
        <v>43</v>
      </c>
      <c r="B11" s="500">
        <f>+L9</f>
        <v>881110</v>
      </c>
      <c r="C11" s="504" t="s">
        <v>44</v>
      </c>
      <c r="D11" s="506"/>
      <c r="E11" s="39"/>
      <c r="F11" s="40"/>
      <c r="G11" s="40"/>
      <c r="H11" s="40"/>
      <c r="I11" s="40"/>
      <c r="J11" s="40"/>
      <c r="K11" s="40"/>
      <c r="L11" s="41">
        <v>168393.89111265363</v>
      </c>
    </row>
    <row r="12" spans="1:12">
      <c r="A12" s="505"/>
      <c r="B12" s="501"/>
      <c r="C12" s="505"/>
      <c r="D12" s="507"/>
      <c r="G12" s="42"/>
    </row>
    <row r="13" spans="1:12" s="45" customFormat="1" ht="12" customHeight="1">
      <c r="A13" s="43"/>
      <c r="B13" s="44"/>
      <c r="C13" s="43"/>
      <c r="G13" s="42"/>
    </row>
    <row r="14" spans="1:12">
      <c r="A14" s="498" t="s">
        <v>45</v>
      </c>
      <c r="B14" s="500">
        <f>+B11/10</f>
        <v>88111</v>
      </c>
      <c r="C14" s="498" t="s">
        <v>46</v>
      </c>
      <c r="D14" s="506"/>
      <c r="E14" s="46"/>
      <c r="F14" s="55"/>
      <c r="G14" s="56" t="s">
        <v>49</v>
      </c>
      <c r="H14" s="56" t="s">
        <v>50</v>
      </c>
      <c r="I14" s="56" t="s">
        <v>48</v>
      </c>
      <c r="J14" s="47"/>
      <c r="K14" s="47"/>
    </row>
    <row r="15" spans="1:12">
      <c r="A15" s="499"/>
      <c r="B15" s="501"/>
      <c r="C15" s="499"/>
      <c r="D15" s="507"/>
      <c r="E15" s="51"/>
      <c r="F15" s="57" t="str">
        <f>+B3</f>
        <v>1/06/2012-31/05/2013</v>
      </c>
      <c r="G15" s="58">
        <f>B5</f>
        <v>101246.1188265604</v>
      </c>
      <c r="H15" s="58">
        <f>+B7</f>
        <v>13135.055185577514</v>
      </c>
      <c r="I15" s="58">
        <f>+B9</f>
        <v>88111</v>
      </c>
      <c r="J15" s="47"/>
      <c r="K15" s="47"/>
    </row>
    <row r="16" spans="1:12">
      <c r="B16" s="33"/>
      <c r="D16" s="46"/>
      <c r="E16" s="51"/>
      <c r="F16" s="57" t="str">
        <f>+C3</f>
        <v>1/06/2013-31/05/2014</v>
      </c>
      <c r="G16" s="58">
        <f>+C5</f>
        <v>101246.1188265604</v>
      </c>
      <c r="H16" s="58">
        <f>+C7</f>
        <v>13135.055185577514</v>
      </c>
      <c r="I16" s="58">
        <f>+C9</f>
        <v>88111</v>
      </c>
      <c r="J16" s="47"/>
      <c r="K16" s="47"/>
    </row>
    <row r="17" spans="1:12">
      <c r="B17" s="33"/>
      <c r="E17" s="52"/>
      <c r="F17" s="57" t="str">
        <f>+D3</f>
        <v>1/06/2014-31/05/2015</v>
      </c>
      <c r="G17" s="58">
        <f>+D5</f>
        <v>101246.1188265604</v>
      </c>
      <c r="H17" s="58">
        <f>+D7</f>
        <v>13135.055185577514</v>
      </c>
      <c r="I17" s="58">
        <f>+D9</f>
        <v>88111</v>
      </c>
      <c r="J17" s="47"/>
      <c r="K17" s="47"/>
    </row>
    <row r="18" spans="1:12">
      <c r="B18" s="49"/>
      <c r="C18" s="49"/>
      <c r="D18" s="49"/>
      <c r="E18" s="53"/>
      <c r="F18" s="57" t="str">
        <f>+E3</f>
        <v>1/06/2015-31/05/2016</v>
      </c>
      <c r="G18" s="58">
        <f>+E5</f>
        <v>101246.1188265604</v>
      </c>
      <c r="H18" s="58">
        <f>+E7</f>
        <v>13135.055185577514</v>
      </c>
      <c r="I18" s="58">
        <f>+E9</f>
        <v>88111</v>
      </c>
      <c r="J18" s="49"/>
      <c r="K18" s="49"/>
      <c r="L18" s="28">
        <f>103026-13135</f>
        <v>89891</v>
      </c>
    </row>
    <row r="19" spans="1:12">
      <c r="B19" s="50"/>
      <c r="C19" s="50"/>
      <c r="D19" s="50"/>
      <c r="E19" s="54"/>
      <c r="F19" s="57" t="str">
        <f>+F3</f>
        <v>1/06/2016-31/05/2017</v>
      </c>
      <c r="G19" s="58">
        <f>+F5</f>
        <v>101246.1188265604</v>
      </c>
      <c r="H19" s="58">
        <f>+F7</f>
        <v>13135.055185577514</v>
      </c>
      <c r="I19" s="58">
        <f>+F9</f>
        <v>88111</v>
      </c>
      <c r="J19" s="50"/>
      <c r="K19" s="50"/>
    </row>
    <row r="20" spans="1:12">
      <c r="D20" s="49"/>
      <c r="E20" s="52"/>
      <c r="F20" s="57" t="str">
        <f>+G3</f>
        <v>1/06/2017-31/05/2018</v>
      </c>
      <c r="G20" s="58">
        <f>+G5</f>
        <v>101246.1188265604</v>
      </c>
      <c r="H20" s="58">
        <f>+G7</f>
        <v>13135.055185577514</v>
      </c>
      <c r="I20" s="58">
        <f>+G9</f>
        <v>88111</v>
      </c>
    </row>
    <row r="21" spans="1:12">
      <c r="B21" s="62"/>
      <c r="D21" s="49"/>
      <c r="E21" s="52"/>
      <c r="F21" s="57" t="str">
        <f>+H3</f>
        <v>1/06/2018-31/05/2019</v>
      </c>
      <c r="G21" s="58">
        <f>+H5</f>
        <v>101246.1188265604</v>
      </c>
      <c r="H21" s="58">
        <f>+H7</f>
        <v>13135.055185577514</v>
      </c>
      <c r="I21" s="58">
        <f>+H9</f>
        <v>88111</v>
      </c>
    </row>
    <row r="22" spans="1:12">
      <c r="B22" s="48"/>
      <c r="C22" s="62"/>
      <c r="D22" s="49"/>
      <c r="E22" s="52"/>
      <c r="F22" s="57" t="str">
        <f>+I3</f>
        <v>1/06/2019-31/05/2020</v>
      </c>
      <c r="G22" s="58">
        <f>+I5</f>
        <v>101246.1188265604</v>
      </c>
      <c r="H22" s="58">
        <f>+I7</f>
        <v>13135.055185577514</v>
      </c>
      <c r="I22" s="58">
        <f>+I9</f>
        <v>88111</v>
      </c>
      <c r="J22" s="48"/>
      <c r="K22" s="48"/>
    </row>
    <row r="23" spans="1:12">
      <c r="B23" s="48"/>
      <c r="D23" s="49"/>
      <c r="E23" s="52"/>
      <c r="F23" s="57" t="str">
        <f>+J3</f>
        <v>1/06/2020-31/05/2021</v>
      </c>
      <c r="G23" s="58">
        <f>+J5</f>
        <v>101246.1188265604</v>
      </c>
      <c r="H23" s="58">
        <f>+J7</f>
        <v>13135.055185577514</v>
      </c>
      <c r="I23" s="58">
        <f>+J9</f>
        <v>88111</v>
      </c>
      <c r="J23" s="48"/>
      <c r="K23" s="48"/>
    </row>
    <row r="24" spans="1:12">
      <c r="A24" s="47"/>
      <c r="B24" s="63"/>
      <c r="C24" s="64"/>
      <c r="D24" s="49"/>
      <c r="E24" s="52"/>
      <c r="F24" s="57" t="str">
        <f>+K3</f>
        <v>1/06/2021-31/05/2022</v>
      </c>
      <c r="G24" s="58">
        <f>+K5</f>
        <v>101246.1188265604</v>
      </c>
      <c r="H24" s="58">
        <f>+K7</f>
        <v>13135.055185577514</v>
      </c>
      <c r="I24" s="58">
        <f>+K9</f>
        <v>88111</v>
      </c>
      <c r="J24" s="48"/>
      <c r="K24" s="48"/>
    </row>
    <row r="25" spans="1:12">
      <c r="B25" s="48"/>
      <c r="D25" s="49"/>
      <c r="F25" s="148" t="s">
        <v>35</v>
      </c>
      <c r="G25" s="48">
        <f>SUM(G15:G24)</f>
        <v>1012461.1882656042</v>
      </c>
      <c r="H25" s="48">
        <f>SUM(H15:H24)</f>
        <v>131350.55185577515</v>
      </c>
      <c r="I25" s="48">
        <f>SUM(I15:I24)</f>
        <v>881110</v>
      </c>
      <c r="J25" s="48"/>
      <c r="K25" s="48"/>
    </row>
    <row r="26" spans="1:12">
      <c r="B26" s="48"/>
      <c r="D26" s="49"/>
      <c r="F26" s="48"/>
      <c r="G26" s="48"/>
      <c r="H26" s="48"/>
      <c r="I26" s="48">
        <f>I25/10</f>
        <v>88111</v>
      </c>
      <c r="J26" s="48"/>
      <c r="K26" s="48"/>
    </row>
    <row r="27" spans="1:12">
      <c r="B27" s="48"/>
      <c r="D27" s="49"/>
      <c r="G27" s="48"/>
      <c r="H27" s="48"/>
      <c r="I27" s="48"/>
      <c r="J27" s="48"/>
      <c r="K27" s="48"/>
    </row>
    <row r="28" spans="1:12">
      <c r="B28" s="48"/>
      <c r="D28" s="49"/>
      <c r="G28" s="48"/>
      <c r="H28" s="48"/>
      <c r="I28" s="48"/>
      <c r="J28" s="48"/>
      <c r="K28" s="48"/>
    </row>
    <row r="29" spans="1:12">
      <c r="B29" s="48"/>
      <c r="D29" s="49"/>
      <c r="G29" s="48"/>
      <c r="H29" s="48"/>
      <c r="I29" s="48"/>
      <c r="J29" s="48"/>
      <c r="K29" s="48"/>
    </row>
    <row r="30" spans="1:12">
      <c r="B30" s="48"/>
      <c r="G30" s="48"/>
      <c r="H30" s="48"/>
      <c r="I30" s="48"/>
      <c r="J30" s="48"/>
      <c r="K30" s="48"/>
    </row>
    <row r="31" spans="1:12">
      <c r="G31" s="48"/>
      <c r="H31" s="48"/>
      <c r="I31" s="48"/>
      <c r="J31" s="48"/>
      <c r="K31" s="48"/>
    </row>
    <row r="32" spans="1:12">
      <c r="G32" s="48"/>
      <c r="H32" s="48"/>
      <c r="I32" s="48"/>
    </row>
  </sheetData>
  <mergeCells count="9">
    <mergeCell ref="A14:A15"/>
    <mergeCell ref="B14:B15"/>
    <mergeCell ref="C14:C15"/>
    <mergeCell ref="L2:L3"/>
    <mergeCell ref="A11:A12"/>
    <mergeCell ref="B11:B12"/>
    <mergeCell ref="C11:C12"/>
    <mergeCell ref="D11:D12"/>
    <mergeCell ref="D14:D15"/>
  </mergeCells>
  <phoneticPr fontId="3" type="noConversion"/>
  <pageMargins left="0.75" right="0.75" top="1" bottom="1" header="0.5" footer="0.5"/>
  <pageSetup orientation="portrait" horizontalDpi="4294967293" r:id="rId1"/>
  <headerFooter alignWithMargins="0"/>
</worksheet>
</file>

<file path=xl/worksheets/sheet7.xml><?xml version="1.0" encoding="utf-8"?>
<worksheet xmlns="http://schemas.openxmlformats.org/spreadsheetml/2006/main" xmlns:r="http://schemas.openxmlformats.org/officeDocument/2006/relationships">
  <sheetPr codeName="Hoja7">
    <pageSetUpPr fitToPage="1"/>
  </sheetPr>
  <dimension ref="A1:T55"/>
  <sheetViews>
    <sheetView zoomScale="70" workbookViewId="0">
      <pane xSplit="1" ySplit="2" topLeftCell="B3" activePane="bottomRight" state="frozen"/>
      <selection activeCell="E37" activeCellId="2" sqref="K15 C37 E37"/>
      <selection pane="topRight" activeCell="E37" activeCellId="2" sqref="K15 C37 E37"/>
      <selection pane="bottomLeft" activeCell="E37" activeCellId="2" sqref="K15 C37 E37"/>
      <selection pane="bottomRight"/>
    </sheetView>
  </sheetViews>
  <sheetFormatPr baseColWidth="10" defaultColWidth="11.44140625" defaultRowHeight="13.2"/>
  <cols>
    <col min="1" max="1" width="36.44140625" style="74" customWidth="1"/>
    <col min="2" max="2" width="17.33203125" style="74" bestFit="1" customWidth="1"/>
    <col min="3" max="3" width="17.33203125" style="74" customWidth="1"/>
    <col min="4" max="4" width="19.6640625" style="74" customWidth="1"/>
    <col min="5" max="5" width="15.88671875" style="74" bestFit="1" customWidth="1"/>
    <col min="6" max="6" width="16.33203125" style="74" bestFit="1" customWidth="1"/>
    <col min="7" max="7" width="19.44140625" style="74" customWidth="1"/>
    <col min="8" max="8" width="16.33203125" style="74" bestFit="1" customWidth="1"/>
    <col min="9" max="9" width="15.44140625" style="74" bestFit="1" customWidth="1"/>
    <col min="10" max="10" width="16.33203125" style="74" bestFit="1" customWidth="1"/>
    <col min="11" max="11" width="17.44140625" style="74" customWidth="1"/>
    <col min="12" max="18" width="15.88671875" style="74" bestFit="1" customWidth="1"/>
    <col min="19" max="19" width="12.88671875" style="74" bestFit="1" customWidth="1"/>
    <col min="20" max="20" width="16.33203125" style="75" bestFit="1" customWidth="1"/>
    <col min="21" max="16384" width="11.44140625" style="74"/>
  </cols>
  <sheetData>
    <row r="1" spans="1:20">
      <c r="A1" s="71"/>
      <c r="B1" s="72"/>
      <c r="C1" s="72"/>
      <c r="D1" s="73" t="s">
        <v>2</v>
      </c>
      <c r="E1" s="73" t="s">
        <v>3</v>
      </c>
      <c r="F1" s="73" t="s">
        <v>4</v>
      </c>
      <c r="G1" s="73" t="s">
        <v>5</v>
      </c>
      <c r="H1" s="73" t="s">
        <v>6</v>
      </c>
      <c r="I1" s="73" t="s">
        <v>7</v>
      </c>
      <c r="J1" s="73" t="s">
        <v>8</v>
      </c>
      <c r="K1" s="73" t="s">
        <v>9</v>
      </c>
      <c r="L1" s="73" t="s">
        <v>10</v>
      </c>
      <c r="M1" s="73" t="s">
        <v>11</v>
      </c>
      <c r="N1" s="73" t="s">
        <v>26</v>
      </c>
      <c r="O1" s="73" t="s">
        <v>52</v>
      </c>
      <c r="P1" s="73" t="s">
        <v>53</v>
      </c>
      <c r="Q1" s="73" t="s">
        <v>54</v>
      </c>
      <c r="R1" s="73" t="s">
        <v>55</v>
      </c>
    </row>
    <row r="2" spans="1:20" ht="26.4">
      <c r="A2" s="76"/>
      <c r="B2" s="77"/>
      <c r="C2" s="304" t="s">
        <v>35</v>
      </c>
      <c r="D2" s="352" t="s">
        <v>407</v>
      </c>
      <c r="E2" s="352" t="s">
        <v>408</v>
      </c>
      <c r="F2" s="352" t="s">
        <v>409</v>
      </c>
      <c r="G2" s="352" t="s">
        <v>410</v>
      </c>
      <c r="H2" s="352" t="s">
        <v>411</v>
      </c>
      <c r="I2" s="352" t="s">
        <v>412</v>
      </c>
      <c r="J2" s="352" t="s">
        <v>413</v>
      </c>
      <c r="K2" s="352" t="s">
        <v>414</v>
      </c>
      <c r="L2" s="352" t="s">
        <v>415</v>
      </c>
      <c r="M2" s="352" t="s">
        <v>416</v>
      </c>
      <c r="N2" s="352" t="s">
        <v>417</v>
      </c>
      <c r="O2" s="352" t="s">
        <v>418</v>
      </c>
      <c r="P2" s="352" t="s">
        <v>419</v>
      </c>
      <c r="Q2" s="352" t="s">
        <v>420</v>
      </c>
      <c r="R2" s="352" t="s">
        <v>421</v>
      </c>
      <c r="T2" s="78" t="s">
        <v>56</v>
      </c>
    </row>
    <row r="3" spans="1:20">
      <c r="A3" s="74" t="s">
        <v>436</v>
      </c>
      <c r="B3" s="79" t="s">
        <v>109</v>
      </c>
      <c r="C3" s="79"/>
      <c r="D3" s="211">
        <f>'Initial Data'!C89*4/Baseline_NaturalGas!D8/1000</f>
        <v>7088.6396428571434</v>
      </c>
      <c r="E3" s="81">
        <f>+D3/$D$5</f>
        <v>0.61707286955681528</v>
      </c>
      <c r="F3" s="82"/>
      <c r="G3" s="82"/>
      <c r="H3" s="82"/>
      <c r="I3" s="82"/>
      <c r="J3" s="84"/>
      <c r="K3" s="84"/>
      <c r="L3" s="84"/>
      <c r="M3" s="85"/>
      <c r="N3" s="84"/>
      <c r="O3" s="86"/>
      <c r="P3" s="87"/>
      <c r="Q3" s="87"/>
      <c r="R3" s="87"/>
      <c r="T3" s="88"/>
    </row>
    <row r="4" spans="1:20">
      <c r="A4" s="74" t="s">
        <v>442</v>
      </c>
      <c r="B4" s="79" t="s">
        <v>109</v>
      </c>
      <c r="C4" s="79"/>
      <c r="D4" s="211">
        <f>'Initial Data'!C60/1000</f>
        <v>4398.8847526785712</v>
      </c>
      <c r="E4" s="81">
        <f>+D4/$D$5</f>
        <v>0.38292713044318472</v>
      </c>
      <c r="F4" s="82"/>
      <c r="G4" s="82"/>
      <c r="H4" s="82"/>
      <c r="I4" s="82"/>
      <c r="M4" s="85"/>
      <c r="N4" s="84"/>
      <c r="O4" s="86"/>
      <c r="P4" s="87"/>
      <c r="Q4" s="87"/>
      <c r="R4" s="87"/>
      <c r="T4" s="88"/>
    </row>
    <row r="5" spans="1:20" ht="13.8" thickBot="1">
      <c r="A5" s="90" t="s">
        <v>59</v>
      </c>
      <c r="B5" s="91" t="s">
        <v>109</v>
      </c>
      <c r="C5" s="296"/>
      <c r="D5" s="92">
        <f>SUM(D3:D4)</f>
        <v>11487.524395535715</v>
      </c>
      <c r="E5" s="84"/>
      <c r="F5" s="93"/>
      <c r="G5" s="93"/>
      <c r="H5" s="93"/>
      <c r="I5" s="93"/>
      <c r="J5" s="84"/>
      <c r="K5" s="84"/>
      <c r="L5" s="84"/>
      <c r="M5" s="84"/>
      <c r="N5" s="84"/>
      <c r="O5" s="86"/>
      <c r="P5" s="87"/>
      <c r="Q5" s="87"/>
      <c r="R5" s="87"/>
      <c r="T5" s="88"/>
    </row>
    <row r="6" spans="1:20" ht="13.8" thickTop="1">
      <c r="B6" s="91" t="s">
        <v>60</v>
      </c>
      <c r="C6" s="91"/>
      <c r="D6" s="94">
        <f>D5*D8</f>
        <v>128660.27322999999</v>
      </c>
      <c r="E6" s="84"/>
      <c r="F6" s="95"/>
      <c r="G6" s="95"/>
      <c r="H6" s="95"/>
      <c r="I6" s="95"/>
      <c r="J6" s="97"/>
      <c r="K6" s="97"/>
      <c r="L6" s="97"/>
      <c r="M6" s="84"/>
      <c r="N6" s="84"/>
      <c r="O6" s="86"/>
      <c r="P6" s="87"/>
      <c r="Q6" s="87"/>
      <c r="R6" s="87"/>
      <c r="T6" s="88"/>
    </row>
    <row r="7" spans="1:20">
      <c r="B7" s="91"/>
      <c r="C7" s="91"/>
      <c r="D7" s="94"/>
      <c r="E7" s="84"/>
      <c r="F7" s="95"/>
      <c r="G7" s="98"/>
      <c r="H7" s="96"/>
      <c r="I7" s="97"/>
      <c r="J7" s="97"/>
      <c r="K7" s="97"/>
      <c r="L7" s="97"/>
      <c r="M7" s="84"/>
      <c r="N7" s="84"/>
      <c r="O7" s="86"/>
      <c r="P7" s="87"/>
      <c r="Q7" s="87"/>
      <c r="R7" s="87"/>
      <c r="T7" s="88"/>
    </row>
    <row r="8" spans="1:20">
      <c r="B8" s="91" t="s">
        <v>61</v>
      </c>
      <c r="C8" s="91"/>
      <c r="D8" s="99">
        <f>'Initial Data'!C14</f>
        <v>11.2</v>
      </c>
      <c r="E8" s="84"/>
      <c r="F8" s="95"/>
      <c r="G8" s="98"/>
      <c r="H8" s="96"/>
      <c r="I8" s="97"/>
      <c r="J8" s="97"/>
      <c r="K8" s="97"/>
      <c r="L8" s="97"/>
      <c r="M8" s="84"/>
      <c r="N8" s="84"/>
      <c r="O8" s="86"/>
      <c r="P8" s="87"/>
      <c r="Q8" s="87"/>
      <c r="R8" s="87"/>
      <c r="T8" s="88"/>
    </row>
    <row r="9" spans="1:20" ht="15" customHeight="1">
      <c r="B9" s="91"/>
      <c r="C9" s="315"/>
      <c r="D9" s="99"/>
      <c r="E9" s="84"/>
      <c r="F9" s="95"/>
      <c r="G9" s="98"/>
      <c r="H9" s="96"/>
      <c r="I9" s="97"/>
      <c r="J9" s="97"/>
      <c r="K9" s="97"/>
      <c r="L9" s="97"/>
      <c r="M9" s="84"/>
      <c r="N9" s="84"/>
      <c r="O9" s="86"/>
      <c r="P9" s="87"/>
      <c r="Q9" s="87"/>
      <c r="R9" s="87"/>
      <c r="T9" s="88"/>
    </row>
    <row r="10" spans="1:20" ht="15" customHeight="1">
      <c r="A10" s="74" t="s">
        <v>62</v>
      </c>
      <c r="B10" s="100" t="s">
        <v>82</v>
      </c>
      <c r="C10" s="100"/>
      <c r="D10" s="210">
        <f>'Initial Data'!C49*365</f>
        <v>219000</v>
      </c>
      <c r="E10" s="210">
        <f>D10</f>
        <v>219000</v>
      </c>
      <c r="F10" s="210">
        <f t="shared" ref="F10:R10" si="0">E10</f>
        <v>219000</v>
      </c>
      <c r="G10" s="210">
        <f t="shared" si="0"/>
        <v>219000</v>
      </c>
      <c r="H10" s="210">
        <f t="shared" si="0"/>
        <v>219000</v>
      </c>
      <c r="I10" s="210">
        <f t="shared" si="0"/>
        <v>219000</v>
      </c>
      <c r="J10" s="210">
        <f t="shared" si="0"/>
        <v>219000</v>
      </c>
      <c r="K10" s="210">
        <f t="shared" si="0"/>
        <v>219000</v>
      </c>
      <c r="L10" s="210">
        <f t="shared" si="0"/>
        <v>219000</v>
      </c>
      <c r="M10" s="210">
        <f t="shared" si="0"/>
        <v>219000</v>
      </c>
      <c r="N10" s="210">
        <f t="shared" si="0"/>
        <v>219000</v>
      </c>
      <c r="O10" s="210">
        <f t="shared" si="0"/>
        <v>219000</v>
      </c>
      <c r="P10" s="210">
        <f t="shared" si="0"/>
        <v>219000</v>
      </c>
      <c r="Q10" s="210">
        <f t="shared" si="0"/>
        <v>219000</v>
      </c>
      <c r="R10" s="210">
        <f t="shared" si="0"/>
        <v>219000</v>
      </c>
      <c r="T10" s="88"/>
    </row>
    <row r="11" spans="1:20" ht="15" customHeight="1">
      <c r="A11" s="139" t="s">
        <v>116</v>
      </c>
      <c r="B11" s="141" t="s">
        <v>99</v>
      </c>
      <c r="C11" s="141"/>
      <c r="D11" s="210">
        <f>('Initial Data'!C50-'Initial Data'!C51)</f>
        <v>70</v>
      </c>
      <c r="E11" s="210">
        <f>D11</f>
        <v>70</v>
      </c>
      <c r="F11" s="210">
        <f t="shared" ref="F11:L11" si="1">E11</f>
        <v>70</v>
      </c>
      <c r="G11" s="210">
        <f t="shared" si="1"/>
        <v>70</v>
      </c>
      <c r="H11" s="210">
        <f t="shared" si="1"/>
        <v>70</v>
      </c>
      <c r="I11" s="210">
        <f t="shared" si="1"/>
        <v>70</v>
      </c>
      <c r="J11" s="210">
        <f t="shared" si="1"/>
        <v>70</v>
      </c>
      <c r="K11" s="210">
        <f t="shared" si="1"/>
        <v>70</v>
      </c>
      <c r="L11" s="210">
        <f t="shared" si="1"/>
        <v>70</v>
      </c>
      <c r="M11" s="210">
        <f t="shared" ref="M11:R11" si="2">L11</f>
        <v>70</v>
      </c>
      <c r="N11" s="210">
        <f t="shared" si="2"/>
        <v>70</v>
      </c>
      <c r="O11" s="210">
        <f t="shared" si="2"/>
        <v>70</v>
      </c>
      <c r="P11" s="210">
        <f t="shared" si="2"/>
        <v>70</v>
      </c>
      <c r="Q11" s="210">
        <f t="shared" si="2"/>
        <v>70</v>
      </c>
      <c r="R11" s="210">
        <f t="shared" si="2"/>
        <v>70</v>
      </c>
      <c r="T11" s="88"/>
    </row>
    <row r="12" spans="1:20" ht="15" customHeight="1">
      <c r="A12" s="140" t="s">
        <v>117</v>
      </c>
      <c r="B12" s="141" t="s">
        <v>100</v>
      </c>
      <c r="C12" s="141"/>
      <c r="D12" s="101">
        <f>'Initial Data'!C52/D8</f>
        <v>6.4285714285714288</v>
      </c>
      <c r="E12" s="101">
        <f>D12*(1+'Initial Data'!$C$20/100)</f>
        <v>6.6008571428571425</v>
      </c>
      <c r="F12" s="101">
        <f>E12*(1+'Initial Data'!$C$20/100)</f>
        <v>6.7777601142857131</v>
      </c>
      <c r="G12" s="101">
        <f>F12*(1+'Initial Data'!$C$20/100)</f>
        <v>6.9594040853485701</v>
      </c>
      <c r="H12" s="101">
        <f>G12*(1+'Initial Data'!$C$20/100)</f>
        <v>7.1459161148359112</v>
      </c>
      <c r="I12" s="101">
        <f>H12*(1+'Initial Data'!$C$20/100)</f>
        <v>7.3374266667135135</v>
      </c>
      <c r="J12" s="101">
        <f>I12*(1+'Initial Data'!$C$20/100)</f>
        <v>7.5340697013814353</v>
      </c>
      <c r="K12" s="101">
        <f>J12*(1+'Initial Data'!$C$20/100)</f>
        <v>7.7359827693784569</v>
      </c>
      <c r="L12" s="101">
        <f>K12*(1+'Initial Data'!$C$20/100)</f>
        <v>7.943307107597799</v>
      </c>
      <c r="M12" s="101">
        <f>L12*(1+'Initial Data'!$C$20/100)</f>
        <v>8.1561877380814192</v>
      </c>
      <c r="N12" s="101">
        <f>M12*(1+'Initial Data'!$C$20/100)</f>
        <v>8.3747735694620005</v>
      </c>
      <c r="O12" s="101">
        <f>N12*(1+'Initial Data'!$C$20/100)</f>
        <v>8.5992175011235812</v>
      </c>
      <c r="P12" s="101">
        <f>O12*(1+'Initial Data'!$C$20/100)</f>
        <v>8.8296765301536926</v>
      </c>
      <c r="Q12" s="101">
        <f>P12*(1+'Initial Data'!$C$20/100)</f>
        <v>9.066311861161811</v>
      </c>
      <c r="R12" s="101">
        <f>Q12*(1+'Initial Data'!$C$20/100)</f>
        <v>9.3092890190409463</v>
      </c>
      <c r="T12" s="88"/>
    </row>
    <row r="13" spans="1:20" ht="15" customHeight="1">
      <c r="A13" s="153" t="s">
        <v>115</v>
      </c>
      <c r="B13" s="100" t="s">
        <v>81</v>
      </c>
      <c r="C13" s="100"/>
      <c r="D13" s="101">
        <f>D11*D12</f>
        <v>450</v>
      </c>
      <c r="E13" s="101">
        <f>E11*E12</f>
        <v>462.06</v>
      </c>
      <c r="F13" s="101">
        <f t="shared" ref="F13:R13" si="3">F11*F12</f>
        <v>474.44320799999991</v>
      </c>
      <c r="G13" s="101">
        <f t="shared" si="3"/>
        <v>487.15828597439992</v>
      </c>
      <c r="H13" s="101">
        <f t="shared" si="3"/>
        <v>500.21412803851376</v>
      </c>
      <c r="I13" s="101">
        <f t="shared" si="3"/>
        <v>513.61986666994596</v>
      </c>
      <c r="J13" s="101">
        <f t="shared" si="3"/>
        <v>527.3848790967005</v>
      </c>
      <c r="K13" s="101">
        <f>K11*K12</f>
        <v>541.51879385649192</v>
      </c>
      <c r="L13" s="101">
        <f>L11*L12</f>
        <v>556.03149753184596</v>
      </c>
      <c r="M13" s="101">
        <f t="shared" si="3"/>
        <v>570.9331416656994</v>
      </c>
      <c r="N13" s="101">
        <f t="shared" si="3"/>
        <v>586.23414986234002</v>
      </c>
      <c r="O13" s="101">
        <f t="shared" si="3"/>
        <v>601.94522507865065</v>
      </c>
      <c r="P13" s="101">
        <f t="shared" si="3"/>
        <v>618.0773571107585</v>
      </c>
      <c r="Q13" s="101">
        <f t="shared" si="3"/>
        <v>634.64183028132675</v>
      </c>
      <c r="R13" s="101">
        <f t="shared" si="3"/>
        <v>651.65023133286627</v>
      </c>
      <c r="T13" s="88"/>
    </row>
    <row r="14" spans="1:20" ht="15" customHeight="1">
      <c r="B14" s="100"/>
      <c r="C14" s="100"/>
      <c r="D14" s="100"/>
      <c r="E14" s="84"/>
      <c r="F14" s="95"/>
      <c r="G14" s="98"/>
      <c r="H14" s="96"/>
      <c r="I14" s="97"/>
      <c r="J14" s="97"/>
      <c r="K14" s="97"/>
      <c r="L14" s="97"/>
      <c r="M14" s="84"/>
      <c r="N14" s="84"/>
      <c r="O14" s="86"/>
      <c r="P14" s="87"/>
      <c r="Q14" s="87"/>
      <c r="R14" s="87"/>
      <c r="T14" s="88"/>
    </row>
    <row r="15" spans="1:20" ht="13.8" thickBot="1">
      <c r="A15" s="90" t="s">
        <v>83</v>
      </c>
      <c r="B15" s="100" t="s">
        <v>109</v>
      </c>
      <c r="C15" s="307">
        <f>+SUM(D15:R15)</f>
        <v>1790524.8581953994</v>
      </c>
      <c r="D15" s="114">
        <f>D10*D13/1000*'Initial Data'!$C$34/'Initial Data'!$C$33</f>
        <v>98550</v>
      </c>
      <c r="E15" s="114">
        <f>E10*E13/1000*'Initial Data'!$C$34/'Initial Data'!$C$33</f>
        <v>101191.14</v>
      </c>
      <c r="F15" s="114">
        <f>F10*F13/1000*'Initial Data'!$C$34/'Initial Data'!$C$33</f>
        <v>103903.06255199999</v>
      </c>
      <c r="G15" s="114">
        <f>G10*G13/1000*'Initial Data'!$C$34/'Initial Data'!$C$33</f>
        <v>106687.66462839357</v>
      </c>
      <c r="H15" s="114">
        <f>H10*H13/1000*'Initial Data'!$C$34/'Initial Data'!$C$33</f>
        <v>109546.8940404345</v>
      </c>
      <c r="I15" s="114">
        <f>I10*I13/1000*'Initial Data'!$C$34/'Initial Data'!$C$33</f>
        <v>112482.75080071818</v>
      </c>
      <c r="J15" s="114">
        <f>J10*J13/1000*'Initial Data'!$C$34/'Initial Data'!$C$33</f>
        <v>115497.28852217742</v>
      </c>
      <c r="K15" s="114">
        <f>K10*K13/1000*'Initial Data'!$C$34/'Initial Data'!$C$33</f>
        <v>118592.61585457173</v>
      </c>
      <c r="L15" s="114">
        <f>L10*L13/1000*'Initial Data'!$C$34/'Initial Data'!$C$33</f>
        <v>121770.89795947427</v>
      </c>
      <c r="M15" s="114">
        <f>M10*M13/1000*'Initial Data'!$C$34/'Initial Data'!$C$33</f>
        <v>125034.35802478818</v>
      </c>
      <c r="N15" s="114">
        <f>N10*N13/1000*'Initial Data'!$C$34/'Initial Data'!$C$33</f>
        <v>128385.27881985246</v>
      </c>
      <c r="O15" s="114">
        <f>O10*O13/1000*'Initial Data'!$C$34/'Initial Data'!$C$33</f>
        <v>131826.0042922245</v>
      </c>
      <c r="P15" s="114">
        <f>P10*P13/1000*'Initial Data'!$C$34/'Initial Data'!$C$33</f>
        <v>135358.94120725611</v>
      </c>
      <c r="Q15" s="114">
        <f>Q10*Q13/1000*'Initial Data'!$C$34/'Initial Data'!$C$33</f>
        <v>138986.56083161055</v>
      </c>
      <c r="R15" s="114">
        <f>R10*R13/1000*'Initial Data'!$C$34/'Initial Data'!$C$33</f>
        <v>142711.40066189773</v>
      </c>
    </row>
    <row r="16" spans="1:20" ht="15" customHeight="1" thickTop="1">
      <c r="B16" s="91"/>
      <c r="C16" s="91"/>
      <c r="D16" s="99"/>
      <c r="E16" s="84"/>
      <c r="F16" s="95"/>
      <c r="G16" s="98"/>
      <c r="H16" s="96"/>
      <c r="I16" s="97"/>
      <c r="J16" s="97"/>
      <c r="K16" s="97"/>
      <c r="L16" s="97"/>
      <c r="M16" s="84"/>
      <c r="N16" s="84"/>
      <c r="O16" s="86"/>
      <c r="P16" s="87"/>
      <c r="Q16" s="87"/>
      <c r="R16" s="87"/>
      <c r="T16" s="88"/>
    </row>
    <row r="17" spans="1:20">
      <c r="A17" s="90" t="s">
        <v>67</v>
      </c>
      <c r="B17" s="100"/>
      <c r="C17" s="307">
        <f>+SUM(D17:R17)</f>
        <v>1790524.8581953994</v>
      </c>
      <c r="D17" s="70">
        <f>D15</f>
        <v>98550</v>
      </c>
      <c r="E17" s="70">
        <f t="shared" ref="E17:R17" si="4">E15</f>
        <v>101191.14</v>
      </c>
      <c r="F17" s="70">
        <f t="shared" si="4"/>
        <v>103903.06255199999</v>
      </c>
      <c r="G17" s="70">
        <f t="shared" si="4"/>
        <v>106687.66462839357</v>
      </c>
      <c r="H17" s="70">
        <f t="shared" si="4"/>
        <v>109546.8940404345</v>
      </c>
      <c r="I17" s="70">
        <f t="shared" si="4"/>
        <v>112482.75080071818</v>
      </c>
      <c r="J17" s="70">
        <f t="shared" si="4"/>
        <v>115497.28852217742</v>
      </c>
      <c r="K17" s="70">
        <f t="shared" si="4"/>
        <v>118592.61585457173</v>
      </c>
      <c r="L17" s="70">
        <f t="shared" si="4"/>
        <v>121770.89795947427</v>
      </c>
      <c r="M17" s="70">
        <f t="shared" si="4"/>
        <v>125034.35802478818</v>
      </c>
      <c r="N17" s="70">
        <f t="shared" si="4"/>
        <v>128385.27881985246</v>
      </c>
      <c r="O17" s="70">
        <f t="shared" si="4"/>
        <v>131826.0042922245</v>
      </c>
      <c r="P17" s="70">
        <f t="shared" si="4"/>
        <v>135358.94120725611</v>
      </c>
      <c r="Q17" s="70">
        <f t="shared" si="4"/>
        <v>138986.56083161055</v>
      </c>
      <c r="R17" s="70">
        <f t="shared" si="4"/>
        <v>142711.40066189773</v>
      </c>
    </row>
    <row r="18" spans="1:20">
      <c r="A18" s="90"/>
      <c r="B18" s="100"/>
      <c r="C18" s="298"/>
      <c r="T18" s="74"/>
    </row>
    <row r="19" spans="1:20">
      <c r="A19" s="90" t="s">
        <v>68</v>
      </c>
      <c r="B19" s="79"/>
      <c r="C19" s="91"/>
      <c r="D19" s="84"/>
      <c r="E19" s="106"/>
      <c r="F19" s="106"/>
      <c r="G19" s="106"/>
      <c r="H19" s="106"/>
      <c r="I19" s="106"/>
      <c r="J19" s="106"/>
      <c r="K19" s="106"/>
      <c r="L19" s="106"/>
      <c r="M19" s="106"/>
      <c r="N19" s="106"/>
      <c r="O19" s="107"/>
      <c r="P19" s="108"/>
      <c r="Q19" s="108"/>
      <c r="R19" s="108"/>
      <c r="T19" s="109"/>
    </row>
    <row r="20" spans="1:20">
      <c r="A20" s="146" t="s">
        <v>176</v>
      </c>
      <c r="B20" s="79" t="s">
        <v>109</v>
      </c>
      <c r="C20" s="308">
        <f>SUM(D20:R20)</f>
        <v>17405.991521183645</v>
      </c>
      <c r="D20" s="110">
        <f>('Initial Data'!C90)/Baseline_NaturalGas!D8/1000</f>
        <v>958.02102749999995</v>
      </c>
      <c r="E20" s="110">
        <f>D20*(1+'Initial Data'!$C$20/100)</f>
        <v>983.69599103699989</v>
      </c>
      <c r="F20" s="110">
        <f>E20*(1+'Initial Data'!$C$20/100)</f>
        <v>1010.0590435967914</v>
      </c>
      <c r="G20" s="110">
        <f>F20*(1+'Initial Data'!$C$20/100)</f>
        <v>1037.1286259651854</v>
      </c>
      <c r="H20" s="110">
        <f>G20*(1+'Initial Data'!$C$20/100)</f>
        <v>1064.9236731410524</v>
      </c>
      <c r="I20" s="110">
        <f>H20*(1+'Initial Data'!$C$20/100)</f>
        <v>1093.4636275812325</v>
      </c>
      <c r="J20" s="110">
        <f>I20*(1+'Initial Data'!$C$20/100)</f>
        <v>1122.7684528004095</v>
      </c>
      <c r="K20" s="110">
        <f>J20*(1+'Initial Data'!$C$20/100)</f>
        <v>1152.8586473354603</v>
      </c>
      <c r="L20" s="110">
        <f>K20*(1+'Initial Data'!$C$20/100)</f>
        <v>1183.7552590840505</v>
      </c>
      <c r="M20" s="110">
        <f>L20*(1+'Initial Data'!$C$20/100)</f>
        <v>1215.4799000275029</v>
      </c>
      <c r="N20" s="110">
        <f>M20*(1+'Initial Data'!$C$20/100)</f>
        <v>1248.0547613482399</v>
      </c>
      <c r="O20" s="110">
        <f>N20*(1+'Initial Data'!$C$20/100)</f>
        <v>1281.5026289523728</v>
      </c>
      <c r="P20" s="110">
        <f>O20*(1+'Initial Data'!$C$20/100)</f>
        <v>1315.8468994082964</v>
      </c>
      <c r="Q20" s="110">
        <f>P20*(1+'Initial Data'!$C$20/100)</f>
        <v>1351.1115963124387</v>
      </c>
      <c r="R20" s="110">
        <f>Q20*(1+'Initial Data'!$C$20/100)</f>
        <v>1387.321387093612</v>
      </c>
    </row>
    <row r="21" spans="1:20">
      <c r="B21" s="79"/>
      <c r="C21" s="91"/>
      <c r="D21" s="79"/>
      <c r="E21" s="79"/>
      <c r="F21" s="79"/>
      <c r="G21" s="79"/>
      <c r="H21" s="79"/>
      <c r="I21" s="79"/>
      <c r="J21" s="79"/>
      <c r="K21" s="79"/>
      <c r="L21" s="79"/>
      <c r="M21" s="79"/>
      <c r="N21" s="79"/>
      <c r="O21" s="79"/>
      <c r="P21" s="79"/>
      <c r="Q21" s="79"/>
      <c r="R21" s="79"/>
      <c r="S21" s="79"/>
      <c r="T21" s="79"/>
    </row>
    <row r="22" spans="1:20">
      <c r="A22" s="90" t="s">
        <v>71</v>
      </c>
      <c r="B22" s="79"/>
      <c r="C22" s="91"/>
      <c r="D22" s="79"/>
      <c r="E22" s="79"/>
      <c r="F22" s="79"/>
      <c r="G22" s="79"/>
      <c r="H22" s="79"/>
      <c r="I22" s="79"/>
      <c r="J22" s="79"/>
      <c r="K22" s="79"/>
      <c r="L22" s="79"/>
      <c r="M22" s="79"/>
      <c r="N22" s="79"/>
      <c r="O22" s="79"/>
      <c r="P22" s="79"/>
      <c r="Q22" s="79"/>
      <c r="R22" s="79"/>
      <c r="S22" s="79"/>
      <c r="T22" s="79"/>
    </row>
    <row r="23" spans="1:20">
      <c r="A23" s="90"/>
      <c r="B23" s="79"/>
      <c r="C23" s="318"/>
      <c r="D23" s="145"/>
      <c r="E23" s="145"/>
      <c r="F23" s="145"/>
      <c r="G23" s="145"/>
      <c r="H23" s="145"/>
      <c r="I23" s="145"/>
      <c r="J23" s="145"/>
      <c r="K23" s="145"/>
      <c r="L23" s="145"/>
      <c r="M23" s="145"/>
      <c r="N23" s="145"/>
      <c r="O23" s="145"/>
      <c r="P23" s="145"/>
      <c r="Q23" s="145"/>
      <c r="R23" s="145"/>
      <c r="S23" s="138"/>
      <c r="T23" s="79"/>
    </row>
    <row r="24" spans="1:20">
      <c r="A24" s="74" t="s">
        <v>64</v>
      </c>
      <c r="B24" s="79" t="s">
        <v>65</v>
      </c>
      <c r="C24" s="91"/>
      <c r="D24" s="69">
        <f>'Initial Data'!$C$6*2*'Initial Data'!$C$27/1000000000*24*365</f>
        <v>1656.5089715892002</v>
      </c>
      <c r="E24" s="69">
        <f>D24</f>
        <v>1656.5089715892002</v>
      </c>
      <c r="F24" s="69">
        <f t="shared" ref="F24:R24" si="5">E24</f>
        <v>1656.5089715892002</v>
      </c>
      <c r="G24" s="69">
        <f t="shared" si="5"/>
        <v>1656.5089715892002</v>
      </c>
      <c r="H24" s="69">
        <f t="shared" si="5"/>
        <v>1656.5089715892002</v>
      </c>
      <c r="I24" s="69">
        <f t="shared" si="5"/>
        <v>1656.5089715892002</v>
      </c>
      <c r="J24" s="69">
        <f t="shared" si="5"/>
        <v>1656.5089715892002</v>
      </c>
      <c r="K24" s="69">
        <f t="shared" si="5"/>
        <v>1656.5089715892002</v>
      </c>
      <c r="L24" s="69">
        <f t="shared" si="5"/>
        <v>1656.5089715892002</v>
      </c>
      <c r="M24" s="69">
        <f t="shared" si="5"/>
        <v>1656.5089715892002</v>
      </c>
      <c r="N24" s="69">
        <f t="shared" si="5"/>
        <v>1656.5089715892002</v>
      </c>
      <c r="O24" s="69">
        <f t="shared" si="5"/>
        <v>1656.5089715892002</v>
      </c>
      <c r="P24" s="69">
        <f t="shared" si="5"/>
        <v>1656.5089715892002</v>
      </c>
      <c r="Q24" s="69">
        <f t="shared" si="5"/>
        <v>1656.5089715892002</v>
      </c>
      <c r="R24" s="69">
        <f t="shared" si="5"/>
        <v>1656.5089715892002</v>
      </c>
      <c r="T24" s="88"/>
    </row>
    <row r="25" spans="1:20">
      <c r="A25" s="74" t="s">
        <v>108</v>
      </c>
      <c r="B25" s="79" t="s">
        <v>36</v>
      </c>
      <c r="C25" s="319">
        <f>AVERAGE('Baseline Emissions'!B29:B32)</f>
        <v>0.90200000000000002</v>
      </c>
      <c r="E25" s="79"/>
      <c r="F25" s="79"/>
      <c r="G25" s="79"/>
      <c r="H25" s="79"/>
      <c r="I25" s="79"/>
      <c r="J25" s="79"/>
      <c r="K25" s="79"/>
      <c r="L25" s="79"/>
      <c r="M25" s="79"/>
      <c r="N25" s="79"/>
      <c r="O25" s="79"/>
      <c r="P25" s="79"/>
      <c r="Q25" s="79"/>
      <c r="R25" s="79"/>
      <c r="T25" s="88"/>
    </row>
    <row r="26" spans="1:20" ht="13.5" customHeight="1">
      <c r="A26" s="74" t="s">
        <v>345</v>
      </c>
      <c r="B26" s="100" t="s">
        <v>180</v>
      </c>
      <c r="C26" s="91"/>
      <c r="D26" s="69">
        <f>D24*'Initial Data'!$C$28/$C$25</f>
        <v>1741816.7092883086</v>
      </c>
      <c r="E26" s="69">
        <f>E24*'Initial Data'!$C$28/$C$25</f>
        <v>1741816.7092883086</v>
      </c>
      <c r="F26" s="69">
        <f>F24*'Initial Data'!$C$28/$C$25</f>
        <v>1741816.7092883086</v>
      </c>
      <c r="G26" s="69">
        <f>G24*'Initial Data'!$C$28/$C$25</f>
        <v>1741816.7092883086</v>
      </c>
      <c r="H26" s="69">
        <f>H24*'Initial Data'!$C$28/$C$25</f>
        <v>1741816.7092883086</v>
      </c>
      <c r="I26" s="69">
        <f>I24*'Initial Data'!$C$28/$C$25</f>
        <v>1741816.7092883086</v>
      </c>
      <c r="J26" s="69">
        <f>J24*'Initial Data'!$C$28/$C$25</f>
        <v>1741816.7092883086</v>
      </c>
      <c r="K26" s="69">
        <f>K24*'Initial Data'!$C$28/$C$25</f>
        <v>1741816.7092883086</v>
      </c>
      <c r="L26" s="69">
        <f>L24*'Initial Data'!$C$28/$C$25</f>
        <v>1741816.7092883086</v>
      </c>
      <c r="M26" s="69">
        <f>M24*'Initial Data'!$C$28/$C$25</f>
        <v>1741816.7092883086</v>
      </c>
      <c r="N26" s="69">
        <f>N24*'Initial Data'!$C$28/$C$25</f>
        <v>1741816.7092883086</v>
      </c>
      <c r="O26" s="69">
        <f>O24*'Initial Data'!$C$28/$C$25</f>
        <v>1741816.7092883086</v>
      </c>
      <c r="P26" s="69">
        <f>P24*'Initial Data'!$C$28/$C$25</f>
        <v>1741816.7092883086</v>
      </c>
      <c r="Q26" s="69">
        <f>Q24*'Initial Data'!$C$28/$C$25</f>
        <v>1741816.7092883086</v>
      </c>
      <c r="R26" s="69">
        <f>R24*'Initial Data'!$C$28/$C$25</f>
        <v>1741816.7092883086</v>
      </c>
      <c r="T26" s="88"/>
    </row>
    <row r="27" spans="1:20">
      <c r="A27" s="74" t="s">
        <v>66</v>
      </c>
      <c r="B27" s="205" t="s">
        <v>179</v>
      </c>
      <c r="C27" s="320"/>
      <c r="D27" s="69">
        <f>'Initial Data'!E45</f>
        <v>5.6086944825694198</v>
      </c>
      <c r="E27" s="69">
        <f>'Initial Data'!F45</f>
        <v>5.5051083831058802</v>
      </c>
      <c r="F27" s="69">
        <f>'Initial Data'!G45</f>
        <v>5.61862622286578</v>
      </c>
      <c r="G27" s="69">
        <f>'Initial Data'!H45</f>
        <v>5.8406487933251103</v>
      </c>
      <c r="H27" s="69">
        <f>'Initial Data'!I45</f>
        <v>5.8453745748678001</v>
      </c>
      <c r="I27" s="69">
        <f>'Initial Data'!J45</f>
        <v>6.0672099673130804</v>
      </c>
      <c r="J27" s="69">
        <f>'Initial Data'!K45</f>
        <v>6.39755565092754</v>
      </c>
      <c r="K27" s="101">
        <f>J27</f>
        <v>6.39755565092754</v>
      </c>
      <c r="L27" s="101">
        <f>K27</f>
        <v>6.39755565092754</v>
      </c>
      <c r="M27" s="101">
        <f t="shared" ref="M27:R27" si="6">L27</f>
        <v>6.39755565092754</v>
      </c>
      <c r="N27" s="101">
        <f t="shared" si="6"/>
        <v>6.39755565092754</v>
      </c>
      <c r="O27" s="101">
        <f t="shared" si="6"/>
        <v>6.39755565092754</v>
      </c>
      <c r="P27" s="101">
        <f t="shared" si="6"/>
        <v>6.39755565092754</v>
      </c>
      <c r="Q27" s="101">
        <f t="shared" si="6"/>
        <v>6.39755565092754</v>
      </c>
      <c r="R27" s="101">
        <f t="shared" si="6"/>
        <v>6.39755565092754</v>
      </c>
      <c r="T27" s="88"/>
    </row>
    <row r="28" spans="1:20">
      <c r="B28" s="102"/>
      <c r="C28" s="321"/>
      <c r="D28" s="103"/>
      <c r="E28" s="103"/>
      <c r="F28" s="103"/>
      <c r="G28" s="103"/>
      <c r="H28" s="103"/>
      <c r="I28" s="103"/>
      <c r="J28" s="103"/>
      <c r="K28" s="103"/>
      <c r="L28" s="103"/>
      <c r="M28" s="84"/>
      <c r="N28" s="104"/>
      <c r="O28" s="105"/>
      <c r="P28" s="105"/>
      <c r="Q28" s="105"/>
      <c r="R28" s="105"/>
      <c r="T28" s="88"/>
    </row>
    <row r="29" spans="1:20" ht="13.8" thickBot="1">
      <c r="A29" s="146" t="s">
        <v>102</v>
      </c>
      <c r="B29" s="79" t="s">
        <v>109</v>
      </c>
      <c r="C29" s="307">
        <f>+SUM(D29:R29)</f>
        <v>160358.02702356796</v>
      </c>
      <c r="D29" s="114">
        <f>D27*D26/1000</f>
        <v>9769.3177670325604</v>
      </c>
      <c r="E29" s="114">
        <f>E26*E27/1000</f>
        <v>9588.8897681369654</v>
      </c>
      <c r="F29" s="114">
        <f t="shared" ref="F29:R29" si="7">F26*F27/1000</f>
        <v>9786.6170382330711</v>
      </c>
      <c r="G29" s="114">
        <f t="shared" si="7"/>
        <v>10173.339661298274</v>
      </c>
      <c r="H29" s="114">
        <f t="shared" si="7"/>
        <v>10181.571106553778</v>
      </c>
      <c r="I29" s="114">
        <f t="shared" si="7"/>
        <v>10567.967699826495</v>
      </c>
      <c r="J29" s="114">
        <f t="shared" si="7"/>
        <v>11143.36933138743</v>
      </c>
      <c r="K29" s="114">
        <f t="shared" si="7"/>
        <v>11143.36933138743</v>
      </c>
      <c r="L29" s="114">
        <f t="shared" si="7"/>
        <v>11143.36933138743</v>
      </c>
      <c r="M29" s="114">
        <f t="shared" si="7"/>
        <v>11143.36933138743</v>
      </c>
      <c r="N29" s="114">
        <f t="shared" si="7"/>
        <v>11143.36933138743</v>
      </c>
      <c r="O29" s="114">
        <f t="shared" si="7"/>
        <v>11143.36933138743</v>
      </c>
      <c r="P29" s="114">
        <f t="shared" si="7"/>
        <v>11143.36933138743</v>
      </c>
      <c r="Q29" s="114">
        <f t="shared" si="7"/>
        <v>11143.36933138743</v>
      </c>
      <c r="R29" s="114">
        <f t="shared" si="7"/>
        <v>11143.36933138743</v>
      </c>
    </row>
    <row r="30" spans="1:20" ht="13.8" thickTop="1">
      <c r="A30" s="90"/>
      <c r="B30" s="100"/>
      <c r="C30" s="298"/>
      <c r="T30" s="74"/>
    </row>
    <row r="31" spans="1:20">
      <c r="B31" s="144"/>
      <c r="C31" s="298"/>
      <c r="D31" s="144"/>
      <c r="E31" s="144"/>
      <c r="F31" s="144"/>
      <c r="G31" s="144"/>
      <c r="H31" s="144"/>
      <c r="I31" s="144"/>
      <c r="J31" s="144"/>
      <c r="K31" s="144"/>
      <c r="L31" s="144"/>
      <c r="M31" s="144"/>
      <c r="N31" s="144"/>
      <c r="O31" s="144"/>
      <c r="P31" s="144"/>
      <c r="Q31" s="144"/>
      <c r="R31" s="144"/>
      <c r="S31" s="144"/>
      <c r="T31" s="144"/>
    </row>
    <row r="32" spans="1:20" ht="13.8" thickBot="1">
      <c r="A32" s="74" t="s">
        <v>101</v>
      </c>
      <c r="B32" s="79" t="s">
        <v>109</v>
      </c>
      <c r="C32" s="318"/>
      <c r="D32" s="114">
        <f>D29</f>
        <v>9769.3177670325604</v>
      </c>
      <c r="E32" s="114">
        <f t="shared" ref="E32:R32" si="8">E29</f>
        <v>9588.8897681369654</v>
      </c>
      <c r="F32" s="114">
        <f t="shared" si="8"/>
        <v>9786.6170382330711</v>
      </c>
      <c r="G32" s="114">
        <f t="shared" si="8"/>
        <v>10173.339661298274</v>
      </c>
      <c r="H32" s="114">
        <f t="shared" si="8"/>
        <v>10181.571106553778</v>
      </c>
      <c r="I32" s="114">
        <f t="shared" si="8"/>
        <v>10567.967699826495</v>
      </c>
      <c r="J32" s="114">
        <f t="shared" si="8"/>
        <v>11143.36933138743</v>
      </c>
      <c r="K32" s="114">
        <f t="shared" si="8"/>
        <v>11143.36933138743</v>
      </c>
      <c r="L32" s="114">
        <f t="shared" si="8"/>
        <v>11143.36933138743</v>
      </c>
      <c r="M32" s="114">
        <f t="shared" si="8"/>
        <v>11143.36933138743</v>
      </c>
      <c r="N32" s="114">
        <f t="shared" si="8"/>
        <v>11143.36933138743</v>
      </c>
      <c r="O32" s="114">
        <f t="shared" si="8"/>
        <v>11143.36933138743</v>
      </c>
      <c r="P32" s="114">
        <f t="shared" si="8"/>
        <v>11143.36933138743</v>
      </c>
      <c r="Q32" s="114">
        <f t="shared" si="8"/>
        <v>11143.36933138743</v>
      </c>
      <c r="R32" s="114">
        <f t="shared" si="8"/>
        <v>11143.36933138743</v>
      </c>
      <c r="T32" s="316"/>
    </row>
    <row r="33" spans="1:20" ht="13.8" thickTop="1">
      <c r="C33" s="90"/>
    </row>
    <row r="34" spans="1:20">
      <c r="A34" s="90" t="s">
        <v>72</v>
      </c>
      <c r="B34" s="91" t="s">
        <v>109</v>
      </c>
      <c r="C34" s="308">
        <f>SUM(D34:R34)</f>
        <v>177764.01854475166</v>
      </c>
      <c r="D34" s="111">
        <f>D20+D32</f>
        <v>10727.338794532559</v>
      </c>
      <c r="E34" s="111">
        <f t="shared" ref="E34:R34" si="9">E20+E32</f>
        <v>10572.585759173966</v>
      </c>
      <c r="F34" s="111">
        <f t="shared" si="9"/>
        <v>10796.676081829863</v>
      </c>
      <c r="G34" s="111">
        <f t="shared" si="9"/>
        <v>11210.46828726346</v>
      </c>
      <c r="H34" s="111">
        <f t="shared" si="9"/>
        <v>11246.494779694831</v>
      </c>
      <c r="I34" s="111">
        <f t="shared" si="9"/>
        <v>11661.431327407727</v>
      </c>
      <c r="J34" s="111">
        <f t="shared" si="9"/>
        <v>12266.13778418784</v>
      </c>
      <c r="K34" s="111">
        <f t="shared" si="9"/>
        <v>12296.227978722891</v>
      </c>
      <c r="L34" s="111">
        <f t="shared" si="9"/>
        <v>12327.124590471481</v>
      </c>
      <c r="M34" s="111">
        <f t="shared" si="9"/>
        <v>12358.849231414933</v>
      </c>
      <c r="N34" s="111">
        <f t="shared" si="9"/>
        <v>12391.42409273567</v>
      </c>
      <c r="O34" s="111">
        <f t="shared" si="9"/>
        <v>12424.871960339802</v>
      </c>
      <c r="P34" s="111">
        <f t="shared" si="9"/>
        <v>12459.216230795726</v>
      </c>
      <c r="Q34" s="111">
        <f t="shared" si="9"/>
        <v>12494.480927699869</v>
      </c>
      <c r="R34" s="111">
        <f t="shared" si="9"/>
        <v>12530.690718481042</v>
      </c>
    </row>
    <row r="35" spans="1:20">
      <c r="B35" s="79"/>
      <c r="C35" s="91"/>
      <c r="D35" s="84"/>
      <c r="E35" s="106"/>
      <c r="F35" s="106"/>
      <c r="G35" s="106"/>
      <c r="H35" s="106"/>
      <c r="I35" s="106"/>
      <c r="J35" s="106"/>
      <c r="K35" s="106"/>
      <c r="L35" s="106"/>
      <c r="M35" s="106"/>
      <c r="N35" s="106"/>
      <c r="O35" s="107"/>
      <c r="P35" s="108"/>
      <c r="Q35" s="108"/>
      <c r="R35" s="108"/>
      <c r="T35" s="109"/>
    </row>
    <row r="36" spans="1:20" s="113" customFormat="1" ht="13.8" thickBot="1">
      <c r="A36" s="113" t="s">
        <v>73</v>
      </c>
      <c r="B36" s="100" t="s">
        <v>109</v>
      </c>
      <c r="C36" s="309">
        <f>SUM(D36:R36)</f>
        <v>11487.524395535713</v>
      </c>
      <c r="D36" s="114">
        <f>$D$5/'Initial Data'!$C$19</f>
        <v>1148.7524395535715</v>
      </c>
      <c r="E36" s="114">
        <f>$D$5/'Initial Data'!$C$19</f>
        <v>1148.7524395535715</v>
      </c>
      <c r="F36" s="114">
        <f>$D$5/'Initial Data'!$C$19</f>
        <v>1148.7524395535715</v>
      </c>
      <c r="G36" s="114">
        <f>$D$5/'Initial Data'!$C$19</f>
        <v>1148.7524395535715</v>
      </c>
      <c r="H36" s="114">
        <f>$D$5/'Initial Data'!$C$19</f>
        <v>1148.7524395535715</v>
      </c>
      <c r="I36" s="114">
        <f>$D$5/'Initial Data'!$C$19</f>
        <v>1148.7524395535715</v>
      </c>
      <c r="J36" s="114">
        <f>$D$5/'Initial Data'!$C$19</f>
        <v>1148.7524395535715</v>
      </c>
      <c r="K36" s="114">
        <f>$D$5/'Initial Data'!$C$19</f>
        <v>1148.7524395535715</v>
      </c>
      <c r="L36" s="114">
        <f>$D$5/'Initial Data'!$C$19</f>
        <v>1148.7524395535715</v>
      </c>
      <c r="M36" s="114">
        <f>$D$5/'Initial Data'!$C$19</f>
        <v>1148.7524395535715</v>
      </c>
      <c r="N36" s="114">
        <v>0</v>
      </c>
      <c r="O36" s="114">
        <v>0</v>
      </c>
      <c r="P36" s="114">
        <v>0</v>
      </c>
      <c r="Q36" s="114">
        <v>0</v>
      </c>
      <c r="R36" s="114">
        <v>0</v>
      </c>
    </row>
    <row r="37" spans="1:20" ht="13.8" thickTop="1">
      <c r="A37" s="90" t="s">
        <v>74</v>
      </c>
      <c r="B37" s="91" t="s">
        <v>109</v>
      </c>
      <c r="C37" s="308">
        <f>SUM(D37:R37)</f>
        <v>11487.524395535713</v>
      </c>
      <c r="D37" s="111">
        <f>+SUM(D36:D36)</f>
        <v>1148.7524395535715</v>
      </c>
      <c r="E37" s="111">
        <f t="shared" ref="E37:R37" si="10">+SUM(E36:E36)</f>
        <v>1148.7524395535715</v>
      </c>
      <c r="F37" s="111">
        <f t="shared" si="10"/>
        <v>1148.7524395535715</v>
      </c>
      <c r="G37" s="111">
        <f t="shared" si="10"/>
        <v>1148.7524395535715</v>
      </c>
      <c r="H37" s="111">
        <f t="shared" si="10"/>
        <v>1148.7524395535715</v>
      </c>
      <c r="I37" s="111">
        <f t="shared" si="10"/>
        <v>1148.7524395535715</v>
      </c>
      <c r="J37" s="111">
        <f t="shared" si="10"/>
        <v>1148.7524395535715</v>
      </c>
      <c r="K37" s="111">
        <f t="shared" si="10"/>
        <v>1148.7524395535715</v>
      </c>
      <c r="L37" s="111">
        <f t="shared" si="10"/>
        <v>1148.7524395535715</v>
      </c>
      <c r="M37" s="111">
        <f t="shared" si="10"/>
        <v>1148.7524395535715</v>
      </c>
      <c r="N37" s="111">
        <f t="shared" si="10"/>
        <v>0</v>
      </c>
      <c r="O37" s="111">
        <f t="shared" si="10"/>
        <v>0</v>
      </c>
      <c r="P37" s="111">
        <f t="shared" si="10"/>
        <v>0</v>
      </c>
      <c r="Q37" s="111">
        <f t="shared" si="10"/>
        <v>0</v>
      </c>
      <c r="R37" s="111">
        <f t="shared" si="10"/>
        <v>0</v>
      </c>
    </row>
    <row r="38" spans="1:20">
      <c r="A38" s="90"/>
      <c r="B38" s="91"/>
      <c r="C38" s="299"/>
      <c r="D38" s="115"/>
      <c r="E38" s="115"/>
      <c r="F38" s="115"/>
      <c r="G38" s="115"/>
      <c r="H38" s="115"/>
      <c r="I38" s="115"/>
      <c r="J38" s="115"/>
      <c r="K38" s="115"/>
      <c r="L38" s="115"/>
      <c r="M38" s="115"/>
      <c r="N38" s="115"/>
      <c r="O38" s="115"/>
      <c r="P38" s="115"/>
      <c r="Q38" s="115"/>
      <c r="R38" s="115"/>
      <c r="T38" s="109"/>
    </row>
    <row r="39" spans="1:20">
      <c r="A39" s="90" t="s">
        <v>75</v>
      </c>
      <c r="B39" s="91" t="s">
        <v>109</v>
      </c>
      <c r="C39" s="307">
        <f>+SUM(D39:R39)</f>
        <v>189251.54294028736</v>
      </c>
      <c r="D39" s="70">
        <f>+D37+D34</f>
        <v>11876.09123408613</v>
      </c>
      <c r="E39" s="70">
        <f t="shared" ref="E39:R39" si="11">+E37+E34</f>
        <v>11721.338198727537</v>
      </c>
      <c r="F39" s="70">
        <f t="shared" si="11"/>
        <v>11945.428521383434</v>
      </c>
      <c r="G39" s="70">
        <f t="shared" si="11"/>
        <v>12359.220726817031</v>
      </c>
      <c r="H39" s="70">
        <f t="shared" si="11"/>
        <v>12395.247219248402</v>
      </c>
      <c r="I39" s="70">
        <f t="shared" si="11"/>
        <v>12810.183766961298</v>
      </c>
      <c r="J39" s="70">
        <f t="shared" si="11"/>
        <v>13414.890223741411</v>
      </c>
      <c r="K39" s="70">
        <f t="shared" si="11"/>
        <v>13444.980418276462</v>
      </c>
      <c r="L39" s="70">
        <f t="shared" si="11"/>
        <v>13475.877030025053</v>
      </c>
      <c r="M39" s="70">
        <f t="shared" si="11"/>
        <v>13507.601670968505</v>
      </c>
      <c r="N39" s="70">
        <f t="shared" si="11"/>
        <v>12391.42409273567</v>
      </c>
      <c r="O39" s="70">
        <f t="shared" si="11"/>
        <v>12424.871960339802</v>
      </c>
      <c r="P39" s="70">
        <f t="shared" si="11"/>
        <v>12459.216230795726</v>
      </c>
      <c r="Q39" s="70">
        <f t="shared" si="11"/>
        <v>12494.480927699869</v>
      </c>
      <c r="R39" s="70">
        <f t="shared" si="11"/>
        <v>12530.690718481042</v>
      </c>
    </row>
    <row r="40" spans="1:20">
      <c r="B40" s="79"/>
      <c r="C40" s="322"/>
      <c r="D40" s="84"/>
      <c r="E40" s="84"/>
      <c r="F40" s="84"/>
      <c r="G40" s="84"/>
      <c r="H40" s="84"/>
      <c r="I40" s="84"/>
      <c r="J40" s="84"/>
      <c r="K40" s="84"/>
      <c r="L40" s="84"/>
      <c r="M40" s="84"/>
      <c r="N40" s="84"/>
      <c r="O40" s="86"/>
      <c r="P40" s="87"/>
      <c r="Q40" s="87"/>
      <c r="R40" s="87"/>
    </row>
    <row r="41" spans="1:20">
      <c r="A41" s="90" t="s">
        <v>76</v>
      </c>
      <c r="B41" s="91" t="s">
        <v>109</v>
      </c>
      <c r="C41" s="307">
        <f>+SUM(D41:R41)</f>
        <v>1601273.315255112</v>
      </c>
      <c r="D41" s="116">
        <f>+D17-D39</f>
        <v>86673.908765913875</v>
      </c>
      <c r="E41" s="116">
        <f t="shared" ref="E41:R41" si="12">+E17-E39</f>
        <v>89469.801801272464</v>
      </c>
      <c r="F41" s="116">
        <f t="shared" si="12"/>
        <v>91957.634030616551</v>
      </c>
      <c r="G41" s="116">
        <f t="shared" si="12"/>
        <v>94328.443901576538</v>
      </c>
      <c r="H41" s="116">
        <f t="shared" si="12"/>
        <v>97151.646821186107</v>
      </c>
      <c r="I41" s="116">
        <f t="shared" si="12"/>
        <v>99672.567033756874</v>
      </c>
      <c r="J41" s="116">
        <f t="shared" si="12"/>
        <v>102082.398298436</v>
      </c>
      <c r="K41" s="116">
        <f t="shared" si="12"/>
        <v>105147.63543629527</v>
      </c>
      <c r="L41" s="116">
        <f t="shared" si="12"/>
        <v>108295.02092944922</v>
      </c>
      <c r="M41" s="116">
        <f t="shared" si="12"/>
        <v>111526.75635381967</v>
      </c>
      <c r="N41" s="116">
        <f t="shared" si="12"/>
        <v>115993.85472711679</v>
      </c>
      <c r="O41" s="116">
        <f t="shared" si="12"/>
        <v>119401.1323318847</v>
      </c>
      <c r="P41" s="116">
        <f t="shared" si="12"/>
        <v>122899.72497646039</v>
      </c>
      <c r="Q41" s="116">
        <f t="shared" si="12"/>
        <v>126492.07990391068</v>
      </c>
      <c r="R41" s="116">
        <f t="shared" si="12"/>
        <v>130180.70994341669</v>
      </c>
    </row>
    <row r="42" spans="1:20">
      <c r="B42" s="79"/>
      <c r="C42" s="91"/>
      <c r="D42" s="84"/>
      <c r="E42" s="88"/>
      <c r="F42" s="88"/>
      <c r="G42" s="88"/>
      <c r="H42" s="88"/>
      <c r="I42" s="88"/>
      <c r="J42" s="88"/>
      <c r="K42" s="88"/>
      <c r="L42" s="88"/>
      <c r="M42" s="88"/>
      <c r="N42" s="88"/>
      <c r="O42" s="117"/>
      <c r="P42" s="118"/>
      <c r="Q42" s="118"/>
      <c r="R42" s="118"/>
      <c r="T42" s="88"/>
    </row>
    <row r="43" spans="1:20">
      <c r="A43" s="74" t="s">
        <v>222</v>
      </c>
      <c r="C43" s="323">
        <f>'Initial Data'!C18/100</f>
        <v>0.7</v>
      </c>
      <c r="D43" s="119">
        <f>IF((+$C$43*D41)&lt;0,"0",(+$C$43*D41))</f>
        <v>60671.736136139705</v>
      </c>
      <c r="E43" s="119">
        <f t="shared" ref="E43:R43" si="13">IF((+$C$43*E41)&lt;0,"0",(+$C$43*E41))</f>
        <v>62628.861260890721</v>
      </c>
      <c r="F43" s="119">
        <f t="shared" si="13"/>
        <v>64370.343821431583</v>
      </c>
      <c r="G43" s="119">
        <f t="shared" si="13"/>
        <v>66029.910731103577</v>
      </c>
      <c r="H43" s="119">
        <f t="shared" si="13"/>
        <v>68006.152774830276</v>
      </c>
      <c r="I43" s="119">
        <f t="shared" si="13"/>
        <v>69770.796923629809</v>
      </c>
      <c r="J43" s="119">
        <f t="shared" si="13"/>
        <v>71457.678808905199</v>
      </c>
      <c r="K43" s="119">
        <f t="shared" si="13"/>
        <v>73603.344805406683</v>
      </c>
      <c r="L43" s="119">
        <f t="shared" si="13"/>
        <v>75806.514650614452</v>
      </c>
      <c r="M43" s="119">
        <f t="shared" si="13"/>
        <v>78068.729447673759</v>
      </c>
      <c r="N43" s="119">
        <f t="shared" si="13"/>
        <v>81195.698308981751</v>
      </c>
      <c r="O43" s="120">
        <f t="shared" si="13"/>
        <v>83580.792632319281</v>
      </c>
      <c r="P43" s="121">
        <f t="shared" si="13"/>
        <v>86029.807483522265</v>
      </c>
      <c r="Q43" s="121">
        <f t="shared" si="13"/>
        <v>88544.455932737474</v>
      </c>
      <c r="R43" s="121">
        <f t="shared" si="13"/>
        <v>91126.496960391683</v>
      </c>
      <c r="T43" s="317"/>
    </row>
    <row r="44" spans="1:20">
      <c r="A44" s="90" t="s">
        <v>77</v>
      </c>
      <c r="B44" s="91" t="s">
        <v>109</v>
      </c>
      <c r="C44" s="308">
        <f>SUM(D44:R44)</f>
        <v>1120891.3206785782</v>
      </c>
      <c r="D44" s="111">
        <f>+SUM(D43:D43)</f>
        <v>60671.736136139705</v>
      </c>
      <c r="E44" s="111">
        <f t="shared" ref="E44:R44" si="14">+SUM(E43:E43)</f>
        <v>62628.861260890721</v>
      </c>
      <c r="F44" s="111">
        <f t="shared" si="14"/>
        <v>64370.343821431583</v>
      </c>
      <c r="G44" s="111">
        <f t="shared" si="14"/>
        <v>66029.910731103577</v>
      </c>
      <c r="H44" s="111">
        <f t="shared" si="14"/>
        <v>68006.152774830276</v>
      </c>
      <c r="I44" s="111">
        <f t="shared" si="14"/>
        <v>69770.796923629809</v>
      </c>
      <c r="J44" s="111">
        <f t="shared" si="14"/>
        <v>71457.678808905199</v>
      </c>
      <c r="K44" s="111">
        <f t="shared" si="14"/>
        <v>73603.344805406683</v>
      </c>
      <c r="L44" s="111">
        <f t="shared" si="14"/>
        <v>75806.514650614452</v>
      </c>
      <c r="M44" s="111">
        <f t="shared" si="14"/>
        <v>78068.729447673759</v>
      </c>
      <c r="N44" s="111">
        <f t="shared" si="14"/>
        <v>81195.698308981751</v>
      </c>
      <c r="O44" s="111">
        <f t="shared" si="14"/>
        <v>83580.792632319281</v>
      </c>
      <c r="P44" s="111">
        <f t="shared" si="14"/>
        <v>86029.807483522265</v>
      </c>
      <c r="Q44" s="111">
        <f t="shared" si="14"/>
        <v>88544.455932737474</v>
      </c>
      <c r="R44" s="111">
        <f t="shared" si="14"/>
        <v>91126.496960391683</v>
      </c>
    </row>
    <row r="45" spans="1:20">
      <c r="B45" s="79"/>
      <c r="C45" s="322"/>
      <c r="D45" s="84"/>
      <c r="E45" s="84"/>
      <c r="F45" s="84"/>
      <c r="G45" s="84"/>
      <c r="H45" s="84"/>
      <c r="I45" s="84"/>
      <c r="J45" s="84"/>
      <c r="K45" s="84"/>
      <c r="L45" s="84"/>
      <c r="M45" s="84"/>
      <c r="N45" s="84"/>
      <c r="O45" s="86"/>
      <c r="P45" s="87"/>
      <c r="Q45" s="87"/>
      <c r="R45" s="87"/>
    </row>
    <row r="46" spans="1:20">
      <c r="A46" s="90" t="s">
        <v>78</v>
      </c>
      <c r="B46" s="91" t="s">
        <v>109</v>
      </c>
      <c r="C46" s="307">
        <f>SUM(D46:R46)</f>
        <v>480381.99457653356</v>
      </c>
      <c r="D46" s="123">
        <f>+D41-D44</f>
        <v>26002.17262977417</v>
      </c>
      <c r="E46" s="123">
        <f t="shared" ref="E46:R46" si="15">+E41-E44</f>
        <v>26840.940540381744</v>
      </c>
      <c r="F46" s="123">
        <f t="shared" si="15"/>
        <v>27587.290209184968</v>
      </c>
      <c r="G46" s="123">
        <f t="shared" si="15"/>
        <v>28298.533170472962</v>
      </c>
      <c r="H46" s="123">
        <f t="shared" si="15"/>
        <v>29145.494046355831</v>
      </c>
      <c r="I46" s="123">
        <f t="shared" si="15"/>
        <v>29901.770110127065</v>
      </c>
      <c r="J46" s="123">
        <f t="shared" si="15"/>
        <v>30624.719489530806</v>
      </c>
      <c r="K46" s="123">
        <f t="shared" si="15"/>
        <v>31544.290630888587</v>
      </c>
      <c r="L46" s="123">
        <f t="shared" si="15"/>
        <v>32488.506278834771</v>
      </c>
      <c r="M46" s="123">
        <f t="shared" si="15"/>
        <v>33458.026906145911</v>
      </c>
      <c r="N46" s="123">
        <f t="shared" si="15"/>
        <v>34798.15641813504</v>
      </c>
      <c r="O46" s="123">
        <f t="shared" si="15"/>
        <v>35820.339699565418</v>
      </c>
      <c r="P46" s="123">
        <f t="shared" si="15"/>
        <v>36869.917492938126</v>
      </c>
      <c r="Q46" s="123">
        <f t="shared" si="15"/>
        <v>37947.623971173205</v>
      </c>
      <c r="R46" s="123">
        <f t="shared" si="15"/>
        <v>39054.212983025005</v>
      </c>
    </row>
    <row r="47" spans="1:20" ht="15">
      <c r="A47" s="124" t="s">
        <v>79</v>
      </c>
      <c r="B47" s="100" t="s">
        <v>109</v>
      </c>
      <c r="C47" s="307">
        <f>SUM(D47:R47)</f>
        <v>11487.524395535713</v>
      </c>
      <c r="D47" s="101">
        <f>+D36</f>
        <v>1148.7524395535715</v>
      </c>
      <c r="E47" s="101">
        <f t="shared" ref="E47:R47" si="16">+E36</f>
        <v>1148.7524395535715</v>
      </c>
      <c r="F47" s="101">
        <f t="shared" si="16"/>
        <v>1148.7524395535715</v>
      </c>
      <c r="G47" s="101">
        <f t="shared" si="16"/>
        <v>1148.7524395535715</v>
      </c>
      <c r="H47" s="101">
        <f t="shared" si="16"/>
        <v>1148.7524395535715</v>
      </c>
      <c r="I47" s="101">
        <f t="shared" si="16"/>
        <v>1148.7524395535715</v>
      </c>
      <c r="J47" s="101">
        <f t="shared" si="16"/>
        <v>1148.7524395535715</v>
      </c>
      <c r="K47" s="101">
        <f t="shared" si="16"/>
        <v>1148.7524395535715</v>
      </c>
      <c r="L47" s="101">
        <f t="shared" si="16"/>
        <v>1148.7524395535715</v>
      </c>
      <c r="M47" s="101">
        <f t="shared" si="16"/>
        <v>1148.7524395535715</v>
      </c>
      <c r="N47" s="101">
        <f t="shared" si="16"/>
        <v>0</v>
      </c>
      <c r="O47" s="101">
        <f t="shared" si="16"/>
        <v>0</v>
      </c>
      <c r="P47" s="101">
        <f t="shared" si="16"/>
        <v>0</v>
      </c>
      <c r="Q47" s="101">
        <f t="shared" si="16"/>
        <v>0</v>
      </c>
      <c r="R47" s="101">
        <f t="shared" si="16"/>
        <v>0</v>
      </c>
    </row>
    <row r="48" spans="1:20" ht="15">
      <c r="A48" s="124" t="s">
        <v>80</v>
      </c>
      <c r="B48" s="100" t="s">
        <v>109</v>
      </c>
      <c r="C48" s="307">
        <f>+SUM(D48:R48)</f>
        <v>0</v>
      </c>
      <c r="D48" s="101"/>
      <c r="E48" s="101"/>
      <c r="F48" s="101"/>
      <c r="G48" s="101"/>
      <c r="H48" s="101"/>
      <c r="I48" s="101"/>
      <c r="J48" s="101"/>
      <c r="K48" s="101"/>
      <c r="L48" s="101"/>
      <c r="M48" s="101">
        <f>+C36-SUM(D47:M47)</f>
        <v>0</v>
      </c>
      <c r="N48" s="125"/>
      <c r="O48" s="125"/>
      <c r="P48" s="125"/>
      <c r="Q48" s="125"/>
      <c r="R48" s="125">
        <f>D5-SUM(D36:R36)</f>
        <v>0</v>
      </c>
    </row>
    <row r="49" spans="1:20">
      <c r="B49" s="79"/>
      <c r="C49" s="79"/>
      <c r="D49" s="84"/>
      <c r="E49" s="126"/>
      <c r="F49" s="126"/>
      <c r="G49" s="126"/>
      <c r="H49" s="126"/>
      <c r="I49" s="126"/>
      <c r="J49" s="126"/>
      <c r="K49" s="126"/>
      <c r="L49" s="126"/>
      <c r="M49" s="126"/>
      <c r="N49" s="126"/>
      <c r="O49" s="127"/>
      <c r="P49" s="128"/>
      <c r="Q49" s="128"/>
      <c r="R49" s="128"/>
      <c r="T49" s="129"/>
    </row>
    <row r="50" spans="1:20">
      <c r="A50" s="90" t="s">
        <v>110</v>
      </c>
      <c r="C50" s="130">
        <f>-D5</f>
        <v>-11487.524395535715</v>
      </c>
      <c r="D50" s="123">
        <f>+D46+D47+D48</f>
        <v>27150.925069327743</v>
      </c>
      <c r="E50" s="123">
        <f>+E46+E47+E48</f>
        <v>27989.692979935317</v>
      </c>
      <c r="F50" s="123">
        <f t="shared" ref="F50:R50" si="17">+F46+F47+F48</f>
        <v>28736.042648738541</v>
      </c>
      <c r="G50" s="123">
        <f>+G46+G47+G48</f>
        <v>29447.285610026534</v>
      </c>
      <c r="H50" s="123">
        <f t="shared" si="17"/>
        <v>30294.246485909403</v>
      </c>
      <c r="I50" s="123">
        <f t="shared" si="17"/>
        <v>31050.522549680638</v>
      </c>
      <c r="J50" s="123">
        <f t="shared" si="17"/>
        <v>31773.471929084379</v>
      </c>
      <c r="K50" s="123">
        <f t="shared" si="17"/>
        <v>32693.04307044216</v>
      </c>
      <c r="L50" s="123">
        <f t="shared" si="17"/>
        <v>33637.258718388344</v>
      </c>
      <c r="M50" s="123">
        <f t="shared" si="17"/>
        <v>34606.779345699484</v>
      </c>
      <c r="N50" s="123">
        <f t="shared" si="17"/>
        <v>34798.15641813504</v>
      </c>
      <c r="O50" s="123">
        <f t="shared" si="17"/>
        <v>35820.339699565418</v>
      </c>
      <c r="P50" s="123">
        <f t="shared" si="17"/>
        <v>36869.917492938126</v>
      </c>
      <c r="Q50" s="123">
        <f t="shared" si="17"/>
        <v>37947.623971173205</v>
      </c>
      <c r="R50" s="123">
        <f t="shared" si="17"/>
        <v>39054.212983025005</v>
      </c>
      <c r="T50" s="311"/>
    </row>
    <row r="51" spans="1:20" s="124" customFormat="1" ht="15.6">
      <c r="A51" s="131" t="s">
        <v>51</v>
      </c>
      <c r="C51" s="132">
        <f>IRR(C50:R50)</f>
        <v>2.3930274200338046</v>
      </c>
      <c r="D51" s="133"/>
      <c r="E51" s="134"/>
      <c r="F51" s="134"/>
      <c r="G51" s="134"/>
      <c r="H51" s="135"/>
      <c r="I51" s="134"/>
      <c r="J51" s="134"/>
      <c r="K51" s="134"/>
      <c r="L51" s="134"/>
      <c r="M51" s="134"/>
      <c r="N51" s="134"/>
      <c r="O51" s="136"/>
      <c r="P51" s="137"/>
      <c r="Q51" s="137"/>
      <c r="R51" s="137"/>
      <c r="T51" s="312"/>
    </row>
    <row r="52" spans="1:20" ht="15.6">
      <c r="A52" s="131" t="s">
        <v>267</v>
      </c>
      <c r="C52" s="303">
        <f>NPV('Initial Data'!C21/100,C50:R50)</f>
        <v>179065.32726804662</v>
      </c>
      <c r="T52" s="314"/>
    </row>
    <row r="55" spans="1:20">
      <c r="E55" s="424"/>
    </row>
  </sheetData>
  <phoneticPr fontId="3" type="noConversion"/>
  <conditionalFormatting sqref="E3:E4">
    <cfRule type="cellIs" dxfId="1" priority="1" stopIfTrue="1" operator="greaterThan">
      <formula>0.09</formula>
    </cfRule>
  </conditionalFormatting>
  <printOptions horizontalCentered="1" verticalCentered="1"/>
  <pageMargins left="0.63" right="0.24" top="0.54" bottom="0.56999999999999995" header="0" footer="0"/>
  <pageSetup paperSize="9" scale="51" orientation="landscape" horizontalDpi="300" verticalDpi="300" r:id="rId1"/>
  <headerFooter alignWithMargins="0"/>
  <ignoredErrors>
    <ignoredError sqref="E11" formula="1"/>
  </ignoredErrors>
  <legacyDrawing r:id="rId2"/>
</worksheet>
</file>

<file path=xl/worksheets/sheet8.xml><?xml version="1.0" encoding="utf-8"?>
<worksheet xmlns="http://schemas.openxmlformats.org/spreadsheetml/2006/main" xmlns:r="http://schemas.openxmlformats.org/officeDocument/2006/relationships">
  <dimension ref="A1:Q1334"/>
  <sheetViews>
    <sheetView zoomScale="70" zoomScaleNormal="70" workbookViewId="0">
      <selection activeCell="A2" sqref="A2"/>
    </sheetView>
  </sheetViews>
  <sheetFormatPr baseColWidth="10" defaultColWidth="11.44140625" defaultRowHeight="13.2"/>
  <cols>
    <col min="1" max="1" width="44.109375" style="354" customWidth="1"/>
    <col min="2" max="2" width="20.44140625" style="354" customWidth="1"/>
    <col min="3" max="3" width="15.33203125" style="354" bestFit="1" customWidth="1"/>
    <col min="4" max="5" width="14.44140625" style="354" bestFit="1" customWidth="1"/>
    <col min="6" max="7" width="17.109375" style="354" bestFit="1" customWidth="1"/>
    <col min="8" max="8" width="16.6640625" style="354" bestFit="1" customWidth="1"/>
    <col min="9" max="9" width="17.109375" style="354" bestFit="1" customWidth="1"/>
    <col min="10" max="10" width="16.6640625" style="354" bestFit="1" customWidth="1"/>
    <col min="11" max="15" width="17.109375" style="354" bestFit="1" customWidth="1"/>
    <col min="16" max="17" width="17" style="354" bestFit="1" customWidth="1"/>
    <col min="18" max="16384" width="11.44140625" style="354"/>
  </cols>
  <sheetData>
    <row r="1" spans="1:7">
      <c r="A1" s="355" t="s">
        <v>206</v>
      </c>
    </row>
    <row r="3" spans="1:7" ht="14.4">
      <c r="A3" s="512" t="s">
        <v>206</v>
      </c>
      <c r="B3" s="513"/>
      <c r="C3" s="513"/>
      <c r="D3" s="513"/>
      <c r="E3" s="513"/>
      <c r="F3" s="514"/>
    </row>
    <row r="4" spans="1:7" ht="14.4">
      <c r="A4" s="515"/>
      <c r="B4" s="516"/>
      <c r="C4" s="516"/>
      <c r="D4" s="516"/>
      <c r="E4" s="516"/>
      <c r="F4" s="517"/>
    </row>
    <row r="5" spans="1:7" ht="14.4">
      <c r="A5" s="359" t="s">
        <v>359</v>
      </c>
      <c r="B5" s="403"/>
      <c r="C5" s="403"/>
      <c r="D5" s="403"/>
      <c r="E5" s="403"/>
      <c r="F5" s="403"/>
    </row>
    <row r="7" spans="1:7" ht="14.4">
      <c r="A7" s="356"/>
      <c r="B7" s="357">
        <v>-0.1</v>
      </c>
      <c r="C7" s="357">
        <v>-0.05</v>
      </c>
      <c r="D7" s="357">
        <v>0</v>
      </c>
      <c r="E7" s="357">
        <v>0.05</v>
      </c>
      <c r="F7" s="357">
        <v>0.1</v>
      </c>
      <c r="G7" s="358"/>
    </row>
    <row r="8" spans="1:7" ht="14.4">
      <c r="A8" s="359" t="s">
        <v>286</v>
      </c>
      <c r="B8" s="360">
        <f>B73</f>
        <v>2.6480488012668331</v>
      </c>
      <c r="C8" s="360">
        <f>B118</f>
        <v>2.5138309809671071</v>
      </c>
      <c r="D8" s="360">
        <f>Baseline_NaturalGas!C51</f>
        <v>2.3930274200338046</v>
      </c>
      <c r="E8" s="360">
        <f>B163</f>
        <v>2.2817158638028161</v>
      </c>
      <c r="F8" s="360">
        <f>B208</f>
        <v>2.1813855152440103</v>
      </c>
      <c r="G8" s="356"/>
    </row>
    <row r="9" spans="1:7" ht="14.4">
      <c r="A9" s="359" t="s">
        <v>287</v>
      </c>
      <c r="B9" s="360">
        <f>B253</f>
        <v>2.3955275014558088</v>
      </c>
      <c r="C9" s="360">
        <f>B298</f>
        <v>2.3942774604610584</v>
      </c>
      <c r="D9" s="360">
        <f>Baseline_NaturalGas!C51</f>
        <v>2.3930274200338046</v>
      </c>
      <c r="E9" s="361">
        <f>B343</f>
        <v>2.3917773801745033</v>
      </c>
      <c r="F9" s="360">
        <f>B388</f>
        <v>2.3905273408836125</v>
      </c>
      <c r="G9" s="356"/>
    </row>
    <row r="10" spans="1:7" ht="14.4">
      <c r="A10" s="359" t="s">
        <v>370</v>
      </c>
      <c r="B10" s="360">
        <f>B433</f>
        <v>2.135861098140774</v>
      </c>
      <c r="C10" s="360">
        <f>B478</f>
        <v>2.2644409974837467</v>
      </c>
      <c r="D10" s="360">
        <f>Baseline_NaturalGas!C51</f>
        <v>2.3930274200338046</v>
      </c>
      <c r="E10" s="360">
        <f>B523</f>
        <v>2.521619855210234</v>
      </c>
      <c r="F10" s="360">
        <f>B568</f>
        <v>2.6502178227737523</v>
      </c>
      <c r="G10" s="356"/>
    </row>
    <row r="11" spans="1:7" ht="14.4">
      <c r="A11" s="359" t="s">
        <v>372</v>
      </c>
      <c r="B11" s="360">
        <f>B613</f>
        <v>1.9521878887868913</v>
      </c>
      <c r="C11" s="360">
        <f>B658</f>
        <v>2.1725975159448967</v>
      </c>
      <c r="D11" s="360">
        <f>Baseline_NaturalGas!C51</f>
        <v>2.3930274200338046</v>
      </c>
      <c r="E11" s="360">
        <f>B703</f>
        <v>2.6134750084132046</v>
      </c>
      <c r="F11" s="360">
        <f>B748</f>
        <v>2.8339379283726518</v>
      </c>
      <c r="G11" s="356"/>
    </row>
    <row r="12" spans="1:7" ht="14.4">
      <c r="A12" s="359" t="s">
        <v>373</v>
      </c>
      <c r="B12" s="360">
        <f>B793</f>
        <v>2.135861098140774</v>
      </c>
      <c r="C12" s="360">
        <f>B838</f>
        <v>2.2644409974837467</v>
      </c>
      <c r="D12" s="360">
        <f>Baseline_NaturalGas!C51</f>
        <v>2.3930274200338046</v>
      </c>
      <c r="E12" s="360">
        <f>B883</f>
        <v>2.521619855210234</v>
      </c>
      <c r="F12" s="360">
        <f>B928</f>
        <v>2.6502178227737527</v>
      </c>
      <c r="G12" s="356"/>
    </row>
    <row r="13" spans="1:7" ht="14.4">
      <c r="A13" s="359" t="s">
        <v>375</v>
      </c>
      <c r="B13" s="360">
        <f>B973</f>
        <v>2.4181749551184328</v>
      </c>
      <c r="C13" s="360">
        <f>B1018</f>
        <v>2.4056005029127752</v>
      </c>
      <c r="D13" s="360">
        <f>Baseline_NaturalGas!C51</f>
        <v>2.3930274200338046</v>
      </c>
      <c r="E13" s="360">
        <f>B1063</f>
        <v>2.3804557217931155</v>
      </c>
      <c r="F13" s="360">
        <f>B1108</f>
        <v>2.3678854237298652</v>
      </c>
      <c r="G13" s="356"/>
    </row>
    <row r="14" spans="1:7" ht="14.4">
      <c r="A14" s="399"/>
      <c r="B14" s="400"/>
      <c r="C14" s="400"/>
      <c r="D14" s="400"/>
      <c r="E14" s="400"/>
      <c r="F14" s="400"/>
      <c r="G14" s="400"/>
    </row>
    <row r="15" spans="1:7">
      <c r="A15" s="333" t="s">
        <v>224</v>
      </c>
      <c r="B15" s="401">
        <v>0.8</v>
      </c>
      <c r="C15" s="401">
        <v>0.7</v>
      </c>
      <c r="D15" s="401">
        <v>0.6</v>
      </c>
      <c r="E15" s="401">
        <v>0.5</v>
      </c>
      <c r="F15" s="401">
        <v>0.4</v>
      </c>
      <c r="G15" s="401">
        <v>0.3</v>
      </c>
    </row>
    <row r="16" spans="1:7" ht="14.4">
      <c r="A16" s="359" t="s">
        <v>51</v>
      </c>
      <c r="B16" s="360">
        <f>B1153</f>
        <v>1.6375175341097492</v>
      </c>
      <c r="C16" s="360">
        <f>Baseline_NaturalGas!C51</f>
        <v>2.3930274200338046</v>
      </c>
      <c r="D16" s="360">
        <f>B1198</f>
        <v>3.148105948907582</v>
      </c>
      <c r="E16" s="360">
        <f>B1243</f>
        <v>3.9029848437386945</v>
      </c>
      <c r="F16" s="360">
        <f>B1288</f>
        <v>4.6577534636780156</v>
      </c>
      <c r="G16" s="360">
        <f>B1333</f>
        <v>5.4124544552220737</v>
      </c>
    </row>
    <row r="17" spans="1:17" ht="14.4">
      <c r="A17" s="399"/>
      <c r="B17" s="400"/>
      <c r="C17" s="400"/>
      <c r="D17" s="400"/>
      <c r="E17" s="400"/>
      <c r="F17" s="400"/>
      <c r="G17" s="400"/>
    </row>
    <row r="18" spans="1:17" ht="14.4">
      <c r="A18" s="359" t="s">
        <v>360</v>
      </c>
      <c r="B18" s="403"/>
      <c r="C18" s="403"/>
      <c r="D18" s="403"/>
      <c r="E18" s="403"/>
      <c r="F18" s="403"/>
    </row>
    <row r="20" spans="1:17" ht="14.4">
      <c r="A20" s="356"/>
      <c r="B20" s="357">
        <v>-0.1</v>
      </c>
      <c r="C20" s="357">
        <v>-0.05</v>
      </c>
      <c r="D20" s="357">
        <v>0</v>
      </c>
      <c r="E20" s="357">
        <v>0.05</v>
      </c>
      <c r="F20" s="357">
        <v>0.1</v>
      </c>
      <c r="G20" s="358"/>
    </row>
    <row r="21" spans="1:17" ht="14.4">
      <c r="A21" s="359" t="s">
        <v>286</v>
      </c>
      <c r="B21" s="405">
        <f>B74</f>
        <v>179685.3298710823</v>
      </c>
      <c r="C21" s="405">
        <f>B119</f>
        <v>179375.32856956442</v>
      </c>
      <c r="D21" s="405">
        <f>Baseline_NaturalGas!C52</f>
        <v>179065.32726804662</v>
      </c>
      <c r="E21" s="405">
        <f>B164</f>
        <v>178413.76123734881</v>
      </c>
      <c r="F21" s="405">
        <f>B209</f>
        <v>177932.97757124103</v>
      </c>
      <c r="G21" s="356"/>
    </row>
    <row r="22" spans="1:17" ht="14.4">
      <c r="A22" s="359" t="s">
        <v>287</v>
      </c>
      <c r="B22" s="405">
        <f>B254</f>
        <v>179265.86659714856</v>
      </c>
      <c r="C22" s="405">
        <f>B299</f>
        <v>179165.59693259763</v>
      </c>
      <c r="D22" s="405">
        <f>Baseline_NaturalGas!C52</f>
        <v>179065.32726804662</v>
      </c>
      <c r="E22" s="406">
        <f>B344</f>
        <v>178965.05760349552</v>
      </c>
      <c r="F22" s="405">
        <f>B389</f>
        <v>178864.78793894453</v>
      </c>
      <c r="G22" s="356"/>
    </row>
    <row r="23" spans="1:17" ht="14.4">
      <c r="A23" s="359" t="s">
        <v>370</v>
      </c>
      <c r="B23" s="405">
        <f>B434</f>
        <v>158436.18624117569</v>
      </c>
      <c r="C23" s="405">
        <f>B479</f>
        <v>168750.75675461115</v>
      </c>
      <c r="D23" s="405">
        <f>Baseline_NaturalGas!C52</f>
        <v>179065.32726804662</v>
      </c>
      <c r="E23" s="405">
        <f>B524</f>
        <v>189379.89778148205</v>
      </c>
      <c r="F23" s="405">
        <f>B569</f>
        <v>199694.46829491749</v>
      </c>
      <c r="G23" s="356"/>
    </row>
    <row r="24" spans="1:17" ht="14.4">
      <c r="A24" s="359" t="s">
        <v>372</v>
      </c>
      <c r="B24" s="405">
        <f>B614</f>
        <v>143701.08550769649</v>
      </c>
      <c r="C24" s="405">
        <f>B659</f>
        <v>161383.20638787153</v>
      </c>
      <c r="D24" s="405">
        <f>Baseline_NaturalGas!C52</f>
        <v>179065.32726804662</v>
      </c>
      <c r="E24" s="405">
        <f>B704</f>
        <v>196747.44814822165</v>
      </c>
      <c r="F24" s="405">
        <f>B749</f>
        <v>214429.56902839668</v>
      </c>
      <c r="G24" s="356"/>
    </row>
    <row r="25" spans="1:17" ht="14.4">
      <c r="A25" s="359" t="s">
        <v>373</v>
      </c>
      <c r="B25" s="405">
        <f>B794</f>
        <v>158436.18624117566</v>
      </c>
      <c r="C25" s="405">
        <f>B839</f>
        <v>168750.75675461118</v>
      </c>
      <c r="D25" s="405">
        <f>Baseline_NaturalGas!C52</f>
        <v>179065.32726804662</v>
      </c>
      <c r="E25" s="405">
        <f>B884</f>
        <v>189379.89778148205</v>
      </c>
      <c r="F25" s="405">
        <f>B929</f>
        <v>199694.46829491752</v>
      </c>
      <c r="G25" s="356"/>
    </row>
    <row r="26" spans="1:17" ht="14.4">
      <c r="A26" s="359" t="s">
        <v>375</v>
      </c>
      <c r="B26" s="405">
        <f>B974</f>
        <v>180967.39363597514</v>
      </c>
      <c r="C26" s="405">
        <f>B1019</f>
        <v>180016.36045201085</v>
      </c>
      <c r="D26" s="405">
        <f>Baseline_NaturalGas!C52</f>
        <v>179065.32726804662</v>
      </c>
      <c r="E26" s="405">
        <f>B1064</f>
        <v>178114.29408408233</v>
      </c>
      <c r="F26" s="405">
        <f>B1109</f>
        <v>177163.2609001181</v>
      </c>
      <c r="G26" s="356"/>
    </row>
    <row r="27" spans="1:17" ht="14.4">
      <c r="A27" s="356"/>
      <c r="B27" s="356"/>
      <c r="C27" s="356"/>
      <c r="D27" s="356"/>
      <c r="E27" s="356"/>
      <c r="F27" s="356"/>
      <c r="G27" s="356"/>
    </row>
    <row r="28" spans="1:17">
      <c r="A28" s="333" t="s">
        <v>224</v>
      </c>
      <c r="B28" s="401">
        <v>0.8</v>
      </c>
      <c r="C28" s="401">
        <v>0.7</v>
      </c>
      <c r="D28" s="401">
        <v>0.6</v>
      </c>
      <c r="E28" s="401">
        <v>0.5</v>
      </c>
      <c r="F28" s="401">
        <v>0.4</v>
      </c>
      <c r="G28" s="401">
        <v>0.3</v>
      </c>
    </row>
    <row r="29" spans="1:17" ht="14.4">
      <c r="A29" s="359" t="s">
        <v>267</v>
      </c>
      <c r="B29" s="405">
        <f>B1154</f>
        <v>117889.73695618966</v>
      </c>
      <c r="C29" s="405">
        <f>Baseline_NaturalGas!C52</f>
        <v>179065.32726804662</v>
      </c>
      <c r="D29" s="405">
        <f>B1199</f>
        <v>240240.91757990347</v>
      </c>
      <c r="E29" s="405">
        <f>B1244</f>
        <v>301416.50789176032</v>
      </c>
      <c r="F29" s="405">
        <f>B1289</f>
        <v>362592.09820361715</v>
      </c>
      <c r="G29" s="405">
        <f>B1334</f>
        <v>423767.68851547403</v>
      </c>
    </row>
    <row r="30" spans="1:17" ht="14.4">
      <c r="A30" s="399"/>
      <c r="B30" s="400"/>
      <c r="C30" s="400"/>
      <c r="D30" s="400"/>
      <c r="E30" s="400"/>
      <c r="F30" s="400"/>
      <c r="G30" s="400"/>
    </row>
    <row r="31" spans="1:17" ht="14.4">
      <c r="A31" s="508" t="s">
        <v>329</v>
      </c>
      <c r="B31" s="509"/>
      <c r="C31" s="509"/>
      <c r="D31" s="509"/>
      <c r="E31" s="509"/>
      <c r="F31" s="509"/>
      <c r="G31" s="509"/>
      <c r="H31" s="509"/>
      <c r="I31" s="509"/>
      <c r="J31" s="509"/>
      <c r="K31" s="509"/>
      <c r="L31" s="509"/>
      <c r="M31" s="509"/>
      <c r="N31" s="509"/>
      <c r="O31" s="509"/>
      <c r="P31" s="509"/>
      <c r="Q31" s="509"/>
    </row>
    <row r="32" spans="1:17" ht="14.4">
      <c r="A32" s="371" t="s">
        <v>288</v>
      </c>
      <c r="B32" s="372"/>
      <c r="C32" s="372"/>
      <c r="D32" s="372"/>
      <c r="E32" s="372"/>
      <c r="F32" s="372"/>
      <c r="G32" s="372"/>
      <c r="H32" s="372"/>
      <c r="I32" s="372"/>
      <c r="J32" s="372"/>
      <c r="K32" s="372"/>
      <c r="L32" s="372"/>
      <c r="M32" s="372"/>
      <c r="N32" s="372"/>
      <c r="O32" s="372"/>
      <c r="P32" s="372"/>
      <c r="Q32" s="372"/>
    </row>
    <row r="33" spans="1:17" ht="27">
      <c r="A33" s="376"/>
      <c r="B33" s="304" t="s">
        <v>35</v>
      </c>
      <c r="C33" s="352" t="s">
        <v>407</v>
      </c>
      <c r="D33" s="352" t="s">
        <v>408</v>
      </c>
      <c r="E33" s="352" t="s">
        <v>409</v>
      </c>
      <c r="F33" s="352" t="s">
        <v>410</v>
      </c>
      <c r="G33" s="352" t="s">
        <v>411</v>
      </c>
      <c r="H33" s="352" t="s">
        <v>412</v>
      </c>
      <c r="I33" s="352" t="s">
        <v>413</v>
      </c>
      <c r="J33" s="352" t="s">
        <v>414</v>
      </c>
      <c r="K33" s="352" t="s">
        <v>415</v>
      </c>
      <c r="L33" s="352" t="s">
        <v>416</v>
      </c>
      <c r="M33" s="352" t="s">
        <v>417</v>
      </c>
      <c r="N33" s="352" t="s">
        <v>418</v>
      </c>
      <c r="O33" s="352" t="s">
        <v>419</v>
      </c>
      <c r="P33" s="352" t="s">
        <v>420</v>
      </c>
      <c r="Q33" s="352" t="s">
        <v>421</v>
      </c>
    </row>
    <row r="34" spans="1:17" ht="14.4">
      <c r="A34" s="363" t="s">
        <v>290</v>
      </c>
      <c r="B34" s="365"/>
      <c r="C34" s="367">
        <f>+Baseline_NaturalGas!D10</f>
        <v>219000</v>
      </c>
      <c r="D34" s="367">
        <f>+Baseline_NaturalGas!E10</f>
        <v>219000</v>
      </c>
      <c r="E34" s="367">
        <f>+Baseline_NaturalGas!F10</f>
        <v>219000</v>
      </c>
      <c r="F34" s="367">
        <f>+Baseline_NaturalGas!G10</f>
        <v>219000</v>
      </c>
      <c r="G34" s="367">
        <f>+Baseline_NaturalGas!H10</f>
        <v>219000</v>
      </c>
      <c r="H34" s="367">
        <f>+Baseline_NaturalGas!I10</f>
        <v>219000</v>
      </c>
      <c r="I34" s="367">
        <f>+Baseline_NaturalGas!J10</f>
        <v>219000</v>
      </c>
      <c r="J34" s="367">
        <f>+Baseline_NaturalGas!K10</f>
        <v>219000</v>
      </c>
      <c r="K34" s="367">
        <f>+Baseline_NaturalGas!L10</f>
        <v>219000</v>
      </c>
      <c r="L34" s="367">
        <f>+Baseline_NaturalGas!M10</f>
        <v>219000</v>
      </c>
      <c r="M34" s="367">
        <f>+Baseline_NaturalGas!N10</f>
        <v>219000</v>
      </c>
      <c r="N34" s="367">
        <f>+Baseline_NaturalGas!O10</f>
        <v>219000</v>
      </c>
      <c r="O34" s="367">
        <f>+Baseline_NaturalGas!P10</f>
        <v>219000</v>
      </c>
      <c r="P34" s="367">
        <f>+Baseline_NaturalGas!Q10</f>
        <v>219000</v>
      </c>
      <c r="Q34" s="367">
        <f>+Baseline_NaturalGas!R10</f>
        <v>219000</v>
      </c>
    </row>
    <row r="35" spans="1:17" ht="14.4">
      <c r="A35" s="364" t="s">
        <v>291</v>
      </c>
      <c r="B35" s="365"/>
      <c r="C35" s="367">
        <f>+Baseline_NaturalGas!D11</f>
        <v>70</v>
      </c>
      <c r="D35" s="367">
        <f>+Baseline_NaturalGas!E11</f>
        <v>70</v>
      </c>
      <c r="E35" s="367">
        <f>+Baseline_NaturalGas!F11</f>
        <v>70</v>
      </c>
      <c r="F35" s="367">
        <f>+Baseline_NaturalGas!G11</f>
        <v>70</v>
      </c>
      <c r="G35" s="367">
        <f>+Baseline_NaturalGas!H11</f>
        <v>70</v>
      </c>
      <c r="H35" s="367">
        <f>+Baseline_NaturalGas!I11</f>
        <v>70</v>
      </c>
      <c r="I35" s="367">
        <f>+Baseline_NaturalGas!J11</f>
        <v>70</v>
      </c>
      <c r="J35" s="367">
        <f>+Baseline_NaturalGas!K11</f>
        <v>70</v>
      </c>
      <c r="K35" s="367">
        <f>+Baseline_NaturalGas!L11</f>
        <v>70</v>
      </c>
      <c r="L35" s="367">
        <f>+Baseline_NaturalGas!M11</f>
        <v>70</v>
      </c>
      <c r="M35" s="367">
        <f>+Baseline_NaturalGas!N11</f>
        <v>70</v>
      </c>
      <c r="N35" s="367">
        <f>+Baseline_NaturalGas!O11</f>
        <v>70</v>
      </c>
      <c r="O35" s="367">
        <f>+Baseline_NaturalGas!P11</f>
        <v>70</v>
      </c>
      <c r="P35" s="367">
        <f>+Baseline_NaturalGas!Q11</f>
        <v>70</v>
      </c>
      <c r="Q35" s="367">
        <f>+Baseline_NaturalGas!R11</f>
        <v>70</v>
      </c>
    </row>
    <row r="36" spans="1:17" ht="14.4">
      <c r="A36" s="366" t="s">
        <v>292</v>
      </c>
      <c r="B36" s="365"/>
      <c r="C36" s="375">
        <f>+Baseline_NaturalGas!D12</f>
        <v>6.4285714285714288</v>
      </c>
      <c r="D36" s="375">
        <f>+Baseline_NaturalGas!E12</f>
        <v>6.6008571428571425</v>
      </c>
      <c r="E36" s="375">
        <f>+Baseline_NaturalGas!F12</f>
        <v>6.7777601142857131</v>
      </c>
      <c r="F36" s="375">
        <f>+Baseline_NaturalGas!G12</f>
        <v>6.9594040853485701</v>
      </c>
      <c r="G36" s="375">
        <f>+Baseline_NaturalGas!H12</f>
        <v>7.1459161148359112</v>
      </c>
      <c r="H36" s="375">
        <f>+Baseline_NaturalGas!I12</f>
        <v>7.3374266667135135</v>
      </c>
      <c r="I36" s="375">
        <f>+Baseline_NaturalGas!J12</f>
        <v>7.5340697013814353</v>
      </c>
      <c r="J36" s="375">
        <f>+Baseline_NaturalGas!K12</f>
        <v>7.7359827693784569</v>
      </c>
      <c r="K36" s="375">
        <f>+Baseline_NaturalGas!L12</f>
        <v>7.943307107597799</v>
      </c>
      <c r="L36" s="375">
        <f>+Baseline_NaturalGas!M12</f>
        <v>8.1561877380814192</v>
      </c>
      <c r="M36" s="375">
        <f>+Baseline_NaturalGas!N12</f>
        <v>8.3747735694620005</v>
      </c>
      <c r="N36" s="375">
        <f>+Baseline_NaturalGas!O12</f>
        <v>8.5992175011235812</v>
      </c>
      <c r="O36" s="375">
        <f>+Baseline_NaturalGas!P12</f>
        <v>8.8296765301536926</v>
      </c>
      <c r="P36" s="375">
        <f>+Baseline_NaturalGas!Q12</f>
        <v>9.066311861161811</v>
      </c>
      <c r="Q36" s="375">
        <f>+Baseline_NaturalGas!R12</f>
        <v>9.3092890190409463</v>
      </c>
    </row>
    <row r="37" spans="1:17" ht="14.4">
      <c r="A37" s="366" t="s">
        <v>293</v>
      </c>
      <c r="B37" s="365"/>
      <c r="C37" s="367">
        <f>+Baseline_NaturalGas!D13</f>
        <v>450</v>
      </c>
      <c r="D37" s="367">
        <f>+Baseline_NaturalGas!E13</f>
        <v>462.06</v>
      </c>
      <c r="E37" s="367">
        <f>+Baseline_NaturalGas!F13</f>
        <v>474.44320799999991</v>
      </c>
      <c r="F37" s="367">
        <f>+Baseline_NaturalGas!G13</f>
        <v>487.15828597439992</v>
      </c>
      <c r="G37" s="367">
        <f>+Baseline_NaturalGas!H13</f>
        <v>500.21412803851376</v>
      </c>
      <c r="H37" s="367">
        <f>+Baseline_NaturalGas!I13</f>
        <v>513.61986666994596</v>
      </c>
      <c r="I37" s="367">
        <f>+Baseline_NaturalGas!J13</f>
        <v>527.3848790967005</v>
      </c>
      <c r="J37" s="367">
        <f>+Baseline_NaturalGas!K13</f>
        <v>541.51879385649192</v>
      </c>
      <c r="K37" s="367">
        <f>+Baseline_NaturalGas!L13</f>
        <v>556.03149753184596</v>
      </c>
      <c r="L37" s="367">
        <f>+Baseline_NaturalGas!M13</f>
        <v>570.9331416656994</v>
      </c>
      <c r="M37" s="367">
        <f>+Baseline_NaturalGas!N13</f>
        <v>586.23414986234002</v>
      </c>
      <c r="N37" s="367">
        <f>+Baseline_NaturalGas!O13</f>
        <v>601.94522507865065</v>
      </c>
      <c r="O37" s="367">
        <f>+Baseline_NaturalGas!P13</f>
        <v>618.0773571107585</v>
      </c>
      <c r="P37" s="367">
        <f>+Baseline_NaturalGas!Q13</f>
        <v>634.64183028132675</v>
      </c>
      <c r="Q37" s="367">
        <f>+Baseline_NaturalGas!R13</f>
        <v>651.65023133286627</v>
      </c>
    </row>
    <row r="38" spans="1:17" ht="14.4">
      <c r="A38" s="370"/>
      <c r="B38" s="373"/>
      <c r="C38" s="373"/>
      <c r="D38" s="373"/>
      <c r="E38" s="373"/>
      <c r="F38" s="373"/>
      <c r="G38" s="373"/>
      <c r="H38" s="373"/>
      <c r="I38" s="373"/>
      <c r="J38" s="373"/>
      <c r="K38" s="373"/>
      <c r="L38" s="373"/>
      <c r="M38" s="373"/>
      <c r="N38" s="373"/>
      <c r="O38" s="373"/>
      <c r="P38" s="373"/>
      <c r="Q38" s="373"/>
    </row>
    <row r="39" spans="1:17" ht="14.4">
      <c r="A39" s="366" t="s">
        <v>294</v>
      </c>
      <c r="B39" s="378">
        <f>+SUM(C39:Q39)</f>
        <v>1790524.8581953994</v>
      </c>
      <c r="C39" s="367">
        <f>C34*C37/1000*'Initial Data'!$C$34/'Initial Data'!$C$33</f>
        <v>98550</v>
      </c>
      <c r="D39" s="367">
        <f>D34*D37/1000*'Initial Data'!$C$34/'Initial Data'!$C$33</f>
        <v>101191.14</v>
      </c>
      <c r="E39" s="367">
        <f>E34*E37/1000*'Initial Data'!$C$34/'Initial Data'!$C$33</f>
        <v>103903.06255199999</v>
      </c>
      <c r="F39" s="367">
        <f>F34*F37/1000*'Initial Data'!$C$34/'Initial Data'!$C$33</f>
        <v>106687.66462839357</v>
      </c>
      <c r="G39" s="367">
        <f>G34*G37/1000*'Initial Data'!$C$34/'Initial Data'!$C$33</f>
        <v>109546.8940404345</v>
      </c>
      <c r="H39" s="367">
        <f>H34*H37/1000*'Initial Data'!$C$34/'Initial Data'!$C$33</f>
        <v>112482.75080071818</v>
      </c>
      <c r="I39" s="367">
        <f>I34*I37/1000*'Initial Data'!$C$34/'Initial Data'!$C$33</f>
        <v>115497.28852217742</v>
      </c>
      <c r="J39" s="367">
        <f>J34*J37/1000*'Initial Data'!$C$34/'Initial Data'!$C$33</f>
        <v>118592.61585457173</v>
      </c>
      <c r="K39" s="367">
        <f>K34*K37/1000*'Initial Data'!$C$34/'Initial Data'!$C$33</f>
        <v>121770.89795947427</v>
      </c>
      <c r="L39" s="367">
        <f>L34*L37/1000*'Initial Data'!$C$34/'Initial Data'!$C$33</f>
        <v>125034.35802478818</v>
      </c>
      <c r="M39" s="367">
        <f>M34*M37/1000*'Initial Data'!$C$34/'Initial Data'!$C$33</f>
        <v>128385.27881985246</v>
      </c>
      <c r="N39" s="367">
        <f>N34*N37/1000*'Initial Data'!$C$34/'Initial Data'!$C$33</f>
        <v>131826.0042922245</v>
      </c>
      <c r="O39" s="367">
        <f>O34*O37/1000*'Initial Data'!$C$34/'Initial Data'!$C$33</f>
        <v>135358.94120725611</v>
      </c>
      <c r="P39" s="367">
        <f>P34*P37/1000*'Initial Data'!$C$34/'Initial Data'!$C$33</f>
        <v>138986.56083161055</v>
      </c>
      <c r="Q39" s="367">
        <f>Q34*Q37/1000*'Initial Data'!$C$34/'Initial Data'!$C$33</f>
        <v>142711.40066189773</v>
      </c>
    </row>
    <row r="40" spans="1:17" ht="14.4">
      <c r="A40" s="370"/>
      <c r="B40" s="373"/>
      <c r="C40" s="373"/>
      <c r="D40" s="373"/>
      <c r="E40" s="373"/>
      <c r="F40" s="373"/>
      <c r="G40" s="373"/>
      <c r="H40" s="373"/>
      <c r="I40" s="373"/>
      <c r="J40" s="373"/>
      <c r="K40" s="373"/>
      <c r="L40" s="373"/>
      <c r="M40" s="373"/>
      <c r="N40" s="373"/>
      <c r="O40" s="373"/>
      <c r="P40" s="373"/>
      <c r="Q40" s="373"/>
    </row>
    <row r="41" spans="1:17" ht="14.4">
      <c r="A41" s="366" t="s">
        <v>295</v>
      </c>
      <c r="B41" s="378">
        <f>+SUM(C41:Q41)</f>
        <v>1790524.8581953994</v>
      </c>
      <c r="C41" s="367">
        <f>+C39</f>
        <v>98550</v>
      </c>
      <c r="D41" s="367">
        <f t="shared" ref="D41:Q41" si="0">+D39</f>
        <v>101191.14</v>
      </c>
      <c r="E41" s="367">
        <f t="shared" si="0"/>
        <v>103903.06255199999</v>
      </c>
      <c r="F41" s="367">
        <f t="shared" si="0"/>
        <v>106687.66462839357</v>
      </c>
      <c r="G41" s="367">
        <f t="shared" si="0"/>
        <v>109546.8940404345</v>
      </c>
      <c r="H41" s="367">
        <f t="shared" si="0"/>
        <v>112482.75080071818</v>
      </c>
      <c r="I41" s="367">
        <f t="shared" si="0"/>
        <v>115497.28852217742</v>
      </c>
      <c r="J41" s="367">
        <f t="shared" si="0"/>
        <v>118592.61585457173</v>
      </c>
      <c r="K41" s="367">
        <f t="shared" si="0"/>
        <v>121770.89795947427</v>
      </c>
      <c r="L41" s="367">
        <f t="shared" si="0"/>
        <v>125034.35802478818</v>
      </c>
      <c r="M41" s="367">
        <f t="shared" si="0"/>
        <v>128385.27881985246</v>
      </c>
      <c r="N41" s="367">
        <f t="shared" si="0"/>
        <v>131826.0042922245</v>
      </c>
      <c r="O41" s="367">
        <f t="shared" si="0"/>
        <v>135358.94120725611</v>
      </c>
      <c r="P41" s="367">
        <f t="shared" si="0"/>
        <v>138986.56083161055</v>
      </c>
      <c r="Q41" s="367">
        <f t="shared" si="0"/>
        <v>142711.40066189773</v>
      </c>
    </row>
    <row r="42" spans="1:17" ht="14.4">
      <c r="A42" s="370"/>
      <c r="B42" s="374"/>
      <c r="C42" s="374"/>
      <c r="D42" s="374"/>
      <c r="E42" s="374"/>
      <c r="F42" s="374"/>
      <c r="G42" s="374"/>
      <c r="H42" s="374"/>
      <c r="I42" s="374"/>
      <c r="J42" s="374"/>
      <c r="K42" s="374"/>
      <c r="L42" s="374"/>
      <c r="M42" s="374"/>
      <c r="N42" s="374"/>
      <c r="O42" s="374"/>
      <c r="P42" s="374"/>
      <c r="Q42" s="374"/>
    </row>
    <row r="43" spans="1:17" ht="14.4">
      <c r="A43" s="366" t="s">
        <v>68</v>
      </c>
      <c r="B43" s="368"/>
      <c r="C43" s="368"/>
      <c r="D43" s="368"/>
      <c r="E43" s="368"/>
      <c r="F43" s="368"/>
      <c r="G43" s="368"/>
      <c r="H43" s="368"/>
      <c r="I43" s="368"/>
      <c r="J43" s="368"/>
      <c r="K43" s="368"/>
      <c r="L43" s="368"/>
      <c r="M43" s="368"/>
      <c r="N43" s="368"/>
      <c r="O43" s="368"/>
      <c r="P43" s="368"/>
      <c r="Q43" s="368"/>
    </row>
    <row r="44" spans="1:17" ht="14.4">
      <c r="A44" s="366" t="s">
        <v>330</v>
      </c>
      <c r="B44" s="378">
        <f>+SUM(C44:Q44)</f>
        <v>17405.991521183645</v>
      </c>
      <c r="C44" s="367">
        <f>+Baseline_NaturalGas!D20</f>
        <v>958.02102749999995</v>
      </c>
      <c r="D44" s="367">
        <f>+Baseline_NaturalGas!E20</f>
        <v>983.69599103699989</v>
      </c>
      <c r="E44" s="367">
        <f>+Baseline_NaturalGas!F20</f>
        <v>1010.0590435967914</v>
      </c>
      <c r="F44" s="367">
        <f>+Baseline_NaturalGas!G20</f>
        <v>1037.1286259651854</v>
      </c>
      <c r="G44" s="367">
        <f>+Baseline_NaturalGas!H20</f>
        <v>1064.9236731410524</v>
      </c>
      <c r="H44" s="367">
        <f>+Baseline_NaturalGas!I20</f>
        <v>1093.4636275812325</v>
      </c>
      <c r="I44" s="367">
        <f>+Baseline_NaturalGas!J20</f>
        <v>1122.7684528004095</v>
      </c>
      <c r="J44" s="367">
        <f>+Baseline_NaturalGas!K20</f>
        <v>1152.8586473354603</v>
      </c>
      <c r="K44" s="367">
        <f>+Baseline_NaturalGas!L20</f>
        <v>1183.7552590840505</v>
      </c>
      <c r="L44" s="367">
        <f>+Baseline_NaturalGas!M20</f>
        <v>1215.4799000275029</v>
      </c>
      <c r="M44" s="367">
        <f>+Baseline_NaturalGas!N20</f>
        <v>1248.0547613482399</v>
      </c>
      <c r="N44" s="367">
        <f>+Baseline_NaturalGas!O20</f>
        <v>1281.5026289523728</v>
      </c>
      <c r="O44" s="367">
        <f>+Baseline_NaturalGas!P20</f>
        <v>1315.8468994082964</v>
      </c>
      <c r="P44" s="367">
        <f>+Baseline_NaturalGas!Q20</f>
        <v>1351.1115963124387</v>
      </c>
      <c r="Q44" s="367">
        <f>+Baseline_NaturalGas!R20</f>
        <v>1387.321387093612</v>
      </c>
    </row>
    <row r="45" spans="1:17" ht="14.4">
      <c r="A45" s="370"/>
      <c r="B45" s="369"/>
      <c r="C45" s="369"/>
      <c r="D45" s="369"/>
      <c r="E45" s="369"/>
      <c r="F45" s="369"/>
      <c r="G45" s="369"/>
      <c r="H45" s="369"/>
      <c r="I45" s="369"/>
      <c r="J45" s="369"/>
      <c r="K45" s="369"/>
      <c r="L45" s="369"/>
      <c r="M45" s="369"/>
      <c r="N45" s="369"/>
      <c r="O45" s="369"/>
      <c r="P45" s="369"/>
      <c r="Q45" s="369"/>
    </row>
    <row r="46" spans="1:17" ht="14.4">
      <c r="A46" s="366" t="s">
        <v>71</v>
      </c>
      <c r="B46" s="379"/>
      <c r="C46" s="379"/>
      <c r="D46" s="379"/>
      <c r="E46" s="379"/>
      <c r="F46" s="379"/>
      <c r="G46" s="379"/>
      <c r="H46" s="379"/>
      <c r="I46" s="379"/>
      <c r="J46" s="379"/>
      <c r="K46" s="379"/>
      <c r="L46" s="379"/>
      <c r="M46" s="379"/>
      <c r="N46" s="379"/>
      <c r="O46" s="379"/>
      <c r="P46" s="379"/>
      <c r="Q46" s="379"/>
    </row>
    <row r="47" spans="1:17" ht="14.4">
      <c r="A47" s="370"/>
      <c r="B47" s="379"/>
      <c r="C47" s="379"/>
      <c r="D47" s="379"/>
      <c r="E47" s="379"/>
      <c r="F47" s="379"/>
      <c r="G47" s="379"/>
      <c r="H47" s="379"/>
      <c r="I47" s="379"/>
      <c r="J47" s="379"/>
      <c r="K47" s="379"/>
      <c r="L47" s="379"/>
      <c r="M47" s="379"/>
      <c r="N47" s="379"/>
      <c r="O47" s="379"/>
      <c r="P47" s="379"/>
      <c r="Q47" s="379"/>
    </row>
    <row r="48" spans="1:17" ht="14.4">
      <c r="A48" s="366" t="s">
        <v>64</v>
      </c>
      <c r="B48" s="373"/>
      <c r="C48" s="367">
        <f>+Baseline_NaturalGas!D24</f>
        <v>1656.5089715892002</v>
      </c>
      <c r="D48" s="367">
        <f>+Baseline_NaturalGas!E24</f>
        <v>1656.5089715892002</v>
      </c>
      <c r="E48" s="367">
        <f>+Baseline_NaturalGas!F24</f>
        <v>1656.5089715892002</v>
      </c>
      <c r="F48" s="367">
        <f>+Baseline_NaturalGas!G24</f>
        <v>1656.5089715892002</v>
      </c>
      <c r="G48" s="367">
        <f>+Baseline_NaturalGas!H24</f>
        <v>1656.5089715892002</v>
      </c>
      <c r="H48" s="367">
        <f>+Baseline_NaturalGas!I24</f>
        <v>1656.5089715892002</v>
      </c>
      <c r="I48" s="367">
        <f>+Baseline_NaturalGas!J24</f>
        <v>1656.5089715892002</v>
      </c>
      <c r="J48" s="367">
        <f>+Baseline_NaturalGas!K24</f>
        <v>1656.5089715892002</v>
      </c>
      <c r="K48" s="367">
        <f>+Baseline_NaturalGas!L24</f>
        <v>1656.5089715892002</v>
      </c>
      <c r="L48" s="367">
        <f>+Baseline_NaturalGas!M24</f>
        <v>1656.5089715892002</v>
      </c>
      <c r="M48" s="367">
        <f>+Baseline_NaturalGas!N24</f>
        <v>1656.5089715892002</v>
      </c>
      <c r="N48" s="367">
        <f>+Baseline_NaturalGas!O24</f>
        <v>1656.5089715892002</v>
      </c>
      <c r="O48" s="367">
        <f>+Baseline_NaturalGas!P24</f>
        <v>1656.5089715892002</v>
      </c>
      <c r="P48" s="367">
        <f>+Baseline_NaturalGas!Q24</f>
        <v>1656.5089715892002</v>
      </c>
      <c r="Q48" s="367">
        <f>+Baseline_NaturalGas!R24</f>
        <v>1656.5089715892002</v>
      </c>
    </row>
    <row r="49" spans="1:17" ht="14.4">
      <c r="A49" s="366" t="s">
        <v>108</v>
      </c>
      <c r="B49" s="387">
        <f>+Baseline_NaturalGas!C25</f>
        <v>0.90200000000000002</v>
      </c>
      <c r="C49" s="373"/>
      <c r="D49" s="373"/>
      <c r="E49" s="373"/>
      <c r="F49" s="373"/>
      <c r="G49" s="373"/>
      <c r="H49" s="373"/>
      <c r="I49" s="373"/>
      <c r="J49" s="373"/>
      <c r="K49" s="373"/>
      <c r="L49" s="373"/>
      <c r="M49" s="373"/>
      <c r="N49" s="373"/>
      <c r="O49" s="373"/>
      <c r="P49" s="373"/>
      <c r="Q49" s="373"/>
    </row>
    <row r="50" spans="1:17" ht="14.4">
      <c r="A50" s="366" t="s">
        <v>346</v>
      </c>
      <c r="B50" s="373"/>
      <c r="C50" s="367">
        <f>+Baseline_NaturalGas!D26</f>
        <v>1741816.7092883086</v>
      </c>
      <c r="D50" s="367">
        <f>+Baseline_NaturalGas!E26</f>
        <v>1741816.7092883086</v>
      </c>
      <c r="E50" s="367">
        <f>+Baseline_NaturalGas!F26</f>
        <v>1741816.7092883086</v>
      </c>
      <c r="F50" s="367">
        <f>+Baseline_NaturalGas!G26</f>
        <v>1741816.7092883086</v>
      </c>
      <c r="G50" s="367">
        <f>+Baseline_NaturalGas!H26</f>
        <v>1741816.7092883086</v>
      </c>
      <c r="H50" s="367">
        <f>+Baseline_NaturalGas!I26</f>
        <v>1741816.7092883086</v>
      </c>
      <c r="I50" s="367">
        <f>+Baseline_NaturalGas!J26</f>
        <v>1741816.7092883086</v>
      </c>
      <c r="J50" s="367">
        <f>+Baseline_NaturalGas!K26</f>
        <v>1741816.7092883086</v>
      </c>
      <c r="K50" s="367">
        <f>+Baseline_NaturalGas!L26</f>
        <v>1741816.7092883086</v>
      </c>
      <c r="L50" s="367">
        <f>+Baseline_NaturalGas!M26</f>
        <v>1741816.7092883086</v>
      </c>
      <c r="M50" s="367">
        <f>+Baseline_NaturalGas!N26</f>
        <v>1741816.7092883086</v>
      </c>
      <c r="N50" s="367">
        <f>+Baseline_NaturalGas!O26</f>
        <v>1741816.7092883086</v>
      </c>
      <c r="O50" s="367">
        <f>+Baseline_NaturalGas!P26</f>
        <v>1741816.7092883086</v>
      </c>
      <c r="P50" s="367">
        <f>+Baseline_NaturalGas!Q26</f>
        <v>1741816.7092883086</v>
      </c>
      <c r="Q50" s="367">
        <f>+Baseline_NaturalGas!R26</f>
        <v>1741816.7092883086</v>
      </c>
    </row>
    <row r="51" spans="1:17" ht="14.4">
      <c r="A51" s="366" t="s">
        <v>66</v>
      </c>
      <c r="B51" s="373"/>
      <c r="C51" s="375">
        <f>+Baseline_NaturalGas!D27</f>
        <v>5.6086944825694198</v>
      </c>
      <c r="D51" s="375">
        <f>+Baseline_NaturalGas!E27</f>
        <v>5.5051083831058802</v>
      </c>
      <c r="E51" s="375">
        <f>+Baseline_NaturalGas!F27</f>
        <v>5.61862622286578</v>
      </c>
      <c r="F51" s="375">
        <f>+Baseline_NaturalGas!G27</f>
        <v>5.8406487933251103</v>
      </c>
      <c r="G51" s="375">
        <f>+Baseline_NaturalGas!H27</f>
        <v>5.8453745748678001</v>
      </c>
      <c r="H51" s="375">
        <f>+Baseline_NaturalGas!I27</f>
        <v>6.0672099673130804</v>
      </c>
      <c r="I51" s="375">
        <f>+Baseline_NaturalGas!J27</f>
        <v>6.39755565092754</v>
      </c>
      <c r="J51" s="375">
        <f>+Baseline_NaturalGas!K27</f>
        <v>6.39755565092754</v>
      </c>
      <c r="K51" s="375">
        <f>+Baseline_NaturalGas!L27</f>
        <v>6.39755565092754</v>
      </c>
      <c r="L51" s="375">
        <f>+Baseline_NaturalGas!M27</f>
        <v>6.39755565092754</v>
      </c>
      <c r="M51" s="375">
        <f>+Baseline_NaturalGas!N27</f>
        <v>6.39755565092754</v>
      </c>
      <c r="N51" s="375">
        <f>+Baseline_NaturalGas!O27</f>
        <v>6.39755565092754</v>
      </c>
      <c r="O51" s="375">
        <f>+Baseline_NaturalGas!P27</f>
        <v>6.39755565092754</v>
      </c>
      <c r="P51" s="375">
        <f>+Baseline_NaturalGas!Q27</f>
        <v>6.39755565092754</v>
      </c>
      <c r="Q51" s="375">
        <f>+Baseline_NaturalGas!R27</f>
        <v>6.39755565092754</v>
      </c>
    </row>
    <row r="52" spans="1:17" ht="14.4">
      <c r="A52" s="370"/>
      <c r="B52" s="379"/>
      <c r="C52" s="379"/>
      <c r="D52" s="379"/>
      <c r="E52" s="379"/>
      <c r="F52" s="379"/>
      <c r="G52" s="379"/>
      <c r="H52" s="379"/>
      <c r="I52" s="379"/>
      <c r="J52" s="379"/>
      <c r="K52" s="379"/>
      <c r="L52" s="379"/>
      <c r="M52" s="379"/>
      <c r="N52" s="379"/>
      <c r="O52" s="379"/>
      <c r="P52" s="379"/>
      <c r="Q52" s="379"/>
    </row>
    <row r="53" spans="1:17" ht="14.4">
      <c r="A53" s="366" t="s">
        <v>102</v>
      </c>
      <c r="B53" s="378">
        <f t="shared" ref="B53" si="1">+SUM(C53:Q53)</f>
        <v>160358.02702356796</v>
      </c>
      <c r="C53" s="375">
        <f>+C50*C51/1000</f>
        <v>9769.3177670325604</v>
      </c>
      <c r="D53" s="375">
        <f>+D50*D51/1000</f>
        <v>9588.8897681369654</v>
      </c>
      <c r="E53" s="375">
        <f t="shared" ref="E53:Q53" si="2">+E50*E51/1000</f>
        <v>9786.6170382330711</v>
      </c>
      <c r="F53" s="375">
        <f t="shared" si="2"/>
        <v>10173.339661298274</v>
      </c>
      <c r="G53" s="375">
        <f t="shared" si="2"/>
        <v>10181.571106553778</v>
      </c>
      <c r="H53" s="375">
        <f t="shared" si="2"/>
        <v>10567.967699826495</v>
      </c>
      <c r="I53" s="375">
        <f t="shared" si="2"/>
        <v>11143.36933138743</v>
      </c>
      <c r="J53" s="375">
        <f t="shared" si="2"/>
        <v>11143.36933138743</v>
      </c>
      <c r="K53" s="375">
        <f t="shared" si="2"/>
        <v>11143.36933138743</v>
      </c>
      <c r="L53" s="375">
        <f t="shared" si="2"/>
        <v>11143.36933138743</v>
      </c>
      <c r="M53" s="375">
        <f t="shared" si="2"/>
        <v>11143.36933138743</v>
      </c>
      <c r="N53" s="375">
        <f t="shared" si="2"/>
        <v>11143.36933138743</v>
      </c>
      <c r="O53" s="375">
        <f t="shared" si="2"/>
        <v>11143.36933138743</v>
      </c>
      <c r="P53" s="375">
        <f t="shared" si="2"/>
        <v>11143.36933138743</v>
      </c>
      <c r="Q53" s="375">
        <f t="shared" si="2"/>
        <v>11143.36933138743</v>
      </c>
    </row>
    <row r="54" spans="1:17" ht="14.4">
      <c r="A54" s="370"/>
      <c r="B54" s="373"/>
      <c r="C54" s="373"/>
      <c r="D54" s="373"/>
      <c r="E54" s="373"/>
      <c r="F54" s="373"/>
      <c r="G54" s="373"/>
      <c r="H54" s="373"/>
      <c r="I54" s="373"/>
      <c r="J54" s="373"/>
      <c r="K54" s="373"/>
      <c r="L54" s="373"/>
      <c r="M54" s="373"/>
      <c r="N54" s="373"/>
      <c r="O54" s="373"/>
      <c r="P54" s="373"/>
      <c r="Q54" s="373"/>
    </row>
    <row r="55" spans="1:17" ht="14.4">
      <c r="A55" s="370"/>
      <c r="B55" s="379"/>
      <c r="C55" s="379"/>
      <c r="D55" s="379"/>
      <c r="E55" s="379"/>
      <c r="F55" s="379"/>
      <c r="G55" s="379"/>
      <c r="H55" s="379"/>
      <c r="I55" s="379"/>
      <c r="J55" s="379"/>
      <c r="K55" s="379"/>
      <c r="L55" s="379"/>
      <c r="M55" s="379"/>
      <c r="N55" s="379"/>
      <c r="O55" s="379"/>
      <c r="P55" s="379"/>
      <c r="Q55" s="379"/>
    </row>
    <row r="56" spans="1:17" ht="14.4">
      <c r="A56" s="366" t="s">
        <v>101</v>
      </c>
      <c r="B56" s="373"/>
      <c r="C56" s="375">
        <f>+C53+C44</f>
        <v>10727.338794532559</v>
      </c>
      <c r="D56" s="375">
        <f t="shared" ref="D56:Q56" si="3">+D53+D44</f>
        <v>10572.585759173966</v>
      </c>
      <c r="E56" s="375">
        <f t="shared" si="3"/>
        <v>10796.676081829863</v>
      </c>
      <c r="F56" s="375">
        <f t="shared" si="3"/>
        <v>11210.46828726346</v>
      </c>
      <c r="G56" s="375">
        <f t="shared" si="3"/>
        <v>11246.494779694831</v>
      </c>
      <c r="H56" s="375">
        <f t="shared" si="3"/>
        <v>11661.431327407727</v>
      </c>
      <c r="I56" s="375">
        <f t="shared" si="3"/>
        <v>12266.13778418784</v>
      </c>
      <c r="J56" s="375">
        <f t="shared" si="3"/>
        <v>12296.227978722891</v>
      </c>
      <c r="K56" s="375">
        <f t="shared" si="3"/>
        <v>12327.124590471481</v>
      </c>
      <c r="L56" s="375">
        <f t="shared" si="3"/>
        <v>12358.849231414933</v>
      </c>
      <c r="M56" s="375">
        <f t="shared" si="3"/>
        <v>12391.42409273567</v>
      </c>
      <c r="N56" s="375">
        <f t="shared" si="3"/>
        <v>12424.871960339802</v>
      </c>
      <c r="O56" s="375">
        <f t="shared" si="3"/>
        <v>12459.216230795726</v>
      </c>
      <c r="P56" s="375">
        <f t="shared" si="3"/>
        <v>12494.480927699869</v>
      </c>
      <c r="Q56" s="375">
        <f t="shared" si="3"/>
        <v>12530.690718481042</v>
      </c>
    </row>
    <row r="57" spans="1:17" ht="14.4">
      <c r="A57" s="370"/>
      <c r="B57" s="379"/>
      <c r="C57" s="379"/>
      <c r="D57" s="379"/>
      <c r="E57" s="379"/>
      <c r="F57" s="379"/>
      <c r="G57" s="379"/>
      <c r="H57" s="379"/>
      <c r="I57" s="379"/>
      <c r="J57" s="379"/>
      <c r="K57" s="379"/>
      <c r="L57" s="379"/>
      <c r="M57" s="379"/>
      <c r="N57" s="379"/>
      <c r="O57" s="379"/>
      <c r="P57" s="379"/>
      <c r="Q57" s="379"/>
    </row>
    <row r="58" spans="1:17" ht="14.4">
      <c r="A58" s="366" t="s">
        <v>73</v>
      </c>
      <c r="B58" s="378">
        <f>+SUM(C58:Q58)</f>
        <v>10338.77195598214</v>
      </c>
      <c r="C58" s="381">
        <f>+Baseline_NaturalGas!$D$5*(1+$B$7)/'Initial Data'!$C$19</f>
        <v>1033.8771955982143</v>
      </c>
      <c r="D58" s="381">
        <f>+Baseline_NaturalGas!$D$5*(1+$B$7)/'Initial Data'!$C$19</f>
        <v>1033.8771955982143</v>
      </c>
      <c r="E58" s="381">
        <f>+Baseline_NaturalGas!$D$5*(1+$B$7)/'Initial Data'!$C$19</f>
        <v>1033.8771955982143</v>
      </c>
      <c r="F58" s="381">
        <f>+Baseline_NaturalGas!$D$5*(1+$B$7)/'Initial Data'!$C$19</f>
        <v>1033.8771955982143</v>
      </c>
      <c r="G58" s="381">
        <f>+Baseline_NaturalGas!$D$5*(1+$B$7)/'Initial Data'!$C$19</f>
        <v>1033.8771955982143</v>
      </c>
      <c r="H58" s="381">
        <f>+Baseline_NaturalGas!$D$5*(1+$B$7)/'Initial Data'!$C$19</f>
        <v>1033.8771955982143</v>
      </c>
      <c r="I58" s="381">
        <f>+Baseline_NaturalGas!$D$5*(1+$B$7)/'Initial Data'!$C$19</f>
        <v>1033.8771955982143</v>
      </c>
      <c r="J58" s="381">
        <f>+Baseline_NaturalGas!$D$5*(1+$B$7)/'Initial Data'!$C$19</f>
        <v>1033.8771955982143</v>
      </c>
      <c r="K58" s="381">
        <f>+Baseline_NaturalGas!$D$5*(1+$B$7)/'Initial Data'!$C$19</f>
        <v>1033.8771955982143</v>
      </c>
      <c r="L58" s="381">
        <f>+Baseline_NaturalGas!$D$5*(1+$B$7)/'Initial Data'!$C$19</f>
        <v>1033.8771955982143</v>
      </c>
      <c r="M58" s="381">
        <v>0</v>
      </c>
      <c r="N58" s="381">
        <v>0</v>
      </c>
      <c r="O58" s="381">
        <v>0</v>
      </c>
      <c r="P58" s="381">
        <v>0</v>
      </c>
      <c r="Q58" s="381">
        <v>0</v>
      </c>
    </row>
    <row r="59" spans="1:17" ht="14.4">
      <c r="A59" s="366" t="s">
        <v>74</v>
      </c>
      <c r="B59" s="378">
        <f>+SUM(C59:Q59)</f>
        <v>10338.77195598214</v>
      </c>
      <c r="C59" s="367">
        <f>SUM(C58:C58)</f>
        <v>1033.8771955982143</v>
      </c>
      <c r="D59" s="367">
        <f t="shared" ref="D59:Q59" si="4">SUM(D58:D58)</f>
        <v>1033.8771955982143</v>
      </c>
      <c r="E59" s="367">
        <f t="shared" si="4"/>
        <v>1033.8771955982143</v>
      </c>
      <c r="F59" s="367">
        <f t="shared" si="4"/>
        <v>1033.8771955982143</v>
      </c>
      <c r="G59" s="367">
        <f t="shared" si="4"/>
        <v>1033.8771955982143</v>
      </c>
      <c r="H59" s="367">
        <f t="shared" si="4"/>
        <v>1033.8771955982143</v>
      </c>
      <c r="I59" s="367">
        <f t="shared" si="4"/>
        <v>1033.8771955982143</v>
      </c>
      <c r="J59" s="367">
        <f t="shared" si="4"/>
        <v>1033.8771955982143</v>
      </c>
      <c r="K59" s="367">
        <f t="shared" si="4"/>
        <v>1033.8771955982143</v>
      </c>
      <c r="L59" s="367">
        <f t="shared" si="4"/>
        <v>1033.8771955982143</v>
      </c>
      <c r="M59" s="367">
        <f t="shared" si="4"/>
        <v>0</v>
      </c>
      <c r="N59" s="367">
        <f t="shared" si="4"/>
        <v>0</v>
      </c>
      <c r="O59" s="367">
        <f t="shared" si="4"/>
        <v>0</v>
      </c>
      <c r="P59" s="367">
        <f t="shared" si="4"/>
        <v>0</v>
      </c>
      <c r="Q59" s="367">
        <f t="shared" si="4"/>
        <v>0</v>
      </c>
    </row>
    <row r="60" spans="1:17" ht="14.4">
      <c r="A60" s="90"/>
      <c r="B60" s="388"/>
      <c r="C60" s="373"/>
      <c r="D60" s="373"/>
      <c r="E60" s="373"/>
      <c r="F60" s="373"/>
      <c r="G60" s="373"/>
      <c r="H60" s="373"/>
      <c r="I60" s="373"/>
      <c r="J60" s="373"/>
      <c r="K60" s="373"/>
      <c r="L60" s="373"/>
      <c r="M60" s="373"/>
      <c r="N60" s="373"/>
      <c r="O60" s="373"/>
      <c r="P60" s="373"/>
      <c r="Q60" s="373"/>
    </row>
    <row r="61" spans="1:17" ht="14.4">
      <c r="A61" s="366" t="s">
        <v>75</v>
      </c>
      <c r="B61" s="378">
        <f>+SUM(C61:Q61)</f>
        <v>188102.79050073377</v>
      </c>
      <c r="C61" s="367">
        <f>+C56+C59</f>
        <v>11761.215990130773</v>
      </c>
      <c r="D61" s="367">
        <f t="shared" ref="D61:Q61" si="5">+D56+D59</f>
        <v>11606.46295477218</v>
      </c>
      <c r="E61" s="367">
        <f t="shared" si="5"/>
        <v>11830.553277428076</v>
      </c>
      <c r="F61" s="367">
        <f t="shared" si="5"/>
        <v>12244.345482861674</v>
      </c>
      <c r="G61" s="367">
        <f t="shared" si="5"/>
        <v>12280.371975293045</v>
      </c>
      <c r="H61" s="367">
        <f t="shared" si="5"/>
        <v>12695.308523005941</v>
      </c>
      <c r="I61" s="367">
        <f t="shared" si="5"/>
        <v>13300.014979786054</v>
      </c>
      <c r="J61" s="367">
        <f t="shared" si="5"/>
        <v>13330.105174321105</v>
      </c>
      <c r="K61" s="367">
        <f t="shared" si="5"/>
        <v>13361.001786069695</v>
      </c>
      <c r="L61" s="367">
        <f t="shared" si="5"/>
        <v>13392.726427013147</v>
      </c>
      <c r="M61" s="367">
        <f t="shared" si="5"/>
        <v>12391.42409273567</v>
      </c>
      <c r="N61" s="367">
        <f t="shared" si="5"/>
        <v>12424.871960339802</v>
      </c>
      <c r="O61" s="367">
        <f t="shared" si="5"/>
        <v>12459.216230795726</v>
      </c>
      <c r="P61" s="367">
        <f t="shared" si="5"/>
        <v>12494.480927699869</v>
      </c>
      <c r="Q61" s="367">
        <f t="shared" si="5"/>
        <v>12530.690718481042</v>
      </c>
    </row>
    <row r="62" spans="1:17">
      <c r="A62" s="74"/>
    </row>
    <row r="63" spans="1:17" ht="14.4">
      <c r="A63" s="366" t="s">
        <v>76</v>
      </c>
      <c r="B63" s="378">
        <f>+SUM(C63:Q63)</f>
        <v>1602422.0676946654</v>
      </c>
      <c r="C63" s="367">
        <f>+C41-C61</f>
        <v>86788.784009869225</v>
      </c>
      <c r="D63" s="367">
        <f t="shared" ref="D63:Q63" si="6">+D41-D61</f>
        <v>89584.677045227814</v>
      </c>
      <c r="E63" s="367">
        <f t="shared" si="6"/>
        <v>92072.509274571916</v>
      </c>
      <c r="F63" s="367">
        <f t="shared" si="6"/>
        <v>94443.319145531888</v>
      </c>
      <c r="G63" s="367">
        <f t="shared" si="6"/>
        <v>97266.522065141457</v>
      </c>
      <c r="H63" s="367">
        <f t="shared" si="6"/>
        <v>99787.442277712238</v>
      </c>
      <c r="I63" s="367">
        <f t="shared" si="6"/>
        <v>102197.27354239137</v>
      </c>
      <c r="J63" s="367">
        <f t="shared" si="6"/>
        <v>105262.51068025063</v>
      </c>
      <c r="K63" s="367">
        <f t="shared" si="6"/>
        <v>108409.89617340457</v>
      </c>
      <c r="L63" s="367">
        <f t="shared" si="6"/>
        <v>111641.63159777503</v>
      </c>
      <c r="M63" s="367">
        <f t="shared" si="6"/>
        <v>115993.85472711679</v>
      </c>
      <c r="N63" s="367">
        <f t="shared" si="6"/>
        <v>119401.1323318847</v>
      </c>
      <c r="O63" s="367">
        <f t="shared" si="6"/>
        <v>122899.72497646039</v>
      </c>
      <c r="P63" s="367">
        <f t="shared" si="6"/>
        <v>126492.07990391068</v>
      </c>
      <c r="Q63" s="367">
        <f t="shared" si="6"/>
        <v>130180.70994341669</v>
      </c>
    </row>
    <row r="64" spans="1:17" ht="14.4">
      <c r="A64" s="369"/>
      <c r="B64" s="373"/>
      <c r="C64" s="373"/>
      <c r="D64" s="373"/>
      <c r="E64" s="373"/>
      <c r="F64" s="373"/>
      <c r="G64" s="373"/>
      <c r="H64" s="373"/>
      <c r="I64" s="373"/>
      <c r="J64" s="373"/>
      <c r="K64" s="373"/>
      <c r="L64" s="373"/>
      <c r="M64" s="373"/>
      <c r="N64" s="373"/>
      <c r="O64" s="373"/>
      <c r="P64" s="373"/>
      <c r="Q64" s="373"/>
    </row>
    <row r="65" spans="1:17" ht="14.4">
      <c r="A65" s="366" t="s">
        <v>222</v>
      </c>
      <c r="B65" s="380">
        <f>+Baseline_NaturalGas!C43</f>
        <v>0.7</v>
      </c>
      <c r="C65" s="367">
        <f>IF((+$B$65*C63)&lt;0,"0",(+$B$65*C63))</f>
        <v>60752.148806908452</v>
      </c>
      <c r="D65" s="367">
        <f t="shared" ref="D65:Q65" si="7">IF((+$B$65*D63)&lt;0,"0",(+$B$65*D63))</f>
        <v>62709.273931659467</v>
      </c>
      <c r="E65" s="367">
        <f t="shared" si="7"/>
        <v>64450.756492200337</v>
      </c>
      <c r="F65" s="367">
        <f t="shared" si="7"/>
        <v>66110.323401872316</v>
      </c>
      <c r="G65" s="367">
        <f t="shared" si="7"/>
        <v>68086.565445599015</v>
      </c>
      <c r="H65" s="367">
        <f t="shared" si="7"/>
        <v>69851.209594398562</v>
      </c>
      <c r="I65" s="367">
        <f t="shared" si="7"/>
        <v>71538.091479673953</v>
      </c>
      <c r="J65" s="367">
        <f t="shared" si="7"/>
        <v>73683.757476175437</v>
      </c>
      <c r="K65" s="367">
        <f t="shared" si="7"/>
        <v>75886.927321383191</v>
      </c>
      <c r="L65" s="367">
        <f t="shared" si="7"/>
        <v>78149.142118442513</v>
      </c>
      <c r="M65" s="367">
        <f t="shared" si="7"/>
        <v>81195.698308981751</v>
      </c>
      <c r="N65" s="367">
        <f t="shared" si="7"/>
        <v>83580.792632319281</v>
      </c>
      <c r="O65" s="367">
        <f t="shared" si="7"/>
        <v>86029.807483522265</v>
      </c>
      <c r="P65" s="367">
        <f t="shared" si="7"/>
        <v>88544.455932737474</v>
      </c>
      <c r="Q65" s="367">
        <f t="shared" si="7"/>
        <v>91126.496960391683</v>
      </c>
    </row>
    <row r="66" spans="1:17" ht="14.4">
      <c r="A66" s="366" t="s">
        <v>77</v>
      </c>
      <c r="B66" s="378">
        <f>+SUM(C66:Q66)</f>
        <v>1121695.4473862655</v>
      </c>
      <c r="C66" s="367">
        <f>SUM(C65:C65)</f>
        <v>60752.148806908452</v>
      </c>
      <c r="D66" s="367">
        <f t="shared" ref="D66:Q66" si="8">SUM(D65:D65)</f>
        <v>62709.273931659467</v>
      </c>
      <c r="E66" s="367">
        <f t="shared" si="8"/>
        <v>64450.756492200337</v>
      </c>
      <c r="F66" s="367">
        <f t="shared" si="8"/>
        <v>66110.323401872316</v>
      </c>
      <c r="G66" s="367">
        <f t="shared" si="8"/>
        <v>68086.565445599015</v>
      </c>
      <c r="H66" s="367">
        <f t="shared" si="8"/>
        <v>69851.209594398562</v>
      </c>
      <c r="I66" s="367">
        <f t="shared" si="8"/>
        <v>71538.091479673953</v>
      </c>
      <c r="J66" s="367">
        <f t="shared" si="8"/>
        <v>73683.757476175437</v>
      </c>
      <c r="K66" s="367">
        <f t="shared" si="8"/>
        <v>75886.927321383191</v>
      </c>
      <c r="L66" s="367">
        <f t="shared" si="8"/>
        <v>78149.142118442513</v>
      </c>
      <c r="M66" s="367">
        <f t="shared" si="8"/>
        <v>81195.698308981751</v>
      </c>
      <c r="N66" s="367">
        <f t="shared" si="8"/>
        <v>83580.792632319281</v>
      </c>
      <c r="O66" s="367">
        <f t="shared" si="8"/>
        <v>86029.807483522265</v>
      </c>
      <c r="P66" s="367">
        <f t="shared" si="8"/>
        <v>88544.455932737474</v>
      </c>
      <c r="Q66" s="367">
        <f t="shared" si="8"/>
        <v>91126.496960391683</v>
      </c>
    </row>
    <row r="67" spans="1:17" ht="14.4">
      <c r="A67" s="369"/>
      <c r="B67" s="373"/>
      <c r="C67" s="373"/>
      <c r="D67" s="373"/>
      <c r="E67" s="373"/>
      <c r="F67" s="373"/>
      <c r="G67" s="373"/>
      <c r="H67" s="373"/>
      <c r="I67" s="373"/>
      <c r="J67" s="373"/>
      <c r="K67" s="373"/>
      <c r="L67" s="373"/>
      <c r="M67" s="373"/>
      <c r="N67" s="373"/>
      <c r="O67" s="373"/>
      <c r="P67" s="373"/>
      <c r="Q67" s="373"/>
    </row>
    <row r="68" spans="1:17" ht="14.4">
      <c r="A68" s="366" t="s">
        <v>78</v>
      </c>
      <c r="B68" s="378">
        <f>+SUM(C68:Q68)</f>
        <v>480726.62030839967</v>
      </c>
      <c r="C68" s="367">
        <f>+C63-C66</f>
        <v>26036.635202960773</v>
      </c>
      <c r="D68" s="367">
        <f t="shared" ref="D68:Q68" si="9">+D63-D66</f>
        <v>26875.403113568347</v>
      </c>
      <c r="E68" s="367">
        <f t="shared" si="9"/>
        <v>27621.752782371579</v>
      </c>
      <c r="F68" s="367">
        <f t="shared" si="9"/>
        <v>28332.995743659572</v>
      </c>
      <c r="G68" s="367">
        <f t="shared" si="9"/>
        <v>29179.956619542441</v>
      </c>
      <c r="H68" s="367">
        <f t="shared" si="9"/>
        <v>29936.232683313676</v>
      </c>
      <c r="I68" s="367">
        <f t="shared" si="9"/>
        <v>30659.182062717417</v>
      </c>
      <c r="J68" s="367">
        <f t="shared" si="9"/>
        <v>31578.753204075198</v>
      </c>
      <c r="K68" s="367">
        <f t="shared" si="9"/>
        <v>32522.968852021382</v>
      </c>
      <c r="L68" s="367">
        <f t="shared" si="9"/>
        <v>33492.489479332522</v>
      </c>
      <c r="M68" s="367">
        <f t="shared" si="9"/>
        <v>34798.15641813504</v>
      </c>
      <c r="N68" s="367">
        <f t="shared" si="9"/>
        <v>35820.339699565418</v>
      </c>
      <c r="O68" s="367">
        <f t="shared" si="9"/>
        <v>36869.917492938126</v>
      </c>
      <c r="P68" s="367">
        <f t="shared" si="9"/>
        <v>37947.623971173205</v>
      </c>
      <c r="Q68" s="367">
        <f t="shared" si="9"/>
        <v>39054.212983025005</v>
      </c>
    </row>
    <row r="69" spans="1:17" ht="14.4">
      <c r="A69" s="395" t="s">
        <v>331</v>
      </c>
      <c r="B69" s="378">
        <f>+SUM(C69:Q69)</f>
        <v>10338.77195598214</v>
      </c>
      <c r="C69" s="381">
        <f>+C58</f>
        <v>1033.8771955982143</v>
      </c>
      <c r="D69" s="381">
        <f t="shared" ref="D69:Q69" si="10">+D58</f>
        <v>1033.8771955982143</v>
      </c>
      <c r="E69" s="381">
        <f t="shared" si="10"/>
        <v>1033.8771955982143</v>
      </c>
      <c r="F69" s="381">
        <f t="shared" si="10"/>
        <v>1033.8771955982143</v>
      </c>
      <c r="G69" s="381">
        <f t="shared" si="10"/>
        <v>1033.8771955982143</v>
      </c>
      <c r="H69" s="381">
        <f t="shared" si="10"/>
        <v>1033.8771955982143</v>
      </c>
      <c r="I69" s="381">
        <f t="shared" si="10"/>
        <v>1033.8771955982143</v>
      </c>
      <c r="J69" s="381">
        <f t="shared" si="10"/>
        <v>1033.8771955982143</v>
      </c>
      <c r="K69" s="381">
        <f t="shared" si="10"/>
        <v>1033.8771955982143</v>
      </c>
      <c r="L69" s="381">
        <f t="shared" si="10"/>
        <v>1033.8771955982143</v>
      </c>
      <c r="M69" s="381">
        <f t="shared" si="10"/>
        <v>0</v>
      </c>
      <c r="N69" s="381">
        <f t="shared" si="10"/>
        <v>0</v>
      </c>
      <c r="O69" s="381">
        <f t="shared" si="10"/>
        <v>0</v>
      </c>
      <c r="P69" s="381">
        <f t="shared" si="10"/>
        <v>0</v>
      </c>
      <c r="Q69" s="381">
        <f t="shared" si="10"/>
        <v>0</v>
      </c>
    </row>
    <row r="70" spans="1:17" ht="14.4">
      <c r="A70" s="395" t="s">
        <v>332</v>
      </c>
      <c r="B70" s="378">
        <f>+Baseline_NaturalGas!C48</f>
        <v>0</v>
      </c>
      <c r="C70" s="367">
        <f>+Baseline_NaturalGas!D48</f>
        <v>0</v>
      </c>
      <c r="D70" s="367">
        <f>+Baseline_NaturalGas!E48</f>
        <v>0</v>
      </c>
      <c r="E70" s="367">
        <f>+Baseline_NaturalGas!F48</f>
        <v>0</v>
      </c>
      <c r="F70" s="367">
        <f>+Baseline_NaturalGas!G48</f>
        <v>0</v>
      </c>
      <c r="G70" s="367">
        <f>+Baseline_NaturalGas!H48</f>
        <v>0</v>
      </c>
      <c r="H70" s="367">
        <f>+Baseline_NaturalGas!I48</f>
        <v>0</v>
      </c>
      <c r="I70" s="367">
        <f>+Baseline_NaturalGas!J48</f>
        <v>0</v>
      </c>
      <c r="J70" s="367">
        <f>+Baseline_NaturalGas!K48</f>
        <v>0</v>
      </c>
      <c r="K70" s="367">
        <f>+Baseline_NaturalGas!L48</f>
        <v>0</v>
      </c>
      <c r="L70" s="367">
        <f>+Baseline_NaturalGas!M48</f>
        <v>0</v>
      </c>
      <c r="M70" s="367">
        <f>+Baseline_NaturalGas!N48</f>
        <v>0</v>
      </c>
      <c r="N70" s="367">
        <f>+Baseline_NaturalGas!O48</f>
        <v>0</v>
      </c>
      <c r="O70" s="367">
        <f>+Baseline_NaturalGas!P48</f>
        <v>0</v>
      </c>
      <c r="P70" s="367">
        <f>+Baseline_NaturalGas!Q48</f>
        <v>0</v>
      </c>
      <c r="Q70" s="367">
        <f>+Baseline_NaturalGas!R48</f>
        <v>0</v>
      </c>
    </row>
    <row r="71" spans="1:17" ht="14.4">
      <c r="A71" s="510"/>
      <c r="B71" s="511"/>
      <c r="C71" s="511"/>
      <c r="D71" s="511"/>
      <c r="E71" s="511"/>
      <c r="F71" s="511"/>
      <c r="G71" s="511"/>
      <c r="H71" s="511"/>
      <c r="I71" s="511"/>
      <c r="J71" s="511"/>
      <c r="K71" s="511"/>
      <c r="L71" s="511"/>
      <c r="M71" s="511"/>
      <c r="N71" s="511"/>
      <c r="O71" s="511"/>
      <c r="P71" s="511"/>
      <c r="Q71" s="511"/>
    </row>
    <row r="72" spans="1:17" ht="14.4">
      <c r="A72" s="366" t="s">
        <v>110</v>
      </c>
      <c r="B72" s="381">
        <f>-Baseline_NaturalGas!D5*(1+B7)</f>
        <v>-10338.771955982143</v>
      </c>
      <c r="C72" s="367">
        <f>+C68+C69+C70</f>
        <v>27070.512398558989</v>
      </c>
      <c r="D72" s="367">
        <f t="shared" ref="D72:Q72" si="11">+D68+D69+D70</f>
        <v>27909.280309166563</v>
      </c>
      <c r="E72" s="367">
        <f t="shared" si="11"/>
        <v>28655.629977969795</v>
      </c>
      <c r="F72" s="367">
        <f t="shared" si="11"/>
        <v>29366.872939257788</v>
      </c>
      <c r="G72" s="367">
        <f t="shared" si="11"/>
        <v>30213.833815140657</v>
      </c>
      <c r="H72" s="367">
        <f t="shared" si="11"/>
        <v>30970.109878911891</v>
      </c>
      <c r="I72" s="367">
        <f t="shared" si="11"/>
        <v>31693.059258315632</v>
      </c>
      <c r="J72" s="367">
        <f t="shared" si="11"/>
        <v>32612.630399673413</v>
      </c>
      <c r="K72" s="367">
        <f t="shared" si="11"/>
        <v>33556.846047619598</v>
      </c>
      <c r="L72" s="367">
        <f t="shared" si="11"/>
        <v>34526.366674930738</v>
      </c>
      <c r="M72" s="367">
        <f t="shared" si="11"/>
        <v>34798.15641813504</v>
      </c>
      <c r="N72" s="367">
        <f t="shared" si="11"/>
        <v>35820.339699565418</v>
      </c>
      <c r="O72" s="367">
        <f t="shared" si="11"/>
        <v>36869.917492938126</v>
      </c>
      <c r="P72" s="367">
        <f t="shared" si="11"/>
        <v>37947.623971173205</v>
      </c>
      <c r="Q72" s="367">
        <f t="shared" si="11"/>
        <v>39054.212983025005</v>
      </c>
    </row>
    <row r="73" spans="1:17" ht="15.6">
      <c r="A73" s="366" t="s">
        <v>51</v>
      </c>
      <c r="B73" s="132">
        <f>IRR(B72:Q72)</f>
        <v>2.6480488012668331</v>
      </c>
      <c r="C73" s="390"/>
      <c r="D73" s="390"/>
      <c r="E73" s="390"/>
      <c r="F73" s="390"/>
      <c r="G73" s="390"/>
      <c r="H73" s="390"/>
      <c r="I73" s="390"/>
      <c r="J73" s="390"/>
      <c r="K73" s="390"/>
      <c r="L73" s="390"/>
      <c r="M73" s="390"/>
      <c r="N73" s="390"/>
      <c r="O73" s="390"/>
      <c r="P73" s="390"/>
      <c r="Q73" s="390"/>
    </row>
    <row r="74" spans="1:17" ht="15.6">
      <c r="A74" s="366" t="s">
        <v>267</v>
      </c>
      <c r="B74" s="303">
        <f>NPV('Initial Data'!C21/100,B72:Q72)</f>
        <v>179685.3298710823</v>
      </c>
      <c r="C74" s="373"/>
      <c r="D74" s="373"/>
      <c r="E74" s="373"/>
      <c r="F74" s="373"/>
      <c r="G74" s="373"/>
      <c r="H74" s="373"/>
      <c r="I74" s="373"/>
      <c r="J74" s="373"/>
      <c r="K74" s="373"/>
      <c r="L74" s="373"/>
      <c r="M74" s="373"/>
      <c r="N74" s="373"/>
      <c r="O74" s="373"/>
      <c r="P74" s="373"/>
      <c r="Q74" s="373"/>
    </row>
    <row r="75" spans="1:17" ht="14.4">
      <c r="A75" s="369"/>
      <c r="B75" s="391"/>
      <c r="C75" s="373"/>
      <c r="D75" s="373"/>
      <c r="E75" s="373"/>
      <c r="F75" s="373"/>
      <c r="G75" s="373"/>
      <c r="H75" s="373"/>
      <c r="I75" s="373"/>
      <c r="J75" s="373"/>
      <c r="K75" s="373"/>
      <c r="L75" s="373"/>
      <c r="M75" s="373"/>
      <c r="N75" s="373"/>
      <c r="O75" s="373"/>
      <c r="P75" s="373"/>
      <c r="Q75" s="373"/>
    </row>
    <row r="76" spans="1:17" ht="14.4">
      <c r="A76" s="508" t="s">
        <v>329</v>
      </c>
      <c r="B76" s="509"/>
      <c r="C76" s="509"/>
      <c r="D76" s="509"/>
      <c r="E76" s="509"/>
      <c r="F76" s="509"/>
      <c r="G76" s="509"/>
      <c r="H76" s="509"/>
      <c r="I76" s="509"/>
      <c r="J76" s="509"/>
      <c r="K76" s="509"/>
      <c r="L76" s="509"/>
      <c r="M76" s="509"/>
      <c r="N76" s="509"/>
      <c r="O76" s="509"/>
      <c r="P76" s="509"/>
      <c r="Q76" s="509"/>
    </row>
    <row r="77" spans="1:17" ht="14.4">
      <c r="A77" s="371" t="s">
        <v>307</v>
      </c>
      <c r="B77" s="372"/>
      <c r="C77" s="372"/>
      <c r="D77" s="372"/>
      <c r="E77" s="372"/>
      <c r="F77" s="372"/>
      <c r="G77" s="372"/>
      <c r="H77" s="372"/>
      <c r="I77" s="372"/>
      <c r="J77" s="372"/>
      <c r="K77" s="372"/>
      <c r="L77" s="372"/>
      <c r="M77" s="372"/>
      <c r="N77" s="372"/>
      <c r="O77" s="372"/>
      <c r="P77" s="372"/>
      <c r="Q77" s="372"/>
    </row>
    <row r="78" spans="1:17" ht="27">
      <c r="A78" s="376"/>
      <c r="B78" s="304" t="s">
        <v>35</v>
      </c>
      <c r="C78" s="352" t="s">
        <v>407</v>
      </c>
      <c r="D78" s="352" t="s">
        <v>408</v>
      </c>
      <c r="E78" s="352" t="s">
        <v>409</v>
      </c>
      <c r="F78" s="352" t="s">
        <v>410</v>
      </c>
      <c r="G78" s="352" t="s">
        <v>411</v>
      </c>
      <c r="H78" s="352" t="s">
        <v>412</v>
      </c>
      <c r="I78" s="352" t="s">
        <v>413</v>
      </c>
      <c r="J78" s="352" t="s">
        <v>414</v>
      </c>
      <c r="K78" s="352" t="s">
        <v>415</v>
      </c>
      <c r="L78" s="352" t="s">
        <v>416</v>
      </c>
      <c r="M78" s="352" t="s">
        <v>417</v>
      </c>
      <c r="N78" s="352" t="s">
        <v>418</v>
      </c>
      <c r="O78" s="352" t="s">
        <v>419</v>
      </c>
      <c r="P78" s="352" t="s">
        <v>420</v>
      </c>
      <c r="Q78" s="352" t="s">
        <v>421</v>
      </c>
    </row>
    <row r="79" spans="1:17" ht="14.4">
      <c r="A79" s="363" t="s">
        <v>290</v>
      </c>
      <c r="B79" s="365"/>
      <c r="C79" s="367">
        <f>+Baseline_NaturalGas!D10</f>
        <v>219000</v>
      </c>
      <c r="D79" s="367">
        <f>+Baseline_NaturalGas!E10</f>
        <v>219000</v>
      </c>
      <c r="E79" s="367">
        <f>+Baseline_NaturalGas!F10</f>
        <v>219000</v>
      </c>
      <c r="F79" s="367">
        <f>+Baseline_NaturalGas!G10</f>
        <v>219000</v>
      </c>
      <c r="G79" s="367">
        <f>+Baseline_NaturalGas!H10</f>
        <v>219000</v>
      </c>
      <c r="H79" s="367">
        <f>+Baseline_NaturalGas!I10</f>
        <v>219000</v>
      </c>
      <c r="I79" s="367">
        <f>+Baseline_NaturalGas!J10</f>
        <v>219000</v>
      </c>
      <c r="J79" s="367">
        <f>+Baseline_NaturalGas!K10</f>
        <v>219000</v>
      </c>
      <c r="K79" s="367">
        <f>+Baseline_NaturalGas!L10</f>
        <v>219000</v>
      </c>
      <c r="L79" s="367">
        <f>+Baseline_NaturalGas!M10</f>
        <v>219000</v>
      </c>
      <c r="M79" s="367">
        <f>+Baseline_NaturalGas!N10</f>
        <v>219000</v>
      </c>
      <c r="N79" s="367">
        <f>+Baseline_NaturalGas!O10</f>
        <v>219000</v>
      </c>
      <c r="O79" s="367">
        <f>+Baseline_NaturalGas!P10</f>
        <v>219000</v>
      </c>
      <c r="P79" s="367">
        <f>+Baseline_NaturalGas!Q10</f>
        <v>219000</v>
      </c>
      <c r="Q79" s="367">
        <f>+Baseline_NaturalGas!R10</f>
        <v>219000</v>
      </c>
    </row>
    <row r="80" spans="1:17" ht="14.4">
      <c r="A80" s="364" t="s">
        <v>291</v>
      </c>
      <c r="B80" s="365"/>
      <c r="C80" s="367">
        <f>+Baseline_NaturalGas!D11</f>
        <v>70</v>
      </c>
      <c r="D80" s="367">
        <f>+Baseline_NaturalGas!E11</f>
        <v>70</v>
      </c>
      <c r="E80" s="367">
        <f>+Baseline_NaturalGas!F11</f>
        <v>70</v>
      </c>
      <c r="F80" s="367">
        <f>+Baseline_NaturalGas!G11</f>
        <v>70</v>
      </c>
      <c r="G80" s="367">
        <f>+Baseline_NaturalGas!H11</f>
        <v>70</v>
      </c>
      <c r="H80" s="367">
        <f>+Baseline_NaturalGas!I11</f>
        <v>70</v>
      </c>
      <c r="I80" s="367">
        <f>+Baseline_NaturalGas!J11</f>
        <v>70</v>
      </c>
      <c r="J80" s="367">
        <f>+Baseline_NaturalGas!K11</f>
        <v>70</v>
      </c>
      <c r="K80" s="367">
        <f>+Baseline_NaturalGas!L11</f>
        <v>70</v>
      </c>
      <c r="L80" s="367">
        <f>+Baseline_NaturalGas!M11</f>
        <v>70</v>
      </c>
      <c r="M80" s="367">
        <f>+Baseline_NaturalGas!N11</f>
        <v>70</v>
      </c>
      <c r="N80" s="367">
        <f>+Baseline_NaturalGas!O11</f>
        <v>70</v>
      </c>
      <c r="O80" s="367">
        <f>+Baseline_NaturalGas!P11</f>
        <v>70</v>
      </c>
      <c r="P80" s="367">
        <f>+Baseline_NaturalGas!Q11</f>
        <v>70</v>
      </c>
      <c r="Q80" s="367">
        <f>+Baseline_NaturalGas!R11</f>
        <v>70</v>
      </c>
    </row>
    <row r="81" spans="1:17" ht="14.4">
      <c r="A81" s="366" t="s">
        <v>292</v>
      </c>
      <c r="B81" s="365"/>
      <c r="C81" s="375">
        <f>+Baseline_NaturalGas!D12</f>
        <v>6.4285714285714288</v>
      </c>
      <c r="D81" s="375">
        <f>+Baseline_NaturalGas!E12</f>
        <v>6.6008571428571425</v>
      </c>
      <c r="E81" s="375">
        <f>+Baseline_NaturalGas!F12</f>
        <v>6.7777601142857131</v>
      </c>
      <c r="F81" s="375">
        <f>+Baseline_NaturalGas!G12</f>
        <v>6.9594040853485701</v>
      </c>
      <c r="G81" s="375">
        <f>+Baseline_NaturalGas!H12</f>
        <v>7.1459161148359112</v>
      </c>
      <c r="H81" s="375">
        <f>+Baseline_NaturalGas!I12</f>
        <v>7.3374266667135135</v>
      </c>
      <c r="I81" s="375">
        <f>+Baseline_NaturalGas!J12</f>
        <v>7.5340697013814353</v>
      </c>
      <c r="J81" s="375">
        <f>+Baseline_NaturalGas!K12</f>
        <v>7.7359827693784569</v>
      </c>
      <c r="K81" s="375">
        <f>+Baseline_NaturalGas!L12</f>
        <v>7.943307107597799</v>
      </c>
      <c r="L81" s="375">
        <f>+Baseline_NaturalGas!M12</f>
        <v>8.1561877380814192</v>
      </c>
      <c r="M81" s="375">
        <f>+Baseline_NaturalGas!N12</f>
        <v>8.3747735694620005</v>
      </c>
      <c r="N81" s="375">
        <f>+Baseline_NaturalGas!O12</f>
        <v>8.5992175011235812</v>
      </c>
      <c r="O81" s="375">
        <f>+Baseline_NaturalGas!P12</f>
        <v>8.8296765301536926</v>
      </c>
      <c r="P81" s="375">
        <f>+Baseline_NaturalGas!Q12</f>
        <v>9.066311861161811</v>
      </c>
      <c r="Q81" s="375">
        <f>+Baseline_NaturalGas!R12</f>
        <v>9.3092890190409463</v>
      </c>
    </row>
    <row r="82" spans="1:17" ht="14.4">
      <c r="A82" s="366" t="s">
        <v>293</v>
      </c>
      <c r="B82" s="365"/>
      <c r="C82" s="367">
        <f>+Baseline_NaturalGas!D13</f>
        <v>450</v>
      </c>
      <c r="D82" s="367">
        <f>+Baseline_NaturalGas!E13</f>
        <v>462.06</v>
      </c>
      <c r="E82" s="367">
        <f>+Baseline_NaturalGas!F13</f>
        <v>474.44320799999991</v>
      </c>
      <c r="F82" s="367">
        <f>+Baseline_NaturalGas!G13</f>
        <v>487.15828597439992</v>
      </c>
      <c r="G82" s="367">
        <f>+Baseline_NaturalGas!H13</f>
        <v>500.21412803851376</v>
      </c>
      <c r="H82" s="367">
        <f>+Baseline_NaturalGas!I13</f>
        <v>513.61986666994596</v>
      </c>
      <c r="I82" s="367">
        <f>+Baseline_NaturalGas!J13</f>
        <v>527.3848790967005</v>
      </c>
      <c r="J82" s="367">
        <f>+Baseline_NaturalGas!K13</f>
        <v>541.51879385649192</v>
      </c>
      <c r="K82" s="367">
        <f>+Baseline_NaturalGas!L13</f>
        <v>556.03149753184596</v>
      </c>
      <c r="L82" s="367">
        <f>+Baseline_NaturalGas!M13</f>
        <v>570.9331416656994</v>
      </c>
      <c r="M82" s="367">
        <f>+Baseline_NaturalGas!N13</f>
        <v>586.23414986234002</v>
      </c>
      <c r="N82" s="367">
        <f>+Baseline_NaturalGas!O13</f>
        <v>601.94522507865065</v>
      </c>
      <c r="O82" s="367">
        <f>+Baseline_NaturalGas!P13</f>
        <v>618.0773571107585</v>
      </c>
      <c r="P82" s="367">
        <f>+Baseline_NaturalGas!Q13</f>
        <v>634.64183028132675</v>
      </c>
      <c r="Q82" s="367">
        <f>+Baseline_NaturalGas!R13</f>
        <v>651.65023133286627</v>
      </c>
    </row>
    <row r="83" spans="1:17" ht="14.4">
      <c r="A83" s="370"/>
      <c r="B83" s="373"/>
      <c r="C83" s="373"/>
      <c r="D83" s="373"/>
      <c r="E83" s="373"/>
      <c r="F83" s="373"/>
      <c r="G83" s="373"/>
      <c r="H83" s="373"/>
      <c r="I83" s="373"/>
      <c r="J83" s="373"/>
      <c r="K83" s="373"/>
      <c r="L83" s="373"/>
      <c r="M83" s="373"/>
      <c r="N83" s="373"/>
      <c r="O83" s="373"/>
      <c r="P83" s="373"/>
      <c r="Q83" s="373"/>
    </row>
    <row r="84" spans="1:17" ht="14.4">
      <c r="A84" s="366" t="s">
        <v>294</v>
      </c>
      <c r="B84" s="378">
        <f>+SUM(C84:Q84)</f>
        <v>1790524.8581953994</v>
      </c>
      <c r="C84" s="367">
        <f>C79*C82/1000*'Initial Data'!$C$34/'Initial Data'!$C$33</f>
        <v>98550</v>
      </c>
      <c r="D84" s="367">
        <f>D79*D82/1000*'Initial Data'!$C$34/'Initial Data'!$C$33</f>
        <v>101191.14</v>
      </c>
      <c r="E84" s="367">
        <f>E79*E82/1000*'Initial Data'!$C$34/'Initial Data'!$C$33</f>
        <v>103903.06255199999</v>
      </c>
      <c r="F84" s="367">
        <f>F79*F82/1000*'Initial Data'!$C$34/'Initial Data'!$C$33</f>
        <v>106687.66462839357</v>
      </c>
      <c r="G84" s="367">
        <f>G79*G82/1000*'Initial Data'!$C$34/'Initial Data'!$C$33</f>
        <v>109546.8940404345</v>
      </c>
      <c r="H84" s="367">
        <f>H79*H82/1000*'Initial Data'!$C$34/'Initial Data'!$C$33</f>
        <v>112482.75080071818</v>
      </c>
      <c r="I84" s="367">
        <f>I79*I82/1000*'Initial Data'!$C$34/'Initial Data'!$C$33</f>
        <v>115497.28852217742</v>
      </c>
      <c r="J84" s="367">
        <f>J79*J82/1000*'Initial Data'!$C$34/'Initial Data'!$C$33</f>
        <v>118592.61585457173</v>
      </c>
      <c r="K84" s="367">
        <f>K79*K82/1000*'Initial Data'!$C$34/'Initial Data'!$C$33</f>
        <v>121770.89795947427</v>
      </c>
      <c r="L84" s="367">
        <f>L79*L82/1000*'Initial Data'!$C$34/'Initial Data'!$C$33</f>
        <v>125034.35802478818</v>
      </c>
      <c r="M84" s="367">
        <f>M79*M82/1000*'Initial Data'!$C$34/'Initial Data'!$C$33</f>
        <v>128385.27881985246</v>
      </c>
      <c r="N84" s="367">
        <f>N79*N82/1000*'Initial Data'!$C$34/'Initial Data'!$C$33</f>
        <v>131826.0042922245</v>
      </c>
      <c r="O84" s="367">
        <f>O79*O82/1000*'Initial Data'!$C$34/'Initial Data'!$C$33</f>
        <v>135358.94120725611</v>
      </c>
      <c r="P84" s="367">
        <f>P79*P82/1000*'Initial Data'!$C$34/'Initial Data'!$C$33</f>
        <v>138986.56083161055</v>
      </c>
      <c r="Q84" s="367">
        <f>Q79*Q82/1000*'Initial Data'!$C$34/'Initial Data'!$C$33</f>
        <v>142711.40066189773</v>
      </c>
    </row>
    <row r="85" spans="1:17" ht="14.4">
      <c r="A85" s="370"/>
      <c r="B85" s="373"/>
      <c r="C85" s="373"/>
      <c r="D85" s="373"/>
      <c r="E85" s="373"/>
      <c r="F85" s="373"/>
      <c r="G85" s="373"/>
      <c r="H85" s="373"/>
      <c r="I85" s="373"/>
      <c r="J85" s="373"/>
      <c r="K85" s="373"/>
      <c r="L85" s="373"/>
      <c r="M85" s="373"/>
      <c r="N85" s="373"/>
      <c r="O85" s="373"/>
      <c r="P85" s="373"/>
      <c r="Q85" s="373"/>
    </row>
    <row r="86" spans="1:17" ht="14.4">
      <c r="A86" s="366" t="s">
        <v>295</v>
      </c>
      <c r="B86" s="378">
        <f>+SUM(C86:Q86)</f>
        <v>1790524.8581953994</v>
      </c>
      <c r="C86" s="367">
        <f>+C84</f>
        <v>98550</v>
      </c>
      <c r="D86" s="367">
        <f t="shared" ref="D86:Q86" si="12">+D84</f>
        <v>101191.14</v>
      </c>
      <c r="E86" s="367">
        <f t="shared" si="12"/>
        <v>103903.06255199999</v>
      </c>
      <c r="F86" s="367">
        <f t="shared" si="12"/>
        <v>106687.66462839357</v>
      </c>
      <c r="G86" s="367">
        <f t="shared" si="12"/>
        <v>109546.8940404345</v>
      </c>
      <c r="H86" s="367">
        <f t="shared" si="12"/>
        <v>112482.75080071818</v>
      </c>
      <c r="I86" s="367">
        <f t="shared" si="12"/>
        <v>115497.28852217742</v>
      </c>
      <c r="J86" s="367">
        <f t="shared" si="12"/>
        <v>118592.61585457173</v>
      </c>
      <c r="K86" s="367">
        <f t="shared" si="12"/>
        <v>121770.89795947427</v>
      </c>
      <c r="L86" s="367">
        <f t="shared" si="12"/>
        <v>125034.35802478818</v>
      </c>
      <c r="M86" s="367">
        <f t="shared" si="12"/>
        <v>128385.27881985246</v>
      </c>
      <c r="N86" s="367">
        <f t="shared" si="12"/>
        <v>131826.0042922245</v>
      </c>
      <c r="O86" s="367">
        <f t="shared" si="12"/>
        <v>135358.94120725611</v>
      </c>
      <c r="P86" s="367">
        <f t="shared" si="12"/>
        <v>138986.56083161055</v>
      </c>
      <c r="Q86" s="367">
        <f t="shared" si="12"/>
        <v>142711.40066189773</v>
      </c>
    </row>
    <row r="87" spans="1:17" ht="14.4">
      <c r="A87" s="370"/>
      <c r="B87" s="374"/>
      <c r="C87" s="374"/>
      <c r="D87" s="374"/>
      <c r="E87" s="374"/>
      <c r="F87" s="374"/>
      <c r="G87" s="374"/>
      <c r="H87" s="374"/>
      <c r="I87" s="374"/>
      <c r="J87" s="374"/>
      <c r="K87" s="374"/>
      <c r="L87" s="374"/>
      <c r="M87" s="374"/>
      <c r="N87" s="374"/>
      <c r="O87" s="374"/>
      <c r="P87" s="374"/>
      <c r="Q87" s="374"/>
    </row>
    <row r="88" spans="1:17" ht="14.4">
      <c r="A88" s="366" t="s">
        <v>68</v>
      </c>
      <c r="B88" s="368"/>
      <c r="C88" s="368"/>
      <c r="D88" s="368"/>
      <c r="E88" s="368"/>
      <c r="F88" s="368"/>
      <c r="G88" s="368"/>
      <c r="H88" s="368"/>
      <c r="I88" s="368"/>
      <c r="J88" s="368"/>
      <c r="K88" s="368"/>
      <c r="L88" s="368"/>
      <c r="M88" s="368"/>
      <c r="N88" s="368"/>
      <c r="O88" s="368"/>
      <c r="P88" s="368"/>
      <c r="Q88" s="368"/>
    </row>
    <row r="89" spans="1:17" ht="14.4">
      <c r="A89" s="366" t="s">
        <v>330</v>
      </c>
      <c r="B89" s="378">
        <f>+SUM(C89:Q89)</f>
        <v>17405.991521183645</v>
      </c>
      <c r="C89" s="367">
        <f>+Baseline_NaturalGas!D20</f>
        <v>958.02102749999995</v>
      </c>
      <c r="D89" s="367">
        <f>+Baseline_NaturalGas!E20</f>
        <v>983.69599103699989</v>
      </c>
      <c r="E89" s="367">
        <f>+Baseline_NaturalGas!F20</f>
        <v>1010.0590435967914</v>
      </c>
      <c r="F89" s="367">
        <f>+Baseline_NaturalGas!G20</f>
        <v>1037.1286259651854</v>
      </c>
      <c r="G89" s="367">
        <f>+Baseline_NaturalGas!H20</f>
        <v>1064.9236731410524</v>
      </c>
      <c r="H89" s="367">
        <f>+Baseline_NaturalGas!I20</f>
        <v>1093.4636275812325</v>
      </c>
      <c r="I89" s="367">
        <f>+Baseline_NaturalGas!J20</f>
        <v>1122.7684528004095</v>
      </c>
      <c r="J89" s="367">
        <f>+Baseline_NaturalGas!K20</f>
        <v>1152.8586473354603</v>
      </c>
      <c r="K89" s="367">
        <f>+Baseline_NaturalGas!L20</f>
        <v>1183.7552590840505</v>
      </c>
      <c r="L89" s="367">
        <f>+Baseline_NaturalGas!M20</f>
        <v>1215.4799000275029</v>
      </c>
      <c r="M89" s="367">
        <f>+Baseline_NaturalGas!N20</f>
        <v>1248.0547613482399</v>
      </c>
      <c r="N89" s="367">
        <f>+Baseline_NaturalGas!O20</f>
        <v>1281.5026289523728</v>
      </c>
      <c r="O89" s="367">
        <f>+Baseline_NaturalGas!P20</f>
        <v>1315.8468994082964</v>
      </c>
      <c r="P89" s="367">
        <f>+Baseline_NaturalGas!Q20</f>
        <v>1351.1115963124387</v>
      </c>
      <c r="Q89" s="367">
        <f>+Baseline_NaturalGas!R20</f>
        <v>1387.321387093612</v>
      </c>
    </row>
    <row r="90" spans="1:17" ht="14.4">
      <c r="A90" s="370"/>
      <c r="B90" s="369"/>
      <c r="C90" s="369"/>
      <c r="D90" s="369"/>
      <c r="E90" s="369"/>
      <c r="F90" s="369"/>
      <c r="G90" s="369"/>
      <c r="H90" s="369"/>
      <c r="I90" s="369"/>
      <c r="J90" s="369"/>
      <c r="K90" s="369"/>
      <c r="L90" s="369"/>
      <c r="M90" s="369"/>
      <c r="N90" s="369"/>
      <c r="O90" s="369"/>
      <c r="P90" s="369"/>
      <c r="Q90" s="369"/>
    </row>
    <row r="91" spans="1:17" ht="14.4">
      <c r="A91" s="366" t="s">
        <v>71</v>
      </c>
      <c r="B91" s="379"/>
      <c r="C91" s="379"/>
      <c r="D91" s="379"/>
      <c r="E91" s="379"/>
      <c r="F91" s="379"/>
      <c r="G91" s="379"/>
      <c r="H91" s="379"/>
      <c r="I91" s="379"/>
      <c r="J91" s="379"/>
      <c r="K91" s="379"/>
      <c r="L91" s="379"/>
      <c r="M91" s="379"/>
      <c r="N91" s="379"/>
      <c r="O91" s="379"/>
      <c r="P91" s="379"/>
      <c r="Q91" s="379"/>
    </row>
    <row r="92" spans="1:17" ht="14.4">
      <c r="A92" s="370"/>
      <c r="B92" s="379"/>
      <c r="C92" s="379"/>
      <c r="D92" s="379"/>
      <c r="E92" s="379"/>
      <c r="F92" s="379"/>
      <c r="G92" s="379"/>
      <c r="H92" s="379"/>
      <c r="I92" s="379"/>
      <c r="J92" s="379"/>
      <c r="K92" s="379"/>
      <c r="L92" s="379"/>
      <c r="M92" s="379"/>
      <c r="N92" s="379"/>
      <c r="O92" s="379"/>
      <c r="P92" s="379"/>
      <c r="Q92" s="379"/>
    </row>
    <row r="93" spans="1:17" ht="14.4">
      <c r="A93" s="366" t="s">
        <v>64</v>
      </c>
      <c r="B93" s="373"/>
      <c r="C93" s="367">
        <f>+Baseline_NaturalGas!D24</f>
        <v>1656.5089715892002</v>
      </c>
      <c r="D93" s="367">
        <f>+Baseline_NaturalGas!E24</f>
        <v>1656.5089715892002</v>
      </c>
      <c r="E93" s="367">
        <f>+Baseline_NaturalGas!F24</f>
        <v>1656.5089715892002</v>
      </c>
      <c r="F93" s="367">
        <f>+Baseline_NaturalGas!G24</f>
        <v>1656.5089715892002</v>
      </c>
      <c r="G93" s="367">
        <f>+Baseline_NaturalGas!H24</f>
        <v>1656.5089715892002</v>
      </c>
      <c r="H93" s="367">
        <f>+Baseline_NaturalGas!I24</f>
        <v>1656.5089715892002</v>
      </c>
      <c r="I93" s="367">
        <f>+Baseline_NaturalGas!J24</f>
        <v>1656.5089715892002</v>
      </c>
      <c r="J93" s="367">
        <f>+Baseline_NaturalGas!K24</f>
        <v>1656.5089715892002</v>
      </c>
      <c r="K93" s="367">
        <f>+Baseline_NaturalGas!L24</f>
        <v>1656.5089715892002</v>
      </c>
      <c r="L93" s="367">
        <f>+Baseline_NaturalGas!M24</f>
        <v>1656.5089715892002</v>
      </c>
      <c r="M93" s="367">
        <f>+Baseline_NaturalGas!N24</f>
        <v>1656.5089715892002</v>
      </c>
      <c r="N93" s="367">
        <f>+Baseline_NaturalGas!O24</f>
        <v>1656.5089715892002</v>
      </c>
      <c r="O93" s="367">
        <f>+Baseline_NaturalGas!P24</f>
        <v>1656.5089715892002</v>
      </c>
      <c r="P93" s="367">
        <f>+Baseline_NaturalGas!Q24</f>
        <v>1656.5089715892002</v>
      </c>
      <c r="Q93" s="367">
        <f>+Baseline_NaturalGas!R24</f>
        <v>1656.5089715892002</v>
      </c>
    </row>
    <row r="94" spans="1:17" ht="14.4">
      <c r="A94" s="366" t="s">
        <v>108</v>
      </c>
      <c r="B94" s="387">
        <f>+Baseline_NaturalGas!C25</f>
        <v>0.90200000000000002</v>
      </c>
      <c r="C94" s="373"/>
      <c r="D94" s="373"/>
      <c r="E94" s="373"/>
      <c r="F94" s="373"/>
      <c r="G94" s="373"/>
      <c r="H94" s="373"/>
      <c r="I94" s="373"/>
      <c r="J94" s="373"/>
      <c r="K94" s="373"/>
      <c r="L94" s="373"/>
      <c r="M94" s="373"/>
      <c r="N94" s="373"/>
      <c r="O94" s="373"/>
      <c r="P94" s="373"/>
      <c r="Q94" s="373"/>
    </row>
    <row r="95" spans="1:17" ht="14.4">
      <c r="A95" s="366" t="s">
        <v>346</v>
      </c>
      <c r="B95" s="373"/>
      <c r="C95" s="367">
        <f>+Baseline_NaturalGas!D26</f>
        <v>1741816.7092883086</v>
      </c>
      <c r="D95" s="367">
        <f>+Baseline_NaturalGas!E26</f>
        <v>1741816.7092883086</v>
      </c>
      <c r="E95" s="367">
        <f>+Baseline_NaturalGas!F26</f>
        <v>1741816.7092883086</v>
      </c>
      <c r="F95" s="367">
        <f>+Baseline_NaturalGas!G26</f>
        <v>1741816.7092883086</v>
      </c>
      <c r="G95" s="367">
        <f>+Baseline_NaturalGas!H26</f>
        <v>1741816.7092883086</v>
      </c>
      <c r="H95" s="367">
        <f>+Baseline_NaturalGas!I26</f>
        <v>1741816.7092883086</v>
      </c>
      <c r="I95" s="367">
        <f>+Baseline_NaturalGas!J26</f>
        <v>1741816.7092883086</v>
      </c>
      <c r="J95" s="367">
        <f>+Baseline_NaturalGas!K26</f>
        <v>1741816.7092883086</v>
      </c>
      <c r="K95" s="367">
        <f>+Baseline_NaturalGas!L26</f>
        <v>1741816.7092883086</v>
      </c>
      <c r="L95" s="367">
        <f>+Baseline_NaturalGas!M26</f>
        <v>1741816.7092883086</v>
      </c>
      <c r="M95" s="367">
        <f>+Baseline_NaturalGas!N26</f>
        <v>1741816.7092883086</v>
      </c>
      <c r="N95" s="367">
        <f>+Baseline_NaturalGas!O26</f>
        <v>1741816.7092883086</v>
      </c>
      <c r="O95" s="367">
        <f>+Baseline_NaturalGas!P26</f>
        <v>1741816.7092883086</v>
      </c>
      <c r="P95" s="367">
        <f>+Baseline_NaturalGas!Q26</f>
        <v>1741816.7092883086</v>
      </c>
      <c r="Q95" s="367">
        <f>+Baseline_NaturalGas!R26</f>
        <v>1741816.7092883086</v>
      </c>
    </row>
    <row r="96" spans="1:17" ht="14.4">
      <c r="A96" s="366" t="s">
        <v>66</v>
      </c>
      <c r="B96" s="373"/>
      <c r="C96" s="367">
        <f>+Baseline_NaturalGas!D27</f>
        <v>5.6086944825694198</v>
      </c>
      <c r="D96" s="367">
        <f>+Baseline_NaturalGas!E27</f>
        <v>5.5051083831058802</v>
      </c>
      <c r="E96" s="367">
        <f>+Baseline_NaturalGas!F27</f>
        <v>5.61862622286578</v>
      </c>
      <c r="F96" s="367">
        <f>+Baseline_NaturalGas!G27</f>
        <v>5.8406487933251103</v>
      </c>
      <c r="G96" s="367">
        <f>+Baseline_NaturalGas!H27</f>
        <v>5.8453745748678001</v>
      </c>
      <c r="H96" s="367">
        <f>+Baseline_NaturalGas!I27</f>
        <v>6.0672099673130804</v>
      </c>
      <c r="I96" s="367">
        <f>+Baseline_NaturalGas!J27</f>
        <v>6.39755565092754</v>
      </c>
      <c r="J96" s="367">
        <f>+Baseline_NaturalGas!K27</f>
        <v>6.39755565092754</v>
      </c>
      <c r="K96" s="367">
        <f>+Baseline_NaturalGas!L27</f>
        <v>6.39755565092754</v>
      </c>
      <c r="L96" s="367">
        <f>+Baseline_NaturalGas!M27</f>
        <v>6.39755565092754</v>
      </c>
      <c r="M96" s="367">
        <f>+Baseline_NaturalGas!N27</f>
        <v>6.39755565092754</v>
      </c>
      <c r="N96" s="367">
        <f>+Baseline_NaturalGas!O27</f>
        <v>6.39755565092754</v>
      </c>
      <c r="O96" s="367">
        <f>+Baseline_NaturalGas!P27</f>
        <v>6.39755565092754</v>
      </c>
      <c r="P96" s="367">
        <f>+Baseline_NaturalGas!Q27</f>
        <v>6.39755565092754</v>
      </c>
      <c r="Q96" s="367">
        <f>+Baseline_NaturalGas!R27</f>
        <v>6.39755565092754</v>
      </c>
    </row>
    <row r="97" spans="1:17" ht="14.4">
      <c r="A97" s="370"/>
      <c r="B97" s="379"/>
      <c r="C97" s="379"/>
      <c r="D97" s="379"/>
      <c r="E97" s="379"/>
      <c r="F97" s="379"/>
      <c r="G97" s="379"/>
      <c r="H97" s="379"/>
      <c r="I97" s="379"/>
      <c r="J97" s="379"/>
      <c r="K97" s="379"/>
      <c r="L97" s="379"/>
      <c r="M97" s="379"/>
      <c r="N97" s="379"/>
      <c r="O97" s="379"/>
      <c r="P97" s="379"/>
      <c r="Q97" s="379"/>
    </row>
    <row r="98" spans="1:17" ht="14.4">
      <c r="A98" s="366" t="s">
        <v>102</v>
      </c>
      <c r="B98" s="378">
        <f t="shared" ref="B98" si="13">+SUM(C98:Q98)</f>
        <v>160358.02702356796</v>
      </c>
      <c r="C98" s="375">
        <f>+C95*C96/1000</f>
        <v>9769.3177670325604</v>
      </c>
      <c r="D98" s="375">
        <f>+D95*D96/1000</f>
        <v>9588.8897681369654</v>
      </c>
      <c r="E98" s="375">
        <f t="shared" ref="E98:Q98" si="14">+E95*E96/1000</f>
        <v>9786.6170382330711</v>
      </c>
      <c r="F98" s="375">
        <f t="shared" si="14"/>
        <v>10173.339661298274</v>
      </c>
      <c r="G98" s="375">
        <f t="shared" si="14"/>
        <v>10181.571106553778</v>
      </c>
      <c r="H98" s="375">
        <f t="shared" si="14"/>
        <v>10567.967699826495</v>
      </c>
      <c r="I98" s="375">
        <f t="shared" si="14"/>
        <v>11143.36933138743</v>
      </c>
      <c r="J98" s="375">
        <f t="shared" si="14"/>
        <v>11143.36933138743</v>
      </c>
      <c r="K98" s="375">
        <f t="shared" si="14"/>
        <v>11143.36933138743</v>
      </c>
      <c r="L98" s="375">
        <f t="shared" si="14"/>
        <v>11143.36933138743</v>
      </c>
      <c r="M98" s="375">
        <f t="shared" si="14"/>
        <v>11143.36933138743</v>
      </c>
      <c r="N98" s="375">
        <f t="shared" si="14"/>
        <v>11143.36933138743</v>
      </c>
      <c r="O98" s="375">
        <f t="shared" si="14"/>
        <v>11143.36933138743</v>
      </c>
      <c r="P98" s="375">
        <f t="shared" si="14"/>
        <v>11143.36933138743</v>
      </c>
      <c r="Q98" s="375">
        <f t="shared" si="14"/>
        <v>11143.36933138743</v>
      </c>
    </row>
    <row r="99" spans="1:17" ht="14.4">
      <c r="A99" s="370"/>
      <c r="B99" s="373"/>
      <c r="C99" s="373"/>
      <c r="D99" s="373"/>
      <c r="E99" s="373"/>
      <c r="F99" s="373"/>
      <c r="G99" s="373"/>
      <c r="H99" s="373"/>
      <c r="I99" s="373"/>
      <c r="J99" s="373"/>
      <c r="K99" s="373"/>
      <c r="L99" s="373"/>
      <c r="M99" s="373"/>
      <c r="N99" s="373"/>
      <c r="O99" s="373"/>
      <c r="P99" s="373"/>
      <c r="Q99" s="373"/>
    </row>
    <row r="100" spans="1:17" ht="14.4">
      <c r="A100" s="370"/>
      <c r="B100" s="379"/>
      <c r="C100" s="379"/>
      <c r="D100" s="379"/>
      <c r="E100" s="379"/>
      <c r="F100" s="379"/>
      <c r="G100" s="379"/>
      <c r="H100" s="379"/>
      <c r="I100" s="379"/>
      <c r="J100" s="379"/>
      <c r="K100" s="379"/>
      <c r="L100" s="379"/>
      <c r="M100" s="379"/>
      <c r="N100" s="379"/>
      <c r="O100" s="379"/>
      <c r="P100" s="379"/>
      <c r="Q100" s="379"/>
    </row>
    <row r="101" spans="1:17" ht="14.4">
      <c r="A101" s="366" t="s">
        <v>101</v>
      </c>
      <c r="B101" s="373"/>
      <c r="C101" s="375">
        <f>+C98+C89</f>
        <v>10727.338794532559</v>
      </c>
      <c r="D101" s="375">
        <f t="shared" ref="D101:Q101" si="15">+D98+D89</f>
        <v>10572.585759173966</v>
      </c>
      <c r="E101" s="375">
        <f t="shared" si="15"/>
        <v>10796.676081829863</v>
      </c>
      <c r="F101" s="375">
        <f t="shared" si="15"/>
        <v>11210.46828726346</v>
      </c>
      <c r="G101" s="375">
        <f t="shared" si="15"/>
        <v>11246.494779694831</v>
      </c>
      <c r="H101" s="375">
        <f t="shared" si="15"/>
        <v>11661.431327407727</v>
      </c>
      <c r="I101" s="375">
        <f t="shared" si="15"/>
        <v>12266.13778418784</v>
      </c>
      <c r="J101" s="375">
        <f t="shared" si="15"/>
        <v>12296.227978722891</v>
      </c>
      <c r="K101" s="375">
        <f t="shared" si="15"/>
        <v>12327.124590471481</v>
      </c>
      <c r="L101" s="375">
        <f t="shared" si="15"/>
        <v>12358.849231414933</v>
      </c>
      <c r="M101" s="375">
        <f t="shared" si="15"/>
        <v>12391.42409273567</v>
      </c>
      <c r="N101" s="375">
        <f t="shared" si="15"/>
        <v>12424.871960339802</v>
      </c>
      <c r="O101" s="375">
        <f t="shared" si="15"/>
        <v>12459.216230795726</v>
      </c>
      <c r="P101" s="375">
        <f t="shared" si="15"/>
        <v>12494.480927699869</v>
      </c>
      <c r="Q101" s="375">
        <f t="shared" si="15"/>
        <v>12530.690718481042</v>
      </c>
    </row>
    <row r="102" spans="1:17" ht="14.4">
      <c r="A102" s="370"/>
      <c r="B102" s="379"/>
      <c r="C102" s="379"/>
      <c r="D102" s="379"/>
      <c r="E102" s="379"/>
      <c r="F102" s="379"/>
      <c r="G102" s="379"/>
      <c r="H102" s="379"/>
      <c r="I102" s="379"/>
      <c r="J102" s="379"/>
      <c r="K102" s="379"/>
      <c r="L102" s="379"/>
      <c r="M102" s="379"/>
      <c r="N102" s="379"/>
      <c r="O102" s="379"/>
      <c r="P102" s="379"/>
      <c r="Q102" s="379"/>
    </row>
    <row r="103" spans="1:17" ht="14.4">
      <c r="A103" s="366" t="s">
        <v>73</v>
      </c>
      <c r="B103" s="378">
        <f>+SUM(C103:Q103)</f>
        <v>10913.148175758926</v>
      </c>
      <c r="C103" s="381">
        <f>+Baseline_NaturalGas!$D$5*(1+$C$7)/'Initial Data'!$C$19</f>
        <v>1091.3148175758929</v>
      </c>
      <c r="D103" s="381">
        <f>+Baseline_NaturalGas!$D$5*(1+$C$7)/'Initial Data'!$C$19</f>
        <v>1091.3148175758929</v>
      </c>
      <c r="E103" s="381">
        <f>+Baseline_NaturalGas!$D$5*(1+$C$7)/'Initial Data'!$C$19</f>
        <v>1091.3148175758929</v>
      </c>
      <c r="F103" s="381">
        <f>+Baseline_NaturalGas!$D$5*(1+$C$7)/'Initial Data'!$C$19</f>
        <v>1091.3148175758929</v>
      </c>
      <c r="G103" s="381">
        <f>+Baseline_NaturalGas!$D$5*(1+$C$7)/'Initial Data'!$C$19</f>
        <v>1091.3148175758929</v>
      </c>
      <c r="H103" s="381">
        <f>+Baseline_NaturalGas!$D$5*(1+$C$7)/'Initial Data'!$C$19</f>
        <v>1091.3148175758929</v>
      </c>
      <c r="I103" s="381">
        <f>+Baseline_NaturalGas!$D$5*(1+$C$7)/'Initial Data'!$C$19</f>
        <v>1091.3148175758929</v>
      </c>
      <c r="J103" s="381">
        <f>+Baseline_NaturalGas!$D$5*(1+$C$7)/'Initial Data'!$C$19</f>
        <v>1091.3148175758929</v>
      </c>
      <c r="K103" s="381">
        <f>+Baseline_NaturalGas!$D$5*(1+$C$7)/'Initial Data'!$C$19</f>
        <v>1091.3148175758929</v>
      </c>
      <c r="L103" s="381">
        <f>+Baseline_NaturalGas!$D$5*(1+$C$7)/'Initial Data'!$C$19</f>
        <v>1091.3148175758929</v>
      </c>
      <c r="M103" s="381">
        <v>0</v>
      </c>
      <c r="N103" s="381">
        <v>0</v>
      </c>
      <c r="O103" s="381">
        <v>0</v>
      </c>
      <c r="P103" s="381">
        <v>0</v>
      </c>
      <c r="Q103" s="381">
        <v>0</v>
      </c>
    </row>
    <row r="104" spans="1:17" ht="14.4">
      <c r="A104" s="366" t="s">
        <v>74</v>
      </c>
      <c r="B104" s="378">
        <f>+SUM(C104:Q104)</f>
        <v>10913.148175758926</v>
      </c>
      <c r="C104" s="367">
        <f>SUM(C103:C103)</f>
        <v>1091.3148175758929</v>
      </c>
      <c r="D104" s="367">
        <f t="shared" ref="D104:Q104" si="16">SUM(D103:D103)</f>
        <v>1091.3148175758929</v>
      </c>
      <c r="E104" s="367">
        <f t="shared" si="16"/>
        <v>1091.3148175758929</v>
      </c>
      <c r="F104" s="367">
        <f t="shared" si="16"/>
        <v>1091.3148175758929</v>
      </c>
      <c r="G104" s="367">
        <f t="shared" si="16"/>
        <v>1091.3148175758929</v>
      </c>
      <c r="H104" s="367">
        <f t="shared" si="16"/>
        <v>1091.3148175758929</v>
      </c>
      <c r="I104" s="367">
        <f t="shared" si="16"/>
        <v>1091.3148175758929</v>
      </c>
      <c r="J104" s="367">
        <f t="shared" si="16"/>
        <v>1091.3148175758929</v>
      </c>
      <c r="K104" s="367">
        <f t="shared" si="16"/>
        <v>1091.3148175758929</v>
      </c>
      <c r="L104" s="367">
        <f t="shared" si="16"/>
        <v>1091.3148175758929</v>
      </c>
      <c r="M104" s="367">
        <f t="shared" si="16"/>
        <v>0</v>
      </c>
      <c r="N104" s="367">
        <f t="shared" si="16"/>
        <v>0</v>
      </c>
      <c r="O104" s="367">
        <f t="shared" si="16"/>
        <v>0</v>
      </c>
      <c r="P104" s="367">
        <f t="shared" si="16"/>
        <v>0</v>
      </c>
      <c r="Q104" s="367">
        <f t="shared" si="16"/>
        <v>0</v>
      </c>
    </row>
    <row r="105" spans="1:17" ht="14.4">
      <c r="A105" s="90"/>
      <c r="B105" s="388"/>
      <c r="C105" s="373"/>
      <c r="D105" s="373"/>
      <c r="E105" s="373"/>
      <c r="F105" s="373"/>
      <c r="G105" s="373"/>
      <c r="H105" s="373"/>
      <c r="I105" s="373"/>
      <c r="J105" s="373"/>
      <c r="K105" s="373"/>
      <c r="L105" s="373"/>
      <c r="M105" s="373"/>
      <c r="N105" s="373"/>
      <c r="O105" s="373"/>
      <c r="P105" s="373"/>
      <c r="Q105" s="373"/>
    </row>
    <row r="106" spans="1:17" ht="14.4">
      <c r="A106" s="366" t="s">
        <v>75</v>
      </c>
      <c r="B106" s="378">
        <f>+SUM(C106:Q106)</f>
        <v>188677.16672051061</v>
      </c>
      <c r="C106" s="367">
        <f>+C101+C104</f>
        <v>11818.653612108452</v>
      </c>
      <c r="D106" s="367">
        <f t="shared" ref="D106:Q106" si="17">+D101+D104</f>
        <v>11663.900576749858</v>
      </c>
      <c r="E106" s="367">
        <f t="shared" si="17"/>
        <v>11887.990899405755</v>
      </c>
      <c r="F106" s="367">
        <f t="shared" si="17"/>
        <v>12301.783104839353</v>
      </c>
      <c r="G106" s="367">
        <f t="shared" si="17"/>
        <v>12337.809597270723</v>
      </c>
      <c r="H106" s="367">
        <f t="shared" si="17"/>
        <v>12752.746144983619</v>
      </c>
      <c r="I106" s="367">
        <f t="shared" si="17"/>
        <v>13357.452601763733</v>
      </c>
      <c r="J106" s="367">
        <f t="shared" si="17"/>
        <v>13387.542796298783</v>
      </c>
      <c r="K106" s="367">
        <f t="shared" si="17"/>
        <v>13418.439408047374</v>
      </c>
      <c r="L106" s="367">
        <f t="shared" si="17"/>
        <v>13450.164048990826</v>
      </c>
      <c r="M106" s="367">
        <f t="shared" si="17"/>
        <v>12391.42409273567</v>
      </c>
      <c r="N106" s="367">
        <f t="shared" si="17"/>
        <v>12424.871960339802</v>
      </c>
      <c r="O106" s="367">
        <f t="shared" si="17"/>
        <v>12459.216230795726</v>
      </c>
      <c r="P106" s="367">
        <f t="shared" si="17"/>
        <v>12494.480927699869</v>
      </c>
      <c r="Q106" s="367">
        <f t="shared" si="17"/>
        <v>12530.690718481042</v>
      </c>
    </row>
    <row r="107" spans="1:17">
      <c r="A107" s="74"/>
    </row>
    <row r="108" spans="1:17" ht="14.4">
      <c r="A108" s="366" t="s">
        <v>76</v>
      </c>
      <c r="B108" s="378">
        <f>+SUM(C108:Q108)</f>
        <v>1601847.6914748887</v>
      </c>
      <c r="C108" s="367">
        <f>+C86-C106</f>
        <v>86731.34638789155</v>
      </c>
      <c r="D108" s="367">
        <f t="shared" ref="D108:Q108" si="18">+D86-D106</f>
        <v>89527.239423250139</v>
      </c>
      <c r="E108" s="367">
        <f t="shared" si="18"/>
        <v>92015.071652594226</v>
      </c>
      <c r="F108" s="367">
        <f t="shared" si="18"/>
        <v>94385.881523554213</v>
      </c>
      <c r="G108" s="367">
        <f t="shared" si="18"/>
        <v>97209.084443163782</v>
      </c>
      <c r="H108" s="367">
        <f t="shared" si="18"/>
        <v>99730.004655734549</v>
      </c>
      <c r="I108" s="367">
        <f t="shared" si="18"/>
        <v>102139.83592041369</v>
      </c>
      <c r="J108" s="367">
        <f t="shared" si="18"/>
        <v>105205.07305827294</v>
      </c>
      <c r="K108" s="367">
        <f t="shared" si="18"/>
        <v>108352.4585514269</v>
      </c>
      <c r="L108" s="367">
        <f t="shared" si="18"/>
        <v>111584.19397579735</v>
      </c>
      <c r="M108" s="367">
        <f t="shared" si="18"/>
        <v>115993.85472711679</v>
      </c>
      <c r="N108" s="367">
        <f t="shared" si="18"/>
        <v>119401.1323318847</v>
      </c>
      <c r="O108" s="367">
        <f t="shared" si="18"/>
        <v>122899.72497646039</v>
      </c>
      <c r="P108" s="367">
        <f t="shared" si="18"/>
        <v>126492.07990391068</v>
      </c>
      <c r="Q108" s="367">
        <f t="shared" si="18"/>
        <v>130180.70994341669</v>
      </c>
    </row>
    <row r="109" spans="1:17" ht="14.4">
      <c r="A109" s="369"/>
      <c r="B109" s="373"/>
      <c r="C109" s="373"/>
      <c r="D109" s="373"/>
      <c r="E109" s="373"/>
      <c r="F109" s="373"/>
      <c r="G109" s="373"/>
      <c r="H109" s="373"/>
      <c r="I109" s="373"/>
      <c r="J109" s="373"/>
      <c r="K109" s="373"/>
      <c r="L109" s="373"/>
      <c r="M109" s="373"/>
      <c r="N109" s="373"/>
      <c r="O109" s="373"/>
      <c r="P109" s="373"/>
      <c r="Q109" s="373"/>
    </row>
    <row r="110" spans="1:17" ht="14.4">
      <c r="A110" s="366" t="s">
        <v>222</v>
      </c>
      <c r="B110" s="380">
        <f>+Baseline_NaturalGas!C43</f>
        <v>0.7</v>
      </c>
      <c r="C110" s="367">
        <f>IF((+$B$110*C108)&lt;0,"0",(+$B$110*C108))</f>
        <v>60711.942471524082</v>
      </c>
      <c r="D110" s="367">
        <f t="shared" ref="D110:Q110" si="19">IF((+$B$110*D108)&lt;0,"0",(+$B$110*D108))</f>
        <v>62669.06759627509</v>
      </c>
      <c r="E110" s="367">
        <f t="shared" si="19"/>
        <v>64410.550156815953</v>
      </c>
      <c r="F110" s="367">
        <f t="shared" si="19"/>
        <v>66070.117066487946</v>
      </c>
      <c r="G110" s="367">
        <f t="shared" si="19"/>
        <v>68046.359110214646</v>
      </c>
      <c r="H110" s="367">
        <f t="shared" si="19"/>
        <v>69811.003259014178</v>
      </c>
      <c r="I110" s="367">
        <f t="shared" si="19"/>
        <v>71497.885144289583</v>
      </c>
      <c r="J110" s="367">
        <f t="shared" si="19"/>
        <v>73643.551140791053</v>
      </c>
      <c r="K110" s="367">
        <f t="shared" si="19"/>
        <v>75846.720985998822</v>
      </c>
      <c r="L110" s="367">
        <f t="shared" si="19"/>
        <v>78108.935783058143</v>
      </c>
      <c r="M110" s="367">
        <f t="shared" si="19"/>
        <v>81195.698308981751</v>
      </c>
      <c r="N110" s="367">
        <f t="shared" si="19"/>
        <v>83580.792632319281</v>
      </c>
      <c r="O110" s="367">
        <f t="shared" si="19"/>
        <v>86029.807483522265</v>
      </c>
      <c r="P110" s="367">
        <f t="shared" si="19"/>
        <v>88544.455932737474</v>
      </c>
      <c r="Q110" s="367">
        <f t="shared" si="19"/>
        <v>91126.496960391683</v>
      </c>
    </row>
    <row r="111" spans="1:17" ht="14.4">
      <c r="A111" s="366" t="s">
        <v>77</v>
      </c>
      <c r="B111" s="378">
        <f>+SUM(C111:Q111)</f>
        <v>1121293.384032422</v>
      </c>
      <c r="C111" s="367">
        <f>SUM(C110:C110)</f>
        <v>60711.942471524082</v>
      </c>
      <c r="D111" s="367">
        <f t="shared" ref="D111:Q111" si="20">SUM(D110:D110)</f>
        <v>62669.06759627509</v>
      </c>
      <c r="E111" s="367">
        <f t="shared" si="20"/>
        <v>64410.550156815953</v>
      </c>
      <c r="F111" s="367">
        <f t="shared" si="20"/>
        <v>66070.117066487946</v>
      </c>
      <c r="G111" s="367">
        <f t="shared" si="20"/>
        <v>68046.359110214646</v>
      </c>
      <c r="H111" s="367">
        <f t="shared" si="20"/>
        <v>69811.003259014178</v>
      </c>
      <c r="I111" s="367">
        <f t="shared" si="20"/>
        <v>71497.885144289583</v>
      </c>
      <c r="J111" s="367">
        <f t="shared" si="20"/>
        <v>73643.551140791053</v>
      </c>
      <c r="K111" s="367">
        <f t="shared" si="20"/>
        <v>75846.720985998822</v>
      </c>
      <c r="L111" s="367">
        <f t="shared" si="20"/>
        <v>78108.935783058143</v>
      </c>
      <c r="M111" s="367">
        <f t="shared" si="20"/>
        <v>81195.698308981751</v>
      </c>
      <c r="N111" s="367">
        <f t="shared" si="20"/>
        <v>83580.792632319281</v>
      </c>
      <c r="O111" s="367">
        <f t="shared" si="20"/>
        <v>86029.807483522265</v>
      </c>
      <c r="P111" s="367">
        <f t="shared" si="20"/>
        <v>88544.455932737474</v>
      </c>
      <c r="Q111" s="367">
        <f t="shared" si="20"/>
        <v>91126.496960391683</v>
      </c>
    </row>
    <row r="112" spans="1:17" ht="14.4">
      <c r="A112" s="369"/>
      <c r="B112" s="373"/>
      <c r="C112" s="373"/>
      <c r="D112" s="373"/>
      <c r="E112" s="373"/>
      <c r="F112" s="373"/>
      <c r="G112" s="373"/>
      <c r="H112" s="373"/>
      <c r="I112" s="373"/>
      <c r="J112" s="373"/>
      <c r="K112" s="373"/>
      <c r="L112" s="373"/>
      <c r="M112" s="373"/>
      <c r="N112" s="373"/>
      <c r="O112" s="373"/>
      <c r="P112" s="373"/>
      <c r="Q112" s="373"/>
    </row>
    <row r="113" spans="1:17" ht="14.4">
      <c r="A113" s="366" t="s">
        <v>78</v>
      </c>
      <c r="B113" s="378">
        <f>+SUM(C113:Q113)</f>
        <v>480554.30744246661</v>
      </c>
      <c r="C113" s="367">
        <f>+C108-C111</f>
        <v>26019.403916367468</v>
      </c>
      <c r="D113" s="367">
        <f t="shared" ref="D113:Q113" si="21">+D108-D111</f>
        <v>26858.171826975049</v>
      </c>
      <c r="E113" s="367">
        <f t="shared" si="21"/>
        <v>27604.521495778274</v>
      </c>
      <c r="F113" s="367">
        <f t="shared" si="21"/>
        <v>28315.764457066267</v>
      </c>
      <c r="G113" s="367">
        <f t="shared" si="21"/>
        <v>29162.725332949136</v>
      </c>
      <c r="H113" s="367">
        <f t="shared" si="21"/>
        <v>29919.00139672037</v>
      </c>
      <c r="I113" s="367">
        <f t="shared" si="21"/>
        <v>30641.950776124111</v>
      </c>
      <c r="J113" s="367">
        <f t="shared" si="21"/>
        <v>31561.521917481892</v>
      </c>
      <c r="K113" s="367">
        <f t="shared" si="21"/>
        <v>32505.737565428077</v>
      </c>
      <c r="L113" s="367">
        <f t="shared" si="21"/>
        <v>33475.258192739202</v>
      </c>
      <c r="M113" s="367">
        <f t="shared" si="21"/>
        <v>34798.15641813504</v>
      </c>
      <c r="N113" s="367">
        <f t="shared" si="21"/>
        <v>35820.339699565418</v>
      </c>
      <c r="O113" s="367">
        <f t="shared" si="21"/>
        <v>36869.917492938126</v>
      </c>
      <c r="P113" s="367">
        <f t="shared" si="21"/>
        <v>37947.623971173205</v>
      </c>
      <c r="Q113" s="367">
        <f t="shared" si="21"/>
        <v>39054.212983025005</v>
      </c>
    </row>
    <row r="114" spans="1:17" ht="14.4">
      <c r="A114" s="395" t="s">
        <v>331</v>
      </c>
      <c r="B114" s="378">
        <f>+SUM(C114:Q114)</f>
        <v>10913.148175758926</v>
      </c>
      <c r="C114" s="381">
        <f>+C103</f>
        <v>1091.3148175758929</v>
      </c>
      <c r="D114" s="381">
        <f t="shared" ref="D114:Q114" si="22">+D103</f>
        <v>1091.3148175758929</v>
      </c>
      <c r="E114" s="381">
        <f t="shared" si="22"/>
        <v>1091.3148175758929</v>
      </c>
      <c r="F114" s="381">
        <f t="shared" si="22"/>
        <v>1091.3148175758929</v>
      </c>
      <c r="G114" s="381">
        <f t="shared" si="22"/>
        <v>1091.3148175758929</v>
      </c>
      <c r="H114" s="381">
        <f t="shared" si="22"/>
        <v>1091.3148175758929</v>
      </c>
      <c r="I114" s="381">
        <f t="shared" si="22"/>
        <v>1091.3148175758929</v>
      </c>
      <c r="J114" s="381">
        <f t="shared" si="22"/>
        <v>1091.3148175758929</v>
      </c>
      <c r="K114" s="381">
        <f t="shared" si="22"/>
        <v>1091.3148175758929</v>
      </c>
      <c r="L114" s="381">
        <f t="shared" si="22"/>
        <v>1091.3148175758929</v>
      </c>
      <c r="M114" s="381">
        <f t="shared" si="22"/>
        <v>0</v>
      </c>
      <c r="N114" s="381">
        <f t="shared" si="22"/>
        <v>0</v>
      </c>
      <c r="O114" s="381">
        <f t="shared" si="22"/>
        <v>0</v>
      </c>
      <c r="P114" s="381">
        <f t="shared" si="22"/>
        <v>0</v>
      </c>
      <c r="Q114" s="381">
        <f t="shared" si="22"/>
        <v>0</v>
      </c>
    </row>
    <row r="115" spans="1:17" ht="14.4">
      <c r="A115" s="395" t="s">
        <v>332</v>
      </c>
      <c r="B115" s="378">
        <f>+Baseline_NaturalGas!C93</f>
        <v>0</v>
      </c>
      <c r="C115" s="367">
        <f>+Baseline_NaturalGas!D93</f>
        <v>0</v>
      </c>
      <c r="D115" s="367">
        <f>+Baseline_NaturalGas!E93</f>
        <v>0</v>
      </c>
      <c r="E115" s="367">
        <f>+Baseline_NaturalGas!F93</f>
        <v>0</v>
      </c>
      <c r="F115" s="367">
        <f>+Baseline_NaturalGas!G93</f>
        <v>0</v>
      </c>
      <c r="G115" s="367">
        <f>+Baseline_NaturalGas!H93</f>
        <v>0</v>
      </c>
      <c r="H115" s="367">
        <f>+Baseline_NaturalGas!I93</f>
        <v>0</v>
      </c>
      <c r="I115" s="367">
        <f>+Baseline_NaturalGas!J93</f>
        <v>0</v>
      </c>
      <c r="J115" s="367">
        <f>+Baseline_NaturalGas!K93</f>
        <v>0</v>
      </c>
      <c r="K115" s="367">
        <f>+Baseline_NaturalGas!L93</f>
        <v>0</v>
      </c>
      <c r="L115" s="367">
        <f>+Baseline_NaturalGas!M93</f>
        <v>0</v>
      </c>
      <c r="M115" s="367">
        <f>+Baseline_NaturalGas!N93</f>
        <v>0</v>
      </c>
      <c r="N115" s="367">
        <f>+Baseline_NaturalGas!O93</f>
        <v>0</v>
      </c>
      <c r="O115" s="367">
        <f>+Baseline_NaturalGas!P93</f>
        <v>0</v>
      </c>
      <c r="P115" s="367">
        <f>+Baseline_NaturalGas!Q93</f>
        <v>0</v>
      </c>
      <c r="Q115" s="367">
        <f>+Baseline_NaturalGas!R93</f>
        <v>0</v>
      </c>
    </row>
    <row r="116" spans="1:17" ht="14.4">
      <c r="A116" s="510"/>
      <c r="B116" s="511"/>
      <c r="C116" s="511"/>
      <c r="D116" s="511"/>
      <c r="E116" s="511"/>
      <c r="F116" s="511"/>
      <c r="G116" s="511"/>
      <c r="H116" s="511"/>
      <c r="I116" s="511"/>
      <c r="J116" s="511"/>
      <c r="K116" s="511"/>
      <c r="L116" s="511"/>
      <c r="M116" s="511"/>
      <c r="N116" s="511"/>
      <c r="O116" s="511"/>
      <c r="P116" s="511"/>
      <c r="Q116" s="511"/>
    </row>
    <row r="117" spans="1:17" ht="14.4">
      <c r="A117" s="366" t="s">
        <v>110</v>
      </c>
      <c r="B117" s="381">
        <f>-Baseline_NaturalGas!D5*(1+$C$7)</f>
        <v>-10913.148175758928</v>
      </c>
      <c r="C117" s="367">
        <f>+C113+C114+C115</f>
        <v>27110.718733943362</v>
      </c>
      <c r="D117" s="367">
        <f t="shared" ref="D117:Q117" si="23">+D113+D114+D115</f>
        <v>27949.486644550943</v>
      </c>
      <c r="E117" s="367">
        <f t="shared" si="23"/>
        <v>28695.836313354168</v>
      </c>
      <c r="F117" s="367">
        <f t="shared" si="23"/>
        <v>29407.079274642161</v>
      </c>
      <c r="G117" s="367">
        <f t="shared" si="23"/>
        <v>30254.04015052503</v>
      </c>
      <c r="H117" s="367">
        <f t="shared" si="23"/>
        <v>31010.316214296265</v>
      </c>
      <c r="I117" s="367">
        <f t="shared" si="23"/>
        <v>31733.265593700005</v>
      </c>
      <c r="J117" s="367">
        <f t="shared" si="23"/>
        <v>32652.836735057786</v>
      </c>
      <c r="K117" s="367">
        <f t="shared" si="23"/>
        <v>33597.052383003967</v>
      </c>
      <c r="L117" s="367">
        <f t="shared" si="23"/>
        <v>34566.573010315093</v>
      </c>
      <c r="M117" s="367">
        <f t="shared" si="23"/>
        <v>34798.15641813504</v>
      </c>
      <c r="N117" s="367">
        <f t="shared" si="23"/>
        <v>35820.339699565418</v>
      </c>
      <c r="O117" s="367">
        <f t="shared" si="23"/>
        <v>36869.917492938126</v>
      </c>
      <c r="P117" s="367">
        <f t="shared" si="23"/>
        <v>37947.623971173205</v>
      </c>
      <c r="Q117" s="367">
        <f t="shared" si="23"/>
        <v>39054.212983025005</v>
      </c>
    </row>
    <row r="118" spans="1:17" ht="15.6">
      <c r="A118" s="366" t="s">
        <v>51</v>
      </c>
      <c r="B118" s="132">
        <f>IRR(B117:Q117)</f>
        <v>2.5138309809671071</v>
      </c>
      <c r="C118" s="390"/>
      <c r="D118" s="390"/>
      <c r="E118" s="390"/>
      <c r="F118" s="390"/>
      <c r="G118" s="390"/>
      <c r="H118" s="390"/>
      <c r="I118" s="390"/>
      <c r="J118" s="390"/>
      <c r="K118" s="390"/>
      <c r="L118" s="390"/>
      <c r="M118" s="390"/>
      <c r="N118" s="390"/>
      <c r="O118" s="390"/>
      <c r="P118" s="390"/>
      <c r="Q118" s="390"/>
    </row>
    <row r="119" spans="1:17" ht="15.6">
      <c r="A119" s="366" t="s">
        <v>267</v>
      </c>
      <c r="B119" s="303">
        <f>NPV('Initial Data'!C21/100,B117:Q117)</f>
        <v>179375.32856956442</v>
      </c>
      <c r="C119" s="373"/>
      <c r="D119" s="373"/>
      <c r="E119" s="373"/>
      <c r="F119" s="373"/>
      <c r="G119" s="373"/>
      <c r="H119" s="373"/>
      <c r="I119" s="373"/>
      <c r="J119" s="373"/>
      <c r="K119" s="373"/>
      <c r="L119" s="373"/>
      <c r="M119" s="373"/>
      <c r="N119" s="373"/>
      <c r="O119" s="373"/>
      <c r="P119" s="373"/>
      <c r="Q119" s="373"/>
    </row>
    <row r="120" spans="1:17" ht="14.4">
      <c r="A120" s="370"/>
      <c r="B120" s="374"/>
      <c r="C120" s="374"/>
      <c r="D120" s="374"/>
      <c r="E120" s="374"/>
      <c r="F120" s="374"/>
      <c r="G120" s="374"/>
      <c r="H120" s="374"/>
      <c r="I120" s="374"/>
      <c r="J120" s="374"/>
      <c r="K120" s="374"/>
      <c r="L120" s="374"/>
      <c r="M120" s="374"/>
      <c r="N120" s="374"/>
      <c r="O120" s="374"/>
      <c r="P120" s="374"/>
      <c r="Q120" s="374"/>
    </row>
    <row r="121" spans="1:17" ht="14.4">
      <c r="A121" s="508" t="s">
        <v>329</v>
      </c>
      <c r="B121" s="509"/>
      <c r="C121" s="509"/>
      <c r="D121" s="509"/>
      <c r="E121" s="509"/>
      <c r="F121" s="509"/>
      <c r="G121" s="509"/>
      <c r="H121" s="509"/>
      <c r="I121" s="509"/>
      <c r="J121" s="509"/>
      <c r="K121" s="509"/>
      <c r="L121" s="509"/>
      <c r="M121" s="509"/>
      <c r="N121" s="509"/>
      <c r="O121" s="509"/>
      <c r="P121" s="509"/>
      <c r="Q121" s="509"/>
    </row>
    <row r="122" spans="1:17" ht="14.4">
      <c r="A122" s="371" t="s">
        <v>333</v>
      </c>
      <c r="B122" s="372"/>
      <c r="C122" s="372"/>
      <c r="D122" s="372"/>
      <c r="E122" s="372"/>
      <c r="F122" s="372"/>
      <c r="G122" s="372"/>
      <c r="H122" s="372"/>
      <c r="I122" s="372"/>
      <c r="J122" s="372"/>
      <c r="K122" s="372"/>
      <c r="L122" s="372"/>
      <c r="M122" s="372"/>
      <c r="N122" s="372"/>
      <c r="O122" s="372"/>
      <c r="P122" s="372"/>
      <c r="Q122" s="372"/>
    </row>
    <row r="123" spans="1:17" ht="27">
      <c r="A123" s="376"/>
      <c r="B123" s="304" t="s">
        <v>35</v>
      </c>
      <c r="C123" s="352" t="s">
        <v>407</v>
      </c>
      <c r="D123" s="352" t="s">
        <v>408</v>
      </c>
      <c r="E123" s="352" t="s">
        <v>409</v>
      </c>
      <c r="F123" s="352" t="s">
        <v>410</v>
      </c>
      <c r="G123" s="352" t="s">
        <v>411</v>
      </c>
      <c r="H123" s="352" t="s">
        <v>412</v>
      </c>
      <c r="I123" s="352" t="s">
        <v>413</v>
      </c>
      <c r="J123" s="352" t="s">
        <v>414</v>
      </c>
      <c r="K123" s="352" t="s">
        <v>415</v>
      </c>
      <c r="L123" s="352" t="s">
        <v>416</v>
      </c>
      <c r="M123" s="352" t="s">
        <v>417</v>
      </c>
      <c r="N123" s="352" t="s">
        <v>418</v>
      </c>
      <c r="O123" s="352" t="s">
        <v>419</v>
      </c>
      <c r="P123" s="352" t="s">
        <v>420</v>
      </c>
      <c r="Q123" s="352" t="s">
        <v>421</v>
      </c>
    </row>
    <row r="124" spans="1:17" ht="14.4">
      <c r="A124" s="363" t="s">
        <v>290</v>
      </c>
      <c r="B124" s="365"/>
      <c r="C124" s="367">
        <f>+Baseline_NaturalGas!D10</f>
        <v>219000</v>
      </c>
      <c r="D124" s="367">
        <f>+Baseline_NaturalGas!E10</f>
        <v>219000</v>
      </c>
      <c r="E124" s="367">
        <f>+Baseline_NaturalGas!F10</f>
        <v>219000</v>
      </c>
      <c r="F124" s="367">
        <f>+Baseline_NaturalGas!G10</f>
        <v>219000</v>
      </c>
      <c r="G124" s="367">
        <f>+Baseline_NaturalGas!H10</f>
        <v>219000</v>
      </c>
      <c r="H124" s="367">
        <f>+Baseline_NaturalGas!I10</f>
        <v>219000</v>
      </c>
      <c r="I124" s="367">
        <f>+Baseline_NaturalGas!J10</f>
        <v>219000</v>
      </c>
      <c r="J124" s="367">
        <f>+Baseline_NaturalGas!K10</f>
        <v>219000</v>
      </c>
      <c r="K124" s="367">
        <f>+Baseline_NaturalGas!L10</f>
        <v>219000</v>
      </c>
      <c r="L124" s="367">
        <f>+Baseline_NaturalGas!M10</f>
        <v>219000</v>
      </c>
      <c r="M124" s="367">
        <f>+Baseline_NaturalGas!N10</f>
        <v>219000</v>
      </c>
      <c r="N124" s="367">
        <f>+Baseline_NaturalGas!O10</f>
        <v>219000</v>
      </c>
      <c r="O124" s="367">
        <f>+Baseline_NaturalGas!P10</f>
        <v>219000</v>
      </c>
      <c r="P124" s="367">
        <f>+Baseline_NaturalGas!Q10</f>
        <v>219000</v>
      </c>
      <c r="Q124" s="367">
        <f>+Baseline_NaturalGas!R10</f>
        <v>219000</v>
      </c>
    </row>
    <row r="125" spans="1:17" ht="14.4">
      <c r="A125" s="364" t="s">
        <v>291</v>
      </c>
      <c r="B125" s="365"/>
      <c r="C125" s="367">
        <f>+Baseline_NaturalGas!D11</f>
        <v>70</v>
      </c>
      <c r="D125" s="367">
        <f>+Baseline_NaturalGas!E11</f>
        <v>70</v>
      </c>
      <c r="E125" s="367">
        <f>+Baseline_NaturalGas!F11</f>
        <v>70</v>
      </c>
      <c r="F125" s="367">
        <f>+Baseline_NaturalGas!G11</f>
        <v>70</v>
      </c>
      <c r="G125" s="367">
        <f>+Baseline_NaturalGas!H11</f>
        <v>70</v>
      </c>
      <c r="H125" s="367">
        <f>+Baseline_NaturalGas!I11</f>
        <v>70</v>
      </c>
      <c r="I125" s="367">
        <f>+Baseline_NaturalGas!J11</f>
        <v>70</v>
      </c>
      <c r="J125" s="367">
        <f>+Baseline_NaturalGas!K11</f>
        <v>70</v>
      </c>
      <c r="K125" s="367">
        <f>+Baseline_NaturalGas!L11</f>
        <v>70</v>
      </c>
      <c r="L125" s="367">
        <f>+Baseline_NaturalGas!M11</f>
        <v>70</v>
      </c>
      <c r="M125" s="367">
        <f>+Baseline_NaturalGas!N11</f>
        <v>70</v>
      </c>
      <c r="N125" s="367">
        <f>+Baseline_NaturalGas!O11</f>
        <v>70</v>
      </c>
      <c r="O125" s="367">
        <f>+Baseline_NaturalGas!P11</f>
        <v>70</v>
      </c>
      <c r="P125" s="367">
        <f>+Baseline_NaturalGas!Q11</f>
        <v>70</v>
      </c>
      <c r="Q125" s="367">
        <f>+Baseline_NaturalGas!R11</f>
        <v>70</v>
      </c>
    </row>
    <row r="126" spans="1:17" ht="14.4">
      <c r="A126" s="366" t="s">
        <v>292</v>
      </c>
      <c r="B126" s="365"/>
      <c r="C126" s="375">
        <f>+Baseline_NaturalGas!D12</f>
        <v>6.4285714285714288</v>
      </c>
      <c r="D126" s="375">
        <f>+Baseline_NaturalGas!E12</f>
        <v>6.6008571428571425</v>
      </c>
      <c r="E126" s="375">
        <f>+Baseline_NaturalGas!F12</f>
        <v>6.7777601142857131</v>
      </c>
      <c r="F126" s="375">
        <f>+Baseline_NaturalGas!G12</f>
        <v>6.9594040853485701</v>
      </c>
      <c r="G126" s="375">
        <f>+Baseline_NaturalGas!H12</f>
        <v>7.1459161148359112</v>
      </c>
      <c r="H126" s="375">
        <f>+Baseline_NaturalGas!I12</f>
        <v>7.3374266667135135</v>
      </c>
      <c r="I126" s="375">
        <f>+Baseline_NaturalGas!J12</f>
        <v>7.5340697013814353</v>
      </c>
      <c r="J126" s="375">
        <f>+Baseline_NaturalGas!K12</f>
        <v>7.7359827693784569</v>
      </c>
      <c r="K126" s="375">
        <f>+Baseline_NaturalGas!L12</f>
        <v>7.943307107597799</v>
      </c>
      <c r="L126" s="375">
        <f>+Baseline_NaturalGas!M12</f>
        <v>8.1561877380814192</v>
      </c>
      <c r="M126" s="375">
        <f>+Baseline_NaturalGas!N12</f>
        <v>8.3747735694620005</v>
      </c>
      <c r="N126" s="375">
        <f>+Baseline_NaturalGas!O12</f>
        <v>8.5992175011235812</v>
      </c>
      <c r="O126" s="375">
        <f>+Baseline_NaturalGas!P12</f>
        <v>8.8296765301536926</v>
      </c>
      <c r="P126" s="375">
        <f>+Baseline_NaturalGas!Q12</f>
        <v>9.066311861161811</v>
      </c>
      <c r="Q126" s="375">
        <f>+Baseline_NaturalGas!R12</f>
        <v>9.3092890190409463</v>
      </c>
    </row>
    <row r="127" spans="1:17" ht="14.4">
      <c r="A127" s="366" t="s">
        <v>293</v>
      </c>
      <c r="B127" s="365"/>
      <c r="C127" s="367">
        <f>+Baseline_NaturalGas!D13</f>
        <v>450</v>
      </c>
      <c r="D127" s="367">
        <f>+Baseline_NaturalGas!E13</f>
        <v>462.06</v>
      </c>
      <c r="E127" s="367">
        <f>+Baseline_NaturalGas!F13</f>
        <v>474.44320799999991</v>
      </c>
      <c r="F127" s="367">
        <f>+Baseline_NaturalGas!G13</f>
        <v>487.15828597439992</v>
      </c>
      <c r="G127" s="367">
        <f>+Baseline_NaturalGas!H13</f>
        <v>500.21412803851376</v>
      </c>
      <c r="H127" s="367">
        <f>+Baseline_NaturalGas!I13</f>
        <v>513.61986666994596</v>
      </c>
      <c r="I127" s="367">
        <f>+Baseline_NaturalGas!J13</f>
        <v>527.3848790967005</v>
      </c>
      <c r="J127" s="367">
        <f>+Baseline_NaturalGas!K13</f>
        <v>541.51879385649192</v>
      </c>
      <c r="K127" s="367">
        <f>+Baseline_NaturalGas!L13</f>
        <v>556.03149753184596</v>
      </c>
      <c r="L127" s="367">
        <f>+Baseline_NaturalGas!M13</f>
        <v>570.9331416656994</v>
      </c>
      <c r="M127" s="367">
        <f>+Baseline_NaturalGas!N13</f>
        <v>586.23414986234002</v>
      </c>
      <c r="N127" s="367">
        <f>+Baseline_NaturalGas!O13</f>
        <v>601.94522507865065</v>
      </c>
      <c r="O127" s="367">
        <f>+Baseline_NaturalGas!P13</f>
        <v>618.0773571107585</v>
      </c>
      <c r="P127" s="367">
        <f>+Baseline_NaturalGas!Q13</f>
        <v>634.64183028132675</v>
      </c>
      <c r="Q127" s="367">
        <f>+Baseline_NaturalGas!R13</f>
        <v>651.65023133286627</v>
      </c>
    </row>
    <row r="128" spans="1:17" ht="14.4">
      <c r="A128" s="370"/>
      <c r="B128" s="373"/>
      <c r="C128" s="373"/>
      <c r="D128" s="373"/>
      <c r="E128" s="373"/>
      <c r="F128" s="373"/>
      <c r="G128" s="373"/>
      <c r="H128" s="373"/>
      <c r="I128" s="373"/>
      <c r="J128" s="373"/>
      <c r="K128" s="373"/>
      <c r="L128" s="373"/>
      <c r="M128" s="373"/>
      <c r="N128" s="373"/>
      <c r="O128" s="373"/>
      <c r="P128" s="373"/>
      <c r="Q128" s="373"/>
    </row>
    <row r="129" spans="1:17" ht="14.4">
      <c r="A129" s="366" t="s">
        <v>294</v>
      </c>
      <c r="B129" s="378">
        <f>+SUM(C129:Q129)</f>
        <v>1790524.8581953994</v>
      </c>
      <c r="C129" s="367">
        <f>C124*C127/1000*'Initial Data'!$C$34/'Initial Data'!$C$33</f>
        <v>98550</v>
      </c>
      <c r="D129" s="367">
        <f>D124*D127/1000*'Initial Data'!$C$34/'Initial Data'!$C$33</f>
        <v>101191.14</v>
      </c>
      <c r="E129" s="367">
        <f>E124*E127/1000*'Initial Data'!$C$34/'Initial Data'!$C$33</f>
        <v>103903.06255199999</v>
      </c>
      <c r="F129" s="367">
        <f>F124*F127/1000*'Initial Data'!$C$34/'Initial Data'!$C$33</f>
        <v>106687.66462839357</v>
      </c>
      <c r="G129" s="367">
        <f>G124*G127/1000*'Initial Data'!$C$34/'Initial Data'!$C$33</f>
        <v>109546.8940404345</v>
      </c>
      <c r="H129" s="367">
        <f>H124*H127/1000*'Initial Data'!$C$34/'Initial Data'!$C$33</f>
        <v>112482.75080071818</v>
      </c>
      <c r="I129" s="367">
        <f>I124*I127/1000*'Initial Data'!$C$34/'Initial Data'!$C$33</f>
        <v>115497.28852217742</v>
      </c>
      <c r="J129" s="367">
        <f>J124*J127/1000*'Initial Data'!$C$34/'Initial Data'!$C$33</f>
        <v>118592.61585457173</v>
      </c>
      <c r="K129" s="367">
        <f>K124*K127/1000*'Initial Data'!$C$34/'Initial Data'!$C$33</f>
        <v>121770.89795947427</v>
      </c>
      <c r="L129" s="367">
        <f>L124*L127/1000*'Initial Data'!$C$34/'Initial Data'!$C$33</f>
        <v>125034.35802478818</v>
      </c>
      <c r="M129" s="367">
        <f>M124*M127/1000*'Initial Data'!$C$34/'Initial Data'!$C$33</f>
        <v>128385.27881985246</v>
      </c>
      <c r="N129" s="367">
        <f>N124*N127/1000*'Initial Data'!$C$34/'Initial Data'!$C$33</f>
        <v>131826.0042922245</v>
      </c>
      <c r="O129" s="367">
        <f>O124*O127/1000*'Initial Data'!$C$34/'Initial Data'!$C$33</f>
        <v>135358.94120725611</v>
      </c>
      <c r="P129" s="367">
        <f>P124*P127/1000*'Initial Data'!$C$34/'Initial Data'!$C$33</f>
        <v>138986.56083161055</v>
      </c>
      <c r="Q129" s="367">
        <f>Q124*Q127/1000*'Initial Data'!$C$34/'Initial Data'!$C$33</f>
        <v>142711.40066189773</v>
      </c>
    </row>
    <row r="130" spans="1:17" ht="14.4">
      <c r="A130" s="370"/>
      <c r="B130" s="373"/>
      <c r="C130" s="373"/>
      <c r="D130" s="373"/>
      <c r="E130" s="373"/>
      <c r="F130" s="373"/>
      <c r="G130" s="373"/>
      <c r="H130" s="373"/>
      <c r="I130" s="373"/>
      <c r="J130" s="373"/>
      <c r="K130" s="373"/>
      <c r="L130" s="373"/>
      <c r="M130" s="373"/>
      <c r="N130" s="373"/>
      <c r="O130" s="373"/>
      <c r="P130" s="373"/>
      <c r="Q130" s="373"/>
    </row>
    <row r="131" spans="1:17" ht="14.4">
      <c r="A131" s="366" t="s">
        <v>295</v>
      </c>
      <c r="B131" s="378">
        <f>+SUM(C131:Q131)</f>
        <v>1790524.8581953994</v>
      </c>
      <c r="C131" s="367">
        <f>+C129</f>
        <v>98550</v>
      </c>
      <c r="D131" s="367">
        <f t="shared" ref="D131:Q131" si="24">+D129</f>
        <v>101191.14</v>
      </c>
      <c r="E131" s="367">
        <f t="shared" si="24"/>
        <v>103903.06255199999</v>
      </c>
      <c r="F131" s="367">
        <f t="shared" si="24"/>
        <v>106687.66462839357</v>
      </c>
      <c r="G131" s="367">
        <f t="shared" si="24"/>
        <v>109546.8940404345</v>
      </c>
      <c r="H131" s="367">
        <f t="shared" si="24"/>
        <v>112482.75080071818</v>
      </c>
      <c r="I131" s="367">
        <f t="shared" si="24"/>
        <v>115497.28852217742</v>
      </c>
      <c r="J131" s="367">
        <f t="shared" si="24"/>
        <v>118592.61585457173</v>
      </c>
      <c r="K131" s="367">
        <f t="shared" si="24"/>
        <v>121770.89795947427</v>
      </c>
      <c r="L131" s="367">
        <f t="shared" si="24"/>
        <v>125034.35802478818</v>
      </c>
      <c r="M131" s="367">
        <f t="shared" si="24"/>
        <v>128385.27881985246</v>
      </c>
      <c r="N131" s="367">
        <f t="shared" si="24"/>
        <v>131826.0042922245</v>
      </c>
      <c r="O131" s="367">
        <f t="shared" si="24"/>
        <v>135358.94120725611</v>
      </c>
      <c r="P131" s="367">
        <f t="shared" si="24"/>
        <v>138986.56083161055</v>
      </c>
      <c r="Q131" s="367">
        <f t="shared" si="24"/>
        <v>142711.40066189773</v>
      </c>
    </row>
    <row r="132" spans="1:17" ht="14.4">
      <c r="A132" s="370"/>
      <c r="B132" s="374"/>
      <c r="C132" s="374"/>
      <c r="D132" s="374"/>
      <c r="E132" s="374"/>
      <c r="F132" s="374"/>
      <c r="G132" s="374"/>
      <c r="H132" s="374"/>
      <c r="I132" s="374"/>
      <c r="J132" s="374"/>
      <c r="K132" s="374"/>
      <c r="L132" s="374"/>
      <c r="M132" s="374"/>
      <c r="N132" s="374"/>
      <c r="O132" s="374"/>
      <c r="P132" s="374"/>
      <c r="Q132" s="374"/>
    </row>
    <row r="133" spans="1:17" ht="14.4">
      <c r="A133" s="366" t="s">
        <v>68</v>
      </c>
      <c r="B133" s="368"/>
      <c r="C133" s="368"/>
      <c r="D133" s="368"/>
      <c r="E133" s="368"/>
      <c r="F133" s="368"/>
      <c r="G133" s="368"/>
      <c r="H133" s="368"/>
      <c r="I133" s="368"/>
      <c r="J133" s="368"/>
      <c r="K133" s="368"/>
      <c r="L133" s="368"/>
      <c r="M133" s="368"/>
      <c r="N133" s="368"/>
      <c r="O133" s="368"/>
      <c r="P133" s="368"/>
      <c r="Q133" s="368"/>
    </row>
    <row r="134" spans="1:17" ht="14.4">
      <c r="A134" s="366" t="s">
        <v>330</v>
      </c>
      <c r="B134" s="378">
        <f>+SUM(C134:Q134)</f>
        <v>17405.991521183645</v>
      </c>
      <c r="C134" s="367">
        <f>+Baseline_NaturalGas!D20</f>
        <v>958.02102749999995</v>
      </c>
      <c r="D134" s="367">
        <f>+Baseline_NaturalGas!E20</f>
        <v>983.69599103699989</v>
      </c>
      <c r="E134" s="367">
        <f>+Baseline_NaturalGas!F20</f>
        <v>1010.0590435967914</v>
      </c>
      <c r="F134" s="367">
        <f>+Baseline_NaturalGas!G20</f>
        <v>1037.1286259651854</v>
      </c>
      <c r="G134" s="367">
        <f>+Baseline_NaturalGas!H20</f>
        <v>1064.9236731410524</v>
      </c>
      <c r="H134" s="367">
        <f>+Baseline_NaturalGas!I20</f>
        <v>1093.4636275812325</v>
      </c>
      <c r="I134" s="367">
        <f>+Baseline_NaturalGas!J20</f>
        <v>1122.7684528004095</v>
      </c>
      <c r="J134" s="367">
        <f>+Baseline_NaturalGas!K20</f>
        <v>1152.8586473354603</v>
      </c>
      <c r="K134" s="367">
        <f>+Baseline_NaturalGas!L20</f>
        <v>1183.7552590840505</v>
      </c>
      <c r="L134" s="367">
        <f>+Baseline_NaturalGas!M20</f>
        <v>1215.4799000275029</v>
      </c>
      <c r="M134" s="367">
        <f>+Baseline_NaturalGas!N20</f>
        <v>1248.0547613482399</v>
      </c>
      <c r="N134" s="367">
        <f>+Baseline_NaturalGas!O20</f>
        <v>1281.5026289523728</v>
      </c>
      <c r="O134" s="367">
        <f>+Baseline_NaturalGas!P20</f>
        <v>1315.8468994082964</v>
      </c>
      <c r="P134" s="367">
        <f>+Baseline_NaturalGas!Q20</f>
        <v>1351.1115963124387</v>
      </c>
      <c r="Q134" s="367">
        <f>+Baseline_NaturalGas!R20</f>
        <v>1387.321387093612</v>
      </c>
    </row>
    <row r="135" spans="1:17" ht="14.4">
      <c r="A135" s="370"/>
      <c r="B135" s="369"/>
      <c r="C135" s="369"/>
      <c r="D135" s="369"/>
      <c r="E135" s="369"/>
      <c r="F135" s="369"/>
      <c r="G135" s="369"/>
      <c r="H135" s="369"/>
      <c r="I135" s="369"/>
      <c r="J135" s="369"/>
      <c r="K135" s="369"/>
      <c r="L135" s="369"/>
      <c r="M135" s="369"/>
      <c r="N135" s="369"/>
      <c r="O135" s="369"/>
      <c r="P135" s="369"/>
      <c r="Q135" s="369"/>
    </row>
    <row r="136" spans="1:17" ht="14.4">
      <c r="A136" s="366" t="s">
        <v>71</v>
      </c>
      <c r="B136" s="379"/>
      <c r="C136" s="379"/>
      <c r="D136" s="379"/>
      <c r="E136" s="379"/>
      <c r="F136" s="379"/>
      <c r="G136" s="379"/>
      <c r="H136" s="379"/>
      <c r="I136" s="379"/>
      <c r="J136" s="379"/>
      <c r="K136" s="379"/>
      <c r="L136" s="379"/>
      <c r="M136" s="379"/>
      <c r="N136" s="379"/>
      <c r="O136" s="379"/>
      <c r="P136" s="379"/>
      <c r="Q136" s="379"/>
    </row>
    <row r="137" spans="1:17" ht="14.4">
      <c r="A137" s="370"/>
      <c r="B137" s="379"/>
      <c r="C137" s="379"/>
      <c r="D137" s="379"/>
      <c r="E137" s="379"/>
      <c r="F137" s="379"/>
      <c r="G137" s="379"/>
      <c r="H137" s="379"/>
      <c r="I137" s="379"/>
      <c r="J137" s="379"/>
      <c r="K137" s="379"/>
      <c r="L137" s="379"/>
      <c r="M137" s="379"/>
      <c r="N137" s="379"/>
      <c r="O137" s="379"/>
      <c r="P137" s="379"/>
      <c r="Q137" s="379"/>
    </row>
    <row r="138" spans="1:17" ht="14.4">
      <c r="A138" s="366" t="s">
        <v>64</v>
      </c>
      <c r="B138" s="373"/>
      <c r="C138" s="367">
        <f>+Baseline_NaturalGas!D24</f>
        <v>1656.5089715892002</v>
      </c>
      <c r="D138" s="367">
        <f>+Baseline_NaturalGas!E24</f>
        <v>1656.5089715892002</v>
      </c>
      <c r="E138" s="367">
        <f>+Baseline_NaturalGas!F24</f>
        <v>1656.5089715892002</v>
      </c>
      <c r="F138" s="367">
        <f>+Baseline_NaturalGas!G24</f>
        <v>1656.5089715892002</v>
      </c>
      <c r="G138" s="367">
        <f>+Baseline_NaturalGas!H24</f>
        <v>1656.5089715892002</v>
      </c>
      <c r="H138" s="367">
        <f>+Baseline_NaturalGas!I24</f>
        <v>1656.5089715892002</v>
      </c>
      <c r="I138" s="367">
        <f>+Baseline_NaturalGas!J24</f>
        <v>1656.5089715892002</v>
      </c>
      <c r="J138" s="367">
        <f>+Baseline_NaturalGas!K24</f>
        <v>1656.5089715892002</v>
      </c>
      <c r="K138" s="367">
        <f>+Baseline_NaturalGas!L24</f>
        <v>1656.5089715892002</v>
      </c>
      <c r="L138" s="367">
        <f>+Baseline_NaturalGas!M24</f>
        <v>1656.5089715892002</v>
      </c>
      <c r="M138" s="367">
        <f>+Baseline_NaturalGas!N24</f>
        <v>1656.5089715892002</v>
      </c>
      <c r="N138" s="367">
        <f>+Baseline_NaturalGas!O24</f>
        <v>1656.5089715892002</v>
      </c>
      <c r="O138" s="367">
        <f>+Baseline_NaturalGas!P24</f>
        <v>1656.5089715892002</v>
      </c>
      <c r="P138" s="367">
        <f>+Baseline_NaturalGas!Q24</f>
        <v>1656.5089715892002</v>
      </c>
      <c r="Q138" s="367">
        <f>+Baseline_NaturalGas!R24</f>
        <v>1656.5089715892002</v>
      </c>
    </row>
    <row r="139" spans="1:17" ht="14.4">
      <c r="A139" s="366" t="s">
        <v>108</v>
      </c>
      <c r="B139" s="387">
        <f>+Baseline_NaturalGas!C25</f>
        <v>0.90200000000000002</v>
      </c>
      <c r="C139" s="373"/>
      <c r="D139" s="373"/>
      <c r="E139" s="373"/>
      <c r="F139" s="373"/>
      <c r="G139" s="373"/>
      <c r="H139" s="373"/>
      <c r="I139" s="373"/>
      <c r="J139" s="373"/>
      <c r="K139" s="373"/>
      <c r="L139" s="373"/>
      <c r="M139" s="373"/>
      <c r="N139" s="373"/>
      <c r="O139" s="373"/>
      <c r="P139" s="373"/>
      <c r="Q139" s="373"/>
    </row>
    <row r="140" spans="1:17" ht="14.4">
      <c r="A140" s="366" t="s">
        <v>346</v>
      </c>
      <c r="B140" s="373"/>
      <c r="C140" s="367">
        <f>+Baseline_NaturalGas!D26</f>
        <v>1741816.7092883086</v>
      </c>
      <c r="D140" s="367">
        <f>+Baseline_NaturalGas!E26</f>
        <v>1741816.7092883086</v>
      </c>
      <c r="E140" s="367">
        <f>+Baseline_NaturalGas!F26</f>
        <v>1741816.7092883086</v>
      </c>
      <c r="F140" s="367">
        <f>+Baseline_NaturalGas!G26</f>
        <v>1741816.7092883086</v>
      </c>
      <c r="G140" s="367">
        <f>+Baseline_NaturalGas!H26</f>
        <v>1741816.7092883086</v>
      </c>
      <c r="H140" s="367">
        <f>+Baseline_NaturalGas!I26</f>
        <v>1741816.7092883086</v>
      </c>
      <c r="I140" s="367">
        <f>+Baseline_NaturalGas!J26</f>
        <v>1741816.7092883086</v>
      </c>
      <c r="J140" s="367">
        <f>+Baseline_NaturalGas!K26</f>
        <v>1741816.7092883086</v>
      </c>
      <c r="K140" s="367">
        <f>+Baseline_NaturalGas!L26</f>
        <v>1741816.7092883086</v>
      </c>
      <c r="L140" s="367">
        <f>+Baseline_NaturalGas!M26</f>
        <v>1741816.7092883086</v>
      </c>
      <c r="M140" s="367">
        <f>+Baseline_NaturalGas!N26</f>
        <v>1741816.7092883086</v>
      </c>
      <c r="N140" s="367">
        <f>+Baseline_NaturalGas!O26</f>
        <v>1741816.7092883086</v>
      </c>
      <c r="O140" s="367">
        <f>+Baseline_NaturalGas!P26</f>
        <v>1741816.7092883086</v>
      </c>
      <c r="P140" s="367">
        <f>+Baseline_NaturalGas!Q26</f>
        <v>1741816.7092883086</v>
      </c>
      <c r="Q140" s="367">
        <f>+Baseline_NaturalGas!R26</f>
        <v>1741816.7092883086</v>
      </c>
    </row>
    <row r="141" spans="1:17" ht="14.4">
      <c r="A141" s="366" t="s">
        <v>66</v>
      </c>
      <c r="B141" s="373"/>
      <c r="C141" s="367">
        <f>+Baseline_NaturalGas!D27</f>
        <v>5.6086944825694198</v>
      </c>
      <c r="D141" s="367">
        <f>+Baseline_NaturalGas!E27</f>
        <v>5.5051083831058802</v>
      </c>
      <c r="E141" s="367">
        <f>+Baseline_NaturalGas!F27</f>
        <v>5.61862622286578</v>
      </c>
      <c r="F141" s="367">
        <f>+Baseline_NaturalGas!G27</f>
        <v>5.8406487933251103</v>
      </c>
      <c r="G141" s="367">
        <f>+Baseline_NaturalGas!H27</f>
        <v>5.8453745748678001</v>
      </c>
      <c r="H141" s="367">
        <f>+Baseline_NaturalGas!I27</f>
        <v>6.0672099673130804</v>
      </c>
      <c r="I141" s="367">
        <f>+Baseline_NaturalGas!J27</f>
        <v>6.39755565092754</v>
      </c>
      <c r="J141" s="367">
        <f>+Baseline_NaturalGas!K27</f>
        <v>6.39755565092754</v>
      </c>
      <c r="K141" s="367">
        <f>+Baseline_NaturalGas!L27</f>
        <v>6.39755565092754</v>
      </c>
      <c r="L141" s="367">
        <f>+Baseline_NaturalGas!M27</f>
        <v>6.39755565092754</v>
      </c>
      <c r="M141" s="367">
        <f>+Baseline_NaturalGas!N27</f>
        <v>6.39755565092754</v>
      </c>
      <c r="N141" s="367">
        <f>+Baseline_NaturalGas!O27</f>
        <v>6.39755565092754</v>
      </c>
      <c r="O141" s="367">
        <f>+Baseline_NaturalGas!P27</f>
        <v>6.39755565092754</v>
      </c>
      <c r="P141" s="367">
        <f>+Baseline_NaturalGas!Q27</f>
        <v>6.39755565092754</v>
      </c>
      <c r="Q141" s="367">
        <f>+Baseline_NaturalGas!R27</f>
        <v>6.39755565092754</v>
      </c>
    </row>
    <row r="142" spans="1:17" ht="14.4">
      <c r="A142" s="370"/>
      <c r="B142" s="379"/>
      <c r="C142" s="379"/>
      <c r="D142" s="379"/>
      <c r="E142" s="379"/>
      <c r="F142" s="379"/>
      <c r="G142" s="379"/>
      <c r="H142" s="379"/>
      <c r="I142" s="379"/>
      <c r="J142" s="379"/>
      <c r="K142" s="379"/>
      <c r="L142" s="379"/>
      <c r="M142" s="379"/>
      <c r="N142" s="379"/>
      <c r="O142" s="379"/>
      <c r="P142" s="379"/>
      <c r="Q142" s="379"/>
    </row>
    <row r="143" spans="1:17" ht="14.4">
      <c r="A143" s="366" t="s">
        <v>102</v>
      </c>
      <c r="B143" s="378">
        <f t="shared" ref="B143" si="25">+SUM(C143:Q143)</f>
        <v>160358.02702356796</v>
      </c>
      <c r="C143" s="375">
        <f>+C140*C141/1000</f>
        <v>9769.3177670325604</v>
      </c>
      <c r="D143" s="375">
        <f>+D140*D141/1000</f>
        <v>9588.8897681369654</v>
      </c>
      <c r="E143" s="375">
        <f t="shared" ref="E143:Q143" si="26">+E140*E141/1000</f>
        <v>9786.6170382330711</v>
      </c>
      <c r="F143" s="375">
        <f t="shared" si="26"/>
        <v>10173.339661298274</v>
      </c>
      <c r="G143" s="375">
        <f t="shared" si="26"/>
        <v>10181.571106553778</v>
      </c>
      <c r="H143" s="375">
        <f t="shared" si="26"/>
        <v>10567.967699826495</v>
      </c>
      <c r="I143" s="375">
        <f t="shared" si="26"/>
        <v>11143.36933138743</v>
      </c>
      <c r="J143" s="375">
        <f t="shared" si="26"/>
        <v>11143.36933138743</v>
      </c>
      <c r="K143" s="375">
        <f t="shared" si="26"/>
        <v>11143.36933138743</v>
      </c>
      <c r="L143" s="375">
        <f t="shared" si="26"/>
        <v>11143.36933138743</v>
      </c>
      <c r="M143" s="375">
        <f t="shared" si="26"/>
        <v>11143.36933138743</v>
      </c>
      <c r="N143" s="375">
        <f t="shared" si="26"/>
        <v>11143.36933138743</v>
      </c>
      <c r="O143" s="375">
        <f t="shared" si="26"/>
        <v>11143.36933138743</v>
      </c>
      <c r="P143" s="375">
        <f t="shared" si="26"/>
        <v>11143.36933138743</v>
      </c>
      <c r="Q143" s="375">
        <f t="shared" si="26"/>
        <v>11143.36933138743</v>
      </c>
    </row>
    <row r="144" spans="1:17" ht="14.4">
      <c r="A144" s="370"/>
      <c r="B144" s="373"/>
      <c r="C144" s="373"/>
      <c r="D144" s="373"/>
      <c r="E144" s="373"/>
      <c r="F144" s="373"/>
      <c r="G144" s="373"/>
      <c r="H144" s="373"/>
      <c r="I144" s="373"/>
      <c r="J144" s="373"/>
      <c r="K144" s="373"/>
      <c r="L144" s="373"/>
      <c r="M144" s="373"/>
      <c r="N144" s="373"/>
      <c r="O144" s="373"/>
      <c r="P144" s="373"/>
      <c r="Q144" s="373"/>
    </row>
    <row r="145" spans="1:17" ht="14.4">
      <c r="A145" s="370"/>
      <c r="B145" s="379"/>
      <c r="C145" s="379"/>
      <c r="D145" s="379"/>
      <c r="E145" s="379"/>
      <c r="F145" s="379"/>
      <c r="G145" s="379"/>
      <c r="H145" s="379"/>
      <c r="I145" s="379"/>
      <c r="J145" s="379"/>
      <c r="K145" s="379"/>
      <c r="L145" s="379"/>
      <c r="M145" s="379"/>
      <c r="N145" s="379"/>
      <c r="O145" s="379"/>
      <c r="P145" s="379"/>
      <c r="Q145" s="379"/>
    </row>
    <row r="146" spans="1:17" ht="14.4">
      <c r="A146" s="366" t="s">
        <v>101</v>
      </c>
      <c r="B146" s="373"/>
      <c r="C146" s="375">
        <f>+C143+C134</f>
        <v>10727.338794532559</v>
      </c>
      <c r="D146" s="375">
        <f t="shared" ref="D146:Q146" si="27">+D143+D134</f>
        <v>10572.585759173966</v>
      </c>
      <c r="E146" s="375">
        <f t="shared" si="27"/>
        <v>10796.676081829863</v>
      </c>
      <c r="F146" s="375">
        <f t="shared" si="27"/>
        <v>11210.46828726346</v>
      </c>
      <c r="G146" s="375">
        <f t="shared" si="27"/>
        <v>11246.494779694831</v>
      </c>
      <c r="H146" s="375">
        <f t="shared" si="27"/>
        <v>11661.431327407727</v>
      </c>
      <c r="I146" s="375">
        <f t="shared" si="27"/>
        <v>12266.13778418784</v>
      </c>
      <c r="J146" s="375">
        <f t="shared" si="27"/>
        <v>12296.227978722891</v>
      </c>
      <c r="K146" s="375">
        <f t="shared" si="27"/>
        <v>12327.124590471481</v>
      </c>
      <c r="L146" s="375">
        <f t="shared" si="27"/>
        <v>12358.849231414933</v>
      </c>
      <c r="M146" s="375">
        <f t="shared" si="27"/>
        <v>12391.42409273567</v>
      </c>
      <c r="N146" s="375">
        <f t="shared" si="27"/>
        <v>12424.871960339802</v>
      </c>
      <c r="O146" s="375">
        <f t="shared" si="27"/>
        <v>12459.216230795726</v>
      </c>
      <c r="P146" s="375">
        <f t="shared" si="27"/>
        <v>12494.480927699869</v>
      </c>
      <c r="Q146" s="375">
        <f t="shared" si="27"/>
        <v>12530.690718481042</v>
      </c>
    </row>
    <row r="147" spans="1:17" ht="14.4">
      <c r="A147" s="370"/>
      <c r="B147" s="379"/>
      <c r="C147" s="379"/>
      <c r="D147" s="379"/>
      <c r="E147" s="379"/>
      <c r="F147" s="379"/>
      <c r="G147" s="379"/>
      <c r="H147" s="379"/>
      <c r="I147" s="379"/>
      <c r="J147" s="379"/>
      <c r="K147" s="379"/>
      <c r="L147" s="379"/>
      <c r="M147" s="379"/>
      <c r="N147" s="379"/>
      <c r="O147" s="379"/>
      <c r="P147" s="379"/>
      <c r="Q147" s="379"/>
    </row>
    <row r="148" spans="1:17" ht="14.4">
      <c r="A148" s="366" t="s">
        <v>73</v>
      </c>
      <c r="B148" s="378">
        <f>+SUM(C148:Q148)</f>
        <v>11028.023419714284</v>
      </c>
      <c r="C148" s="381">
        <f>+Baseline_NaturalGas!$D$5*(1+$E$7)/'Initial Data'!$C$19</f>
        <v>1206.1900615312502</v>
      </c>
      <c r="D148" s="381">
        <f>+Baseline_NaturalGas!$D$5*(1+$C$7)/'Initial Data'!$C$19</f>
        <v>1091.3148175758929</v>
      </c>
      <c r="E148" s="381">
        <f>+Baseline_NaturalGas!$D$5*(1+$C$7)/'Initial Data'!$C$19</f>
        <v>1091.3148175758929</v>
      </c>
      <c r="F148" s="381">
        <f>+Baseline_NaturalGas!$D$5*(1+$C$7)/'Initial Data'!$C$19</f>
        <v>1091.3148175758929</v>
      </c>
      <c r="G148" s="381">
        <f>+Baseline_NaturalGas!$D$5*(1+$C$7)/'Initial Data'!$C$19</f>
        <v>1091.3148175758929</v>
      </c>
      <c r="H148" s="381">
        <f>+Baseline_NaturalGas!$D$5*(1+$C$7)/'Initial Data'!$C$19</f>
        <v>1091.3148175758929</v>
      </c>
      <c r="I148" s="381">
        <f>+Baseline_NaturalGas!$D$5*(1+$C$7)/'Initial Data'!$C$19</f>
        <v>1091.3148175758929</v>
      </c>
      <c r="J148" s="381">
        <f>+Baseline_NaturalGas!$D$5*(1+$C$7)/'Initial Data'!$C$19</f>
        <v>1091.3148175758929</v>
      </c>
      <c r="K148" s="381">
        <f>+Baseline_NaturalGas!$D$5*(1+$C$7)/'Initial Data'!$C$19</f>
        <v>1091.3148175758929</v>
      </c>
      <c r="L148" s="381">
        <f>+Baseline_NaturalGas!$D$5*(1+$C$7)/'Initial Data'!$C$19</f>
        <v>1091.3148175758929</v>
      </c>
      <c r="M148" s="381">
        <v>0</v>
      </c>
      <c r="N148" s="381">
        <v>0</v>
      </c>
      <c r="O148" s="381">
        <v>0</v>
      </c>
      <c r="P148" s="381">
        <v>0</v>
      </c>
      <c r="Q148" s="381">
        <v>0</v>
      </c>
    </row>
    <row r="149" spans="1:17" ht="14.4">
      <c r="A149" s="366" t="s">
        <v>74</v>
      </c>
      <c r="B149" s="378">
        <f>+SUM(C149:Q149)</f>
        <v>11028.023419714284</v>
      </c>
      <c r="C149" s="367">
        <f>SUM(C148:C148)</f>
        <v>1206.1900615312502</v>
      </c>
      <c r="D149" s="367">
        <f t="shared" ref="D149:Q149" si="28">SUM(D148:D148)</f>
        <v>1091.3148175758929</v>
      </c>
      <c r="E149" s="367">
        <f t="shared" si="28"/>
        <v>1091.3148175758929</v>
      </c>
      <c r="F149" s="367">
        <f t="shared" si="28"/>
        <v>1091.3148175758929</v>
      </c>
      <c r="G149" s="367">
        <f t="shared" si="28"/>
        <v>1091.3148175758929</v>
      </c>
      <c r="H149" s="367">
        <f t="shared" si="28"/>
        <v>1091.3148175758929</v>
      </c>
      <c r="I149" s="367">
        <f t="shared" si="28"/>
        <v>1091.3148175758929</v>
      </c>
      <c r="J149" s="367">
        <f t="shared" si="28"/>
        <v>1091.3148175758929</v>
      </c>
      <c r="K149" s="367">
        <f t="shared" si="28"/>
        <v>1091.3148175758929</v>
      </c>
      <c r="L149" s="367">
        <f t="shared" si="28"/>
        <v>1091.3148175758929</v>
      </c>
      <c r="M149" s="367">
        <f t="shared" si="28"/>
        <v>0</v>
      </c>
      <c r="N149" s="367">
        <f t="shared" si="28"/>
        <v>0</v>
      </c>
      <c r="O149" s="367">
        <f t="shared" si="28"/>
        <v>0</v>
      </c>
      <c r="P149" s="367">
        <f t="shared" si="28"/>
        <v>0</v>
      </c>
      <c r="Q149" s="367">
        <f t="shared" si="28"/>
        <v>0</v>
      </c>
    </row>
    <row r="150" spans="1:17" ht="14.4">
      <c r="A150" s="90"/>
      <c r="B150" s="388"/>
      <c r="C150" s="373"/>
      <c r="D150" s="373"/>
      <c r="E150" s="373"/>
      <c r="F150" s="373"/>
      <c r="G150" s="373"/>
      <c r="H150" s="373"/>
      <c r="I150" s="373"/>
      <c r="J150" s="373"/>
      <c r="K150" s="373"/>
      <c r="L150" s="373"/>
      <c r="M150" s="373"/>
      <c r="N150" s="373"/>
      <c r="O150" s="373"/>
      <c r="P150" s="373"/>
      <c r="Q150" s="373"/>
    </row>
    <row r="151" spans="1:17" ht="14.4">
      <c r="A151" s="366" t="s">
        <v>75</v>
      </c>
      <c r="B151" s="378">
        <f>+SUM(C151:Q151)</f>
        <v>188792.04196446596</v>
      </c>
      <c r="C151" s="367">
        <f>+C146+C149</f>
        <v>11933.528856063809</v>
      </c>
      <c r="D151" s="367">
        <f t="shared" ref="D151:Q151" si="29">+D146+D149</f>
        <v>11663.900576749858</v>
      </c>
      <c r="E151" s="367">
        <f t="shared" si="29"/>
        <v>11887.990899405755</v>
      </c>
      <c r="F151" s="367">
        <f t="shared" si="29"/>
        <v>12301.783104839353</v>
      </c>
      <c r="G151" s="367">
        <f t="shared" si="29"/>
        <v>12337.809597270723</v>
      </c>
      <c r="H151" s="367">
        <f t="shared" si="29"/>
        <v>12752.746144983619</v>
      </c>
      <c r="I151" s="367">
        <f t="shared" si="29"/>
        <v>13357.452601763733</v>
      </c>
      <c r="J151" s="367">
        <f t="shared" si="29"/>
        <v>13387.542796298783</v>
      </c>
      <c r="K151" s="367">
        <f t="shared" si="29"/>
        <v>13418.439408047374</v>
      </c>
      <c r="L151" s="367">
        <f t="shared" si="29"/>
        <v>13450.164048990826</v>
      </c>
      <c r="M151" s="367">
        <f t="shared" si="29"/>
        <v>12391.42409273567</v>
      </c>
      <c r="N151" s="367">
        <f t="shared" si="29"/>
        <v>12424.871960339802</v>
      </c>
      <c r="O151" s="367">
        <f t="shared" si="29"/>
        <v>12459.216230795726</v>
      </c>
      <c r="P151" s="367">
        <f t="shared" si="29"/>
        <v>12494.480927699869</v>
      </c>
      <c r="Q151" s="367">
        <f t="shared" si="29"/>
        <v>12530.690718481042</v>
      </c>
    </row>
    <row r="152" spans="1:17">
      <c r="A152" s="74"/>
    </row>
    <row r="153" spans="1:17" ht="14.4">
      <c r="A153" s="366" t="s">
        <v>76</v>
      </c>
      <c r="B153" s="378">
        <f>+SUM(C153:Q153)</f>
        <v>1601732.8162309334</v>
      </c>
      <c r="C153" s="367">
        <f>+C131-C151</f>
        <v>86616.471143936185</v>
      </c>
      <c r="D153" s="367">
        <f t="shared" ref="D153:Q153" si="30">+D131-D151</f>
        <v>89527.239423250139</v>
      </c>
      <c r="E153" s="367">
        <f t="shared" si="30"/>
        <v>92015.071652594226</v>
      </c>
      <c r="F153" s="367">
        <f t="shared" si="30"/>
        <v>94385.881523554213</v>
      </c>
      <c r="G153" s="367">
        <f t="shared" si="30"/>
        <v>97209.084443163782</v>
      </c>
      <c r="H153" s="367">
        <f t="shared" si="30"/>
        <v>99730.004655734549</v>
      </c>
      <c r="I153" s="367">
        <f t="shared" si="30"/>
        <v>102139.83592041369</v>
      </c>
      <c r="J153" s="367">
        <f t="shared" si="30"/>
        <v>105205.07305827294</v>
      </c>
      <c r="K153" s="367">
        <f t="shared" si="30"/>
        <v>108352.4585514269</v>
      </c>
      <c r="L153" s="367">
        <f t="shared" si="30"/>
        <v>111584.19397579735</v>
      </c>
      <c r="M153" s="367">
        <f t="shared" si="30"/>
        <v>115993.85472711679</v>
      </c>
      <c r="N153" s="367">
        <f t="shared" si="30"/>
        <v>119401.1323318847</v>
      </c>
      <c r="O153" s="367">
        <f t="shared" si="30"/>
        <v>122899.72497646039</v>
      </c>
      <c r="P153" s="367">
        <f t="shared" si="30"/>
        <v>126492.07990391068</v>
      </c>
      <c r="Q153" s="367">
        <f t="shared" si="30"/>
        <v>130180.70994341669</v>
      </c>
    </row>
    <row r="154" spans="1:17" ht="14.4">
      <c r="A154" s="369"/>
      <c r="B154" s="373"/>
      <c r="C154" s="373"/>
      <c r="D154" s="373"/>
      <c r="E154" s="373"/>
      <c r="F154" s="373"/>
      <c r="G154" s="373"/>
      <c r="H154" s="373"/>
      <c r="I154" s="373"/>
      <c r="J154" s="373"/>
      <c r="K154" s="373"/>
      <c r="L154" s="373"/>
      <c r="M154" s="373"/>
      <c r="N154" s="373"/>
      <c r="O154" s="373"/>
      <c r="P154" s="373"/>
      <c r="Q154" s="373"/>
    </row>
    <row r="155" spans="1:17" ht="14.4">
      <c r="A155" s="366" t="s">
        <v>222</v>
      </c>
      <c r="B155" s="380">
        <f>+Baseline_NaturalGas!C43</f>
        <v>0.7</v>
      </c>
      <c r="C155" s="367">
        <f>IF((+$B$155*C153)&lt;0,"0",(+$B$155*C153))</f>
        <v>60631.529800755328</v>
      </c>
      <c r="D155" s="367">
        <f t="shared" ref="D155:Q155" si="31">IF((+$B$155*D153)&lt;0,"0",(+$B$155*D153))</f>
        <v>62669.06759627509</v>
      </c>
      <c r="E155" s="367">
        <f t="shared" si="31"/>
        <v>64410.550156815953</v>
      </c>
      <c r="F155" s="367">
        <f t="shared" si="31"/>
        <v>66070.117066487946</v>
      </c>
      <c r="G155" s="367">
        <f t="shared" si="31"/>
        <v>68046.359110214646</v>
      </c>
      <c r="H155" s="367">
        <f t="shared" si="31"/>
        <v>69811.003259014178</v>
      </c>
      <c r="I155" s="367">
        <f t="shared" si="31"/>
        <v>71497.885144289583</v>
      </c>
      <c r="J155" s="367">
        <f t="shared" si="31"/>
        <v>73643.551140791053</v>
      </c>
      <c r="K155" s="367">
        <f t="shared" si="31"/>
        <v>75846.720985998822</v>
      </c>
      <c r="L155" s="367">
        <f t="shared" si="31"/>
        <v>78108.935783058143</v>
      </c>
      <c r="M155" s="367">
        <f t="shared" si="31"/>
        <v>81195.698308981751</v>
      </c>
      <c r="N155" s="367">
        <f t="shared" si="31"/>
        <v>83580.792632319281</v>
      </c>
      <c r="O155" s="367">
        <f t="shared" si="31"/>
        <v>86029.807483522265</v>
      </c>
      <c r="P155" s="367">
        <f t="shared" si="31"/>
        <v>88544.455932737474</v>
      </c>
      <c r="Q155" s="367">
        <f t="shared" si="31"/>
        <v>91126.496960391683</v>
      </c>
    </row>
    <row r="156" spans="1:17" ht="14.4">
      <c r="A156" s="366" t="s">
        <v>77</v>
      </c>
      <c r="B156" s="378">
        <f>+SUM(C156:Q156)</f>
        <v>1121212.9713616532</v>
      </c>
      <c r="C156" s="367">
        <f>SUM(C155:C155)</f>
        <v>60631.529800755328</v>
      </c>
      <c r="D156" s="367">
        <f t="shared" ref="D156:Q156" si="32">SUM(D155:D155)</f>
        <v>62669.06759627509</v>
      </c>
      <c r="E156" s="367">
        <f t="shared" si="32"/>
        <v>64410.550156815953</v>
      </c>
      <c r="F156" s="367">
        <f t="shared" si="32"/>
        <v>66070.117066487946</v>
      </c>
      <c r="G156" s="367">
        <f t="shared" si="32"/>
        <v>68046.359110214646</v>
      </c>
      <c r="H156" s="367">
        <f t="shared" si="32"/>
        <v>69811.003259014178</v>
      </c>
      <c r="I156" s="367">
        <f t="shared" si="32"/>
        <v>71497.885144289583</v>
      </c>
      <c r="J156" s="367">
        <f t="shared" si="32"/>
        <v>73643.551140791053</v>
      </c>
      <c r="K156" s="367">
        <f t="shared" si="32"/>
        <v>75846.720985998822</v>
      </c>
      <c r="L156" s="367">
        <f t="shared" si="32"/>
        <v>78108.935783058143</v>
      </c>
      <c r="M156" s="367">
        <f t="shared" si="32"/>
        <v>81195.698308981751</v>
      </c>
      <c r="N156" s="367">
        <f t="shared" si="32"/>
        <v>83580.792632319281</v>
      </c>
      <c r="O156" s="367">
        <f t="shared" si="32"/>
        <v>86029.807483522265</v>
      </c>
      <c r="P156" s="367">
        <f t="shared" si="32"/>
        <v>88544.455932737474</v>
      </c>
      <c r="Q156" s="367">
        <f t="shared" si="32"/>
        <v>91126.496960391683</v>
      </c>
    </row>
    <row r="157" spans="1:17" ht="14.4">
      <c r="A157" s="369"/>
      <c r="B157" s="373"/>
      <c r="C157" s="373"/>
      <c r="D157" s="373"/>
      <c r="E157" s="373"/>
      <c r="F157" s="373"/>
      <c r="G157" s="373"/>
      <c r="H157" s="373"/>
      <c r="I157" s="373"/>
      <c r="J157" s="373"/>
      <c r="K157" s="373"/>
      <c r="L157" s="373"/>
      <c r="M157" s="373"/>
      <c r="N157" s="373"/>
      <c r="O157" s="373"/>
      <c r="P157" s="373"/>
      <c r="Q157" s="373"/>
    </row>
    <row r="158" spans="1:17" ht="14.4">
      <c r="A158" s="366" t="s">
        <v>78</v>
      </c>
      <c r="B158" s="378">
        <f>+SUM(C158:Q158)</f>
        <v>480519.84486928</v>
      </c>
      <c r="C158" s="367">
        <f>+C153-C156</f>
        <v>25984.941343180857</v>
      </c>
      <c r="D158" s="367">
        <f t="shared" ref="D158:Q158" si="33">+D153-D156</f>
        <v>26858.171826975049</v>
      </c>
      <c r="E158" s="367">
        <f t="shared" si="33"/>
        <v>27604.521495778274</v>
      </c>
      <c r="F158" s="367">
        <f t="shared" si="33"/>
        <v>28315.764457066267</v>
      </c>
      <c r="G158" s="367">
        <f t="shared" si="33"/>
        <v>29162.725332949136</v>
      </c>
      <c r="H158" s="367">
        <f t="shared" si="33"/>
        <v>29919.00139672037</v>
      </c>
      <c r="I158" s="367">
        <f t="shared" si="33"/>
        <v>30641.950776124111</v>
      </c>
      <c r="J158" s="367">
        <f t="shared" si="33"/>
        <v>31561.521917481892</v>
      </c>
      <c r="K158" s="367">
        <f t="shared" si="33"/>
        <v>32505.737565428077</v>
      </c>
      <c r="L158" s="367">
        <f t="shared" si="33"/>
        <v>33475.258192739202</v>
      </c>
      <c r="M158" s="367">
        <f t="shared" si="33"/>
        <v>34798.15641813504</v>
      </c>
      <c r="N158" s="367">
        <f t="shared" si="33"/>
        <v>35820.339699565418</v>
      </c>
      <c r="O158" s="367">
        <f t="shared" si="33"/>
        <v>36869.917492938126</v>
      </c>
      <c r="P158" s="367">
        <f t="shared" si="33"/>
        <v>37947.623971173205</v>
      </c>
      <c r="Q158" s="367">
        <f t="shared" si="33"/>
        <v>39054.212983025005</v>
      </c>
    </row>
    <row r="159" spans="1:17" ht="14.4">
      <c r="A159" s="395" t="s">
        <v>331</v>
      </c>
      <c r="B159" s="378">
        <f>+SUM(C159:Q159)</f>
        <v>11028.023419714284</v>
      </c>
      <c r="C159" s="381">
        <f>+C148</f>
        <v>1206.1900615312502</v>
      </c>
      <c r="D159" s="381">
        <f t="shared" ref="D159:Q159" si="34">+D148</f>
        <v>1091.3148175758929</v>
      </c>
      <c r="E159" s="381">
        <f t="shared" si="34"/>
        <v>1091.3148175758929</v>
      </c>
      <c r="F159" s="381">
        <f t="shared" si="34"/>
        <v>1091.3148175758929</v>
      </c>
      <c r="G159" s="381">
        <f t="shared" si="34"/>
        <v>1091.3148175758929</v>
      </c>
      <c r="H159" s="381">
        <f t="shared" si="34"/>
        <v>1091.3148175758929</v>
      </c>
      <c r="I159" s="381">
        <f t="shared" si="34"/>
        <v>1091.3148175758929</v>
      </c>
      <c r="J159" s="381">
        <f t="shared" si="34"/>
        <v>1091.3148175758929</v>
      </c>
      <c r="K159" s="381">
        <f t="shared" si="34"/>
        <v>1091.3148175758929</v>
      </c>
      <c r="L159" s="381">
        <f t="shared" si="34"/>
        <v>1091.3148175758929</v>
      </c>
      <c r="M159" s="381">
        <f t="shared" si="34"/>
        <v>0</v>
      </c>
      <c r="N159" s="381">
        <f t="shared" si="34"/>
        <v>0</v>
      </c>
      <c r="O159" s="381">
        <f t="shared" si="34"/>
        <v>0</v>
      </c>
      <c r="P159" s="381">
        <f t="shared" si="34"/>
        <v>0</v>
      </c>
      <c r="Q159" s="381">
        <f t="shared" si="34"/>
        <v>0</v>
      </c>
    </row>
    <row r="160" spans="1:17" ht="14.4">
      <c r="A160" s="395" t="s">
        <v>332</v>
      </c>
      <c r="B160" s="378">
        <f>+Baseline_NaturalGas!C138</f>
        <v>0</v>
      </c>
      <c r="C160" s="367">
        <f>+Baseline_NaturalGas!D138</f>
        <v>0</v>
      </c>
      <c r="D160" s="367">
        <f>+Baseline_NaturalGas!E138</f>
        <v>0</v>
      </c>
      <c r="E160" s="367">
        <f>+Baseline_NaturalGas!F138</f>
        <v>0</v>
      </c>
      <c r="F160" s="367">
        <f>+Baseline_NaturalGas!G138</f>
        <v>0</v>
      </c>
      <c r="G160" s="367">
        <f>+Baseline_NaturalGas!H138</f>
        <v>0</v>
      </c>
      <c r="H160" s="367">
        <f>+Baseline_NaturalGas!I138</f>
        <v>0</v>
      </c>
      <c r="I160" s="367">
        <f>+Baseline_NaturalGas!J138</f>
        <v>0</v>
      </c>
      <c r="J160" s="367">
        <f>+Baseline_NaturalGas!K138</f>
        <v>0</v>
      </c>
      <c r="K160" s="367">
        <f>+Baseline_NaturalGas!L138</f>
        <v>0</v>
      </c>
      <c r="L160" s="367">
        <f>+Baseline_NaturalGas!M138</f>
        <v>0</v>
      </c>
      <c r="M160" s="367">
        <f>+Baseline_NaturalGas!N138</f>
        <v>0</v>
      </c>
      <c r="N160" s="367">
        <f>+Baseline_NaturalGas!O138</f>
        <v>0</v>
      </c>
      <c r="O160" s="367">
        <f>+Baseline_NaturalGas!P138</f>
        <v>0</v>
      </c>
      <c r="P160" s="367">
        <f>+Baseline_NaturalGas!Q138</f>
        <v>0</v>
      </c>
      <c r="Q160" s="367">
        <f>+Baseline_NaturalGas!R138</f>
        <v>0</v>
      </c>
    </row>
    <row r="161" spans="1:17" ht="14.4">
      <c r="A161" s="510"/>
      <c r="B161" s="511"/>
      <c r="C161" s="511"/>
      <c r="D161" s="511"/>
      <c r="E161" s="511"/>
      <c r="F161" s="511"/>
      <c r="G161" s="511"/>
      <c r="H161" s="511"/>
      <c r="I161" s="511"/>
      <c r="J161" s="511"/>
      <c r="K161" s="511"/>
      <c r="L161" s="511"/>
      <c r="M161" s="511"/>
      <c r="N161" s="511"/>
      <c r="O161" s="511"/>
      <c r="P161" s="511"/>
      <c r="Q161" s="511"/>
    </row>
    <row r="162" spans="1:17" ht="14.4">
      <c r="A162" s="366" t="s">
        <v>110</v>
      </c>
      <c r="B162" s="381">
        <f>-Baseline_NaturalGas!$D$5*(1+$E$7)</f>
        <v>-12061.900615312501</v>
      </c>
      <c r="C162" s="367">
        <f>+C158+C159+C160</f>
        <v>27191.131404712109</v>
      </c>
      <c r="D162" s="367">
        <f t="shared" ref="D162:Q162" si="35">+D158+D159+D160</f>
        <v>27949.486644550943</v>
      </c>
      <c r="E162" s="367">
        <f t="shared" si="35"/>
        <v>28695.836313354168</v>
      </c>
      <c r="F162" s="367">
        <f t="shared" si="35"/>
        <v>29407.079274642161</v>
      </c>
      <c r="G162" s="367">
        <f t="shared" si="35"/>
        <v>30254.04015052503</v>
      </c>
      <c r="H162" s="367">
        <f t="shared" si="35"/>
        <v>31010.316214296265</v>
      </c>
      <c r="I162" s="367">
        <f t="shared" si="35"/>
        <v>31733.265593700005</v>
      </c>
      <c r="J162" s="367">
        <f t="shared" si="35"/>
        <v>32652.836735057786</v>
      </c>
      <c r="K162" s="367">
        <f t="shared" si="35"/>
        <v>33597.052383003967</v>
      </c>
      <c r="L162" s="367">
        <f t="shared" si="35"/>
        <v>34566.573010315093</v>
      </c>
      <c r="M162" s="367">
        <f t="shared" si="35"/>
        <v>34798.15641813504</v>
      </c>
      <c r="N162" s="367">
        <f t="shared" si="35"/>
        <v>35820.339699565418</v>
      </c>
      <c r="O162" s="367">
        <f t="shared" si="35"/>
        <v>36869.917492938126</v>
      </c>
      <c r="P162" s="367">
        <f t="shared" si="35"/>
        <v>37947.623971173205</v>
      </c>
      <c r="Q162" s="367">
        <f t="shared" si="35"/>
        <v>39054.212983025005</v>
      </c>
    </row>
    <row r="163" spans="1:17" ht="15.6">
      <c r="A163" s="366" t="s">
        <v>51</v>
      </c>
      <c r="B163" s="132">
        <f>IRR(B162:Q162)</f>
        <v>2.2817158638028161</v>
      </c>
      <c r="C163" s="390"/>
      <c r="D163" s="390"/>
      <c r="E163" s="390"/>
      <c r="F163" s="390"/>
      <c r="G163" s="390"/>
      <c r="H163" s="390"/>
      <c r="I163" s="390"/>
      <c r="J163" s="390"/>
      <c r="K163" s="390"/>
      <c r="L163" s="390"/>
      <c r="M163" s="390"/>
      <c r="N163" s="390"/>
      <c r="O163" s="390"/>
      <c r="P163" s="390"/>
      <c r="Q163" s="390"/>
    </row>
    <row r="164" spans="1:17" ht="15.6">
      <c r="A164" s="366" t="s">
        <v>267</v>
      </c>
      <c r="B164" s="303">
        <f>NPV('Initial Data'!$C$21/100,B162:Q162)</f>
        <v>178413.76123734881</v>
      </c>
      <c r="C164" s="373"/>
      <c r="D164" s="373"/>
      <c r="E164" s="373"/>
      <c r="F164" s="373"/>
      <c r="G164" s="373"/>
      <c r="H164" s="373"/>
      <c r="I164" s="373"/>
      <c r="J164" s="373"/>
      <c r="K164" s="373"/>
      <c r="L164" s="373"/>
      <c r="M164" s="373"/>
      <c r="N164" s="373"/>
      <c r="O164" s="373"/>
      <c r="P164" s="373"/>
      <c r="Q164" s="373"/>
    </row>
    <row r="165" spans="1:17" ht="14.4">
      <c r="A165" s="370"/>
      <c r="B165" s="373"/>
      <c r="C165" s="373"/>
      <c r="D165" s="373"/>
      <c r="E165" s="373"/>
      <c r="F165" s="373"/>
      <c r="G165" s="373"/>
      <c r="H165" s="373"/>
      <c r="I165" s="373"/>
      <c r="J165" s="373"/>
      <c r="K165" s="373"/>
      <c r="L165" s="373"/>
      <c r="M165" s="373"/>
      <c r="N165" s="373"/>
      <c r="O165" s="373"/>
      <c r="P165" s="373"/>
      <c r="Q165" s="373"/>
    </row>
    <row r="166" spans="1:17" ht="14.4">
      <c r="A166" s="508" t="s">
        <v>329</v>
      </c>
      <c r="B166" s="509"/>
      <c r="C166" s="509"/>
      <c r="D166" s="509"/>
      <c r="E166" s="509"/>
      <c r="F166" s="509"/>
      <c r="G166" s="509"/>
      <c r="H166" s="509"/>
      <c r="I166" s="509"/>
      <c r="J166" s="509"/>
      <c r="K166" s="509"/>
      <c r="L166" s="509"/>
      <c r="M166" s="509"/>
      <c r="N166" s="509"/>
      <c r="O166" s="509"/>
      <c r="P166" s="509"/>
      <c r="Q166" s="509"/>
    </row>
    <row r="167" spans="1:17" ht="14.4">
      <c r="A167" s="371" t="s">
        <v>334</v>
      </c>
      <c r="B167" s="372"/>
      <c r="C167" s="372"/>
      <c r="D167" s="372"/>
      <c r="E167" s="372"/>
      <c r="F167" s="372"/>
      <c r="G167" s="372"/>
      <c r="H167" s="372"/>
      <c r="I167" s="372"/>
      <c r="J167" s="372"/>
      <c r="K167" s="372"/>
      <c r="L167" s="372"/>
      <c r="M167" s="372"/>
      <c r="N167" s="372"/>
      <c r="O167" s="372"/>
      <c r="P167" s="372"/>
      <c r="Q167" s="372"/>
    </row>
    <row r="168" spans="1:17" ht="27">
      <c r="A168" s="376"/>
      <c r="B168" s="304" t="s">
        <v>35</v>
      </c>
      <c r="C168" s="352" t="s">
        <v>407</v>
      </c>
      <c r="D168" s="352" t="s">
        <v>408</v>
      </c>
      <c r="E168" s="352" t="s">
        <v>409</v>
      </c>
      <c r="F168" s="352" t="s">
        <v>410</v>
      </c>
      <c r="G168" s="352" t="s">
        <v>411</v>
      </c>
      <c r="H168" s="352" t="s">
        <v>412</v>
      </c>
      <c r="I168" s="352" t="s">
        <v>413</v>
      </c>
      <c r="J168" s="352" t="s">
        <v>414</v>
      </c>
      <c r="K168" s="352" t="s">
        <v>415</v>
      </c>
      <c r="L168" s="352" t="s">
        <v>416</v>
      </c>
      <c r="M168" s="352" t="s">
        <v>417</v>
      </c>
      <c r="N168" s="352" t="s">
        <v>418</v>
      </c>
      <c r="O168" s="352" t="s">
        <v>419</v>
      </c>
      <c r="P168" s="352" t="s">
        <v>420</v>
      </c>
      <c r="Q168" s="352" t="s">
        <v>421</v>
      </c>
    </row>
    <row r="169" spans="1:17" ht="14.4">
      <c r="A169" s="363" t="s">
        <v>290</v>
      </c>
      <c r="B169" s="365"/>
      <c r="C169" s="367">
        <f>+Baseline_NaturalGas!D10</f>
        <v>219000</v>
      </c>
      <c r="D169" s="367">
        <f>+Baseline_NaturalGas!E10</f>
        <v>219000</v>
      </c>
      <c r="E169" s="367">
        <f>+Baseline_NaturalGas!F10</f>
        <v>219000</v>
      </c>
      <c r="F169" s="367">
        <f>+Baseline_NaturalGas!G10</f>
        <v>219000</v>
      </c>
      <c r="G169" s="367">
        <f>+Baseline_NaturalGas!H10</f>
        <v>219000</v>
      </c>
      <c r="H169" s="367">
        <f>+Baseline_NaturalGas!I10</f>
        <v>219000</v>
      </c>
      <c r="I169" s="367">
        <f>+Baseline_NaturalGas!J10</f>
        <v>219000</v>
      </c>
      <c r="J169" s="367">
        <f>+Baseline_NaturalGas!K10</f>
        <v>219000</v>
      </c>
      <c r="K169" s="367">
        <f>+Baseline_NaturalGas!L10</f>
        <v>219000</v>
      </c>
      <c r="L169" s="367">
        <f>+Baseline_NaturalGas!M10</f>
        <v>219000</v>
      </c>
      <c r="M169" s="367">
        <f>+Baseline_NaturalGas!N10</f>
        <v>219000</v>
      </c>
      <c r="N169" s="367">
        <f>+Baseline_NaturalGas!O10</f>
        <v>219000</v>
      </c>
      <c r="O169" s="367">
        <f>+Baseline_NaturalGas!P10</f>
        <v>219000</v>
      </c>
      <c r="P169" s="367">
        <f>+Baseline_NaturalGas!Q10</f>
        <v>219000</v>
      </c>
      <c r="Q169" s="367">
        <f>+Baseline_NaturalGas!R10</f>
        <v>219000</v>
      </c>
    </row>
    <row r="170" spans="1:17" ht="14.4">
      <c r="A170" s="364" t="s">
        <v>291</v>
      </c>
      <c r="B170" s="365"/>
      <c r="C170" s="367">
        <f>+Baseline_NaturalGas!D11</f>
        <v>70</v>
      </c>
      <c r="D170" s="367">
        <f>+Baseline_NaturalGas!E11</f>
        <v>70</v>
      </c>
      <c r="E170" s="367">
        <f>+Baseline_NaturalGas!F11</f>
        <v>70</v>
      </c>
      <c r="F170" s="367">
        <f>+Baseline_NaturalGas!G11</f>
        <v>70</v>
      </c>
      <c r="G170" s="367">
        <f>+Baseline_NaturalGas!H11</f>
        <v>70</v>
      </c>
      <c r="H170" s="367">
        <f>+Baseline_NaturalGas!I11</f>
        <v>70</v>
      </c>
      <c r="I170" s="367">
        <f>+Baseline_NaturalGas!J11</f>
        <v>70</v>
      </c>
      <c r="J170" s="367">
        <f>+Baseline_NaturalGas!K11</f>
        <v>70</v>
      </c>
      <c r="K170" s="367">
        <f>+Baseline_NaturalGas!L11</f>
        <v>70</v>
      </c>
      <c r="L170" s="367">
        <f>+Baseline_NaturalGas!M11</f>
        <v>70</v>
      </c>
      <c r="M170" s="367">
        <f>+Baseline_NaturalGas!N11</f>
        <v>70</v>
      </c>
      <c r="N170" s="367">
        <f>+Baseline_NaturalGas!O11</f>
        <v>70</v>
      </c>
      <c r="O170" s="367">
        <f>+Baseline_NaturalGas!P11</f>
        <v>70</v>
      </c>
      <c r="P170" s="367">
        <f>+Baseline_NaturalGas!Q11</f>
        <v>70</v>
      </c>
      <c r="Q170" s="367">
        <f>+Baseline_NaturalGas!R11</f>
        <v>70</v>
      </c>
    </row>
    <row r="171" spans="1:17" ht="14.4">
      <c r="A171" s="366" t="s">
        <v>292</v>
      </c>
      <c r="B171" s="365"/>
      <c r="C171" s="375">
        <f>+Baseline_NaturalGas!D12</f>
        <v>6.4285714285714288</v>
      </c>
      <c r="D171" s="375">
        <f>+Baseline_NaturalGas!E12</f>
        <v>6.6008571428571425</v>
      </c>
      <c r="E171" s="375">
        <f>+Baseline_NaturalGas!F12</f>
        <v>6.7777601142857131</v>
      </c>
      <c r="F171" s="375">
        <f>+Baseline_NaturalGas!G12</f>
        <v>6.9594040853485701</v>
      </c>
      <c r="G171" s="375">
        <f>+Baseline_NaturalGas!H12</f>
        <v>7.1459161148359112</v>
      </c>
      <c r="H171" s="375">
        <f>+Baseline_NaturalGas!I12</f>
        <v>7.3374266667135135</v>
      </c>
      <c r="I171" s="375">
        <f>+Baseline_NaturalGas!J12</f>
        <v>7.5340697013814353</v>
      </c>
      <c r="J171" s="375">
        <f>+Baseline_NaturalGas!K12</f>
        <v>7.7359827693784569</v>
      </c>
      <c r="K171" s="375">
        <f>+Baseline_NaturalGas!L12</f>
        <v>7.943307107597799</v>
      </c>
      <c r="L171" s="375">
        <f>+Baseline_NaturalGas!M12</f>
        <v>8.1561877380814192</v>
      </c>
      <c r="M171" s="375">
        <f>+Baseline_NaturalGas!N12</f>
        <v>8.3747735694620005</v>
      </c>
      <c r="N171" s="375">
        <f>+Baseline_NaturalGas!O12</f>
        <v>8.5992175011235812</v>
      </c>
      <c r="O171" s="375">
        <f>+Baseline_NaturalGas!P12</f>
        <v>8.8296765301536926</v>
      </c>
      <c r="P171" s="375">
        <f>+Baseline_NaturalGas!Q12</f>
        <v>9.066311861161811</v>
      </c>
      <c r="Q171" s="375">
        <f>+Baseline_NaturalGas!R12</f>
        <v>9.3092890190409463</v>
      </c>
    </row>
    <row r="172" spans="1:17" ht="14.4">
      <c r="A172" s="366" t="s">
        <v>293</v>
      </c>
      <c r="B172" s="365"/>
      <c r="C172" s="367">
        <f>+Baseline_NaturalGas!D13</f>
        <v>450</v>
      </c>
      <c r="D172" s="367">
        <f>+Baseline_NaturalGas!E13</f>
        <v>462.06</v>
      </c>
      <c r="E172" s="367">
        <f>+Baseline_NaturalGas!F13</f>
        <v>474.44320799999991</v>
      </c>
      <c r="F172" s="367">
        <f>+Baseline_NaturalGas!G13</f>
        <v>487.15828597439992</v>
      </c>
      <c r="G172" s="367">
        <f>+Baseline_NaturalGas!H13</f>
        <v>500.21412803851376</v>
      </c>
      <c r="H172" s="367">
        <f>+Baseline_NaturalGas!I13</f>
        <v>513.61986666994596</v>
      </c>
      <c r="I172" s="367">
        <f>+Baseline_NaturalGas!J13</f>
        <v>527.3848790967005</v>
      </c>
      <c r="J172" s="367">
        <f>+Baseline_NaturalGas!K13</f>
        <v>541.51879385649192</v>
      </c>
      <c r="K172" s="367">
        <f>+Baseline_NaturalGas!L13</f>
        <v>556.03149753184596</v>
      </c>
      <c r="L172" s="367">
        <f>+Baseline_NaturalGas!M13</f>
        <v>570.9331416656994</v>
      </c>
      <c r="M172" s="367">
        <f>+Baseline_NaturalGas!N13</f>
        <v>586.23414986234002</v>
      </c>
      <c r="N172" s="367">
        <f>+Baseline_NaturalGas!O13</f>
        <v>601.94522507865065</v>
      </c>
      <c r="O172" s="367">
        <f>+Baseline_NaturalGas!P13</f>
        <v>618.0773571107585</v>
      </c>
      <c r="P172" s="367">
        <f>+Baseline_NaturalGas!Q13</f>
        <v>634.64183028132675</v>
      </c>
      <c r="Q172" s="367">
        <f>+Baseline_NaturalGas!R13</f>
        <v>651.65023133286627</v>
      </c>
    </row>
    <row r="173" spans="1:17" ht="14.4">
      <c r="A173" s="370"/>
      <c r="B173" s="373"/>
      <c r="C173" s="373"/>
      <c r="D173" s="373"/>
      <c r="E173" s="373"/>
      <c r="F173" s="373"/>
      <c r="G173" s="373"/>
      <c r="H173" s="373"/>
      <c r="I173" s="373"/>
      <c r="J173" s="373"/>
      <c r="K173" s="373"/>
      <c r="L173" s="373"/>
      <c r="M173" s="373"/>
      <c r="N173" s="373"/>
      <c r="O173" s="373"/>
      <c r="P173" s="373"/>
      <c r="Q173" s="373"/>
    </row>
    <row r="174" spans="1:17" ht="14.4">
      <c r="A174" s="366" t="s">
        <v>294</v>
      </c>
      <c r="B174" s="378">
        <f>+SUM(C174:Q174)</f>
        <v>1790524.8581953994</v>
      </c>
      <c r="C174" s="367">
        <f>C169*C172/1000*'Initial Data'!$C$34/'Initial Data'!$C$33</f>
        <v>98550</v>
      </c>
      <c r="D174" s="367">
        <f>D169*D172/1000*'Initial Data'!$C$34/'Initial Data'!$C$33</f>
        <v>101191.14</v>
      </c>
      <c r="E174" s="367">
        <f>E169*E172/1000*'Initial Data'!$C$34/'Initial Data'!$C$33</f>
        <v>103903.06255199999</v>
      </c>
      <c r="F174" s="367">
        <f>F169*F172/1000*'Initial Data'!$C$34/'Initial Data'!$C$33</f>
        <v>106687.66462839357</v>
      </c>
      <c r="G174" s="367">
        <f>G169*G172/1000*'Initial Data'!$C$34/'Initial Data'!$C$33</f>
        <v>109546.8940404345</v>
      </c>
      <c r="H174" s="367">
        <f>H169*H172/1000*'Initial Data'!$C$34/'Initial Data'!$C$33</f>
        <v>112482.75080071818</v>
      </c>
      <c r="I174" s="367">
        <f>I169*I172/1000*'Initial Data'!$C$34/'Initial Data'!$C$33</f>
        <v>115497.28852217742</v>
      </c>
      <c r="J174" s="367">
        <f>J169*J172/1000*'Initial Data'!$C$34/'Initial Data'!$C$33</f>
        <v>118592.61585457173</v>
      </c>
      <c r="K174" s="367">
        <f>K169*K172/1000*'Initial Data'!$C$34/'Initial Data'!$C$33</f>
        <v>121770.89795947427</v>
      </c>
      <c r="L174" s="367">
        <f>L169*L172/1000*'Initial Data'!$C$34/'Initial Data'!$C$33</f>
        <v>125034.35802478818</v>
      </c>
      <c r="M174" s="367">
        <f>M169*M172/1000*'Initial Data'!$C$34/'Initial Data'!$C$33</f>
        <v>128385.27881985246</v>
      </c>
      <c r="N174" s="367">
        <f>N169*N172/1000*'Initial Data'!$C$34/'Initial Data'!$C$33</f>
        <v>131826.0042922245</v>
      </c>
      <c r="O174" s="367">
        <f>O169*O172/1000*'Initial Data'!$C$34/'Initial Data'!$C$33</f>
        <v>135358.94120725611</v>
      </c>
      <c r="P174" s="367">
        <f>P169*P172/1000*'Initial Data'!$C$34/'Initial Data'!$C$33</f>
        <v>138986.56083161055</v>
      </c>
      <c r="Q174" s="367">
        <f>Q169*Q172/1000*'Initial Data'!$C$34/'Initial Data'!$C$33</f>
        <v>142711.40066189773</v>
      </c>
    </row>
    <row r="175" spans="1:17" ht="14.4">
      <c r="A175" s="370"/>
      <c r="B175" s="373"/>
      <c r="C175" s="373"/>
      <c r="D175" s="373"/>
      <c r="E175" s="373"/>
      <c r="F175" s="373"/>
      <c r="G175" s="373"/>
      <c r="H175" s="373"/>
      <c r="I175" s="373"/>
      <c r="J175" s="373"/>
      <c r="K175" s="373"/>
      <c r="L175" s="373"/>
      <c r="M175" s="373"/>
      <c r="N175" s="373"/>
      <c r="O175" s="373"/>
      <c r="P175" s="373"/>
      <c r="Q175" s="373"/>
    </row>
    <row r="176" spans="1:17" ht="14.4">
      <c r="A176" s="366" t="s">
        <v>295</v>
      </c>
      <c r="B176" s="378">
        <f>+SUM(C176:Q176)</f>
        <v>1790524.8581953994</v>
      </c>
      <c r="C176" s="367">
        <f>+C174</f>
        <v>98550</v>
      </c>
      <c r="D176" s="367">
        <f t="shared" ref="D176:Q176" si="36">+D174</f>
        <v>101191.14</v>
      </c>
      <c r="E176" s="367">
        <f t="shared" si="36"/>
        <v>103903.06255199999</v>
      </c>
      <c r="F176" s="367">
        <f t="shared" si="36"/>
        <v>106687.66462839357</v>
      </c>
      <c r="G176" s="367">
        <f t="shared" si="36"/>
        <v>109546.8940404345</v>
      </c>
      <c r="H176" s="367">
        <f t="shared" si="36"/>
        <v>112482.75080071818</v>
      </c>
      <c r="I176" s="367">
        <f t="shared" si="36"/>
        <v>115497.28852217742</v>
      </c>
      <c r="J176" s="367">
        <f t="shared" si="36"/>
        <v>118592.61585457173</v>
      </c>
      <c r="K176" s="367">
        <f t="shared" si="36"/>
        <v>121770.89795947427</v>
      </c>
      <c r="L176" s="367">
        <f t="shared" si="36"/>
        <v>125034.35802478818</v>
      </c>
      <c r="M176" s="367">
        <f t="shared" si="36"/>
        <v>128385.27881985246</v>
      </c>
      <c r="N176" s="367">
        <f t="shared" si="36"/>
        <v>131826.0042922245</v>
      </c>
      <c r="O176" s="367">
        <f t="shared" si="36"/>
        <v>135358.94120725611</v>
      </c>
      <c r="P176" s="367">
        <f t="shared" si="36"/>
        <v>138986.56083161055</v>
      </c>
      <c r="Q176" s="367">
        <f t="shared" si="36"/>
        <v>142711.40066189773</v>
      </c>
    </row>
    <row r="177" spans="1:17" ht="14.4">
      <c r="A177" s="370"/>
      <c r="B177" s="374"/>
      <c r="C177" s="374"/>
      <c r="D177" s="374"/>
      <c r="E177" s="374"/>
      <c r="F177" s="374"/>
      <c r="G177" s="374"/>
      <c r="H177" s="374"/>
      <c r="I177" s="374"/>
      <c r="J177" s="374"/>
      <c r="K177" s="374"/>
      <c r="L177" s="374"/>
      <c r="M177" s="374"/>
      <c r="N177" s="374"/>
      <c r="O177" s="374"/>
      <c r="P177" s="374"/>
      <c r="Q177" s="374"/>
    </row>
    <row r="178" spans="1:17" ht="14.4">
      <c r="A178" s="366" t="s">
        <v>68</v>
      </c>
      <c r="B178" s="368"/>
      <c r="C178" s="368"/>
      <c r="D178" s="368"/>
      <c r="E178" s="368"/>
      <c r="F178" s="368"/>
      <c r="G178" s="368"/>
      <c r="H178" s="368"/>
      <c r="I178" s="368"/>
      <c r="J178" s="368"/>
      <c r="K178" s="368"/>
      <c r="L178" s="368"/>
      <c r="M178" s="368"/>
      <c r="N178" s="368"/>
      <c r="O178" s="368"/>
      <c r="P178" s="368"/>
      <c r="Q178" s="368"/>
    </row>
    <row r="179" spans="1:17" ht="14.4">
      <c r="A179" s="366" t="s">
        <v>330</v>
      </c>
      <c r="B179" s="378">
        <f>+SUM(C179:Q179)</f>
        <v>17405.991521183645</v>
      </c>
      <c r="C179" s="367">
        <f>+Baseline_NaturalGas!D20</f>
        <v>958.02102749999995</v>
      </c>
      <c r="D179" s="367">
        <f>+Baseline_NaturalGas!E20</f>
        <v>983.69599103699989</v>
      </c>
      <c r="E179" s="367">
        <f>+Baseline_NaturalGas!F20</f>
        <v>1010.0590435967914</v>
      </c>
      <c r="F179" s="367">
        <f>+Baseline_NaturalGas!G20</f>
        <v>1037.1286259651854</v>
      </c>
      <c r="G179" s="367">
        <f>+Baseline_NaturalGas!H20</f>
        <v>1064.9236731410524</v>
      </c>
      <c r="H179" s="367">
        <f>+Baseline_NaturalGas!I20</f>
        <v>1093.4636275812325</v>
      </c>
      <c r="I179" s="367">
        <f>+Baseline_NaturalGas!J20</f>
        <v>1122.7684528004095</v>
      </c>
      <c r="J179" s="367">
        <f>+Baseline_NaturalGas!K20</f>
        <v>1152.8586473354603</v>
      </c>
      <c r="K179" s="367">
        <f>+Baseline_NaturalGas!L20</f>
        <v>1183.7552590840505</v>
      </c>
      <c r="L179" s="367">
        <f>+Baseline_NaturalGas!M20</f>
        <v>1215.4799000275029</v>
      </c>
      <c r="M179" s="367">
        <f>+Baseline_NaturalGas!N20</f>
        <v>1248.0547613482399</v>
      </c>
      <c r="N179" s="367">
        <f>+Baseline_NaturalGas!O20</f>
        <v>1281.5026289523728</v>
      </c>
      <c r="O179" s="367">
        <f>+Baseline_NaturalGas!P20</f>
        <v>1315.8468994082964</v>
      </c>
      <c r="P179" s="367">
        <f>+Baseline_NaturalGas!Q20</f>
        <v>1351.1115963124387</v>
      </c>
      <c r="Q179" s="367">
        <f>+Baseline_NaturalGas!R20</f>
        <v>1387.321387093612</v>
      </c>
    </row>
    <row r="180" spans="1:17" ht="14.4">
      <c r="A180" s="370"/>
      <c r="B180" s="369"/>
      <c r="C180" s="369"/>
      <c r="D180" s="369"/>
      <c r="E180" s="369"/>
      <c r="F180" s="369"/>
      <c r="G180" s="369"/>
      <c r="H180" s="369"/>
      <c r="I180" s="369"/>
      <c r="J180" s="369"/>
      <c r="K180" s="369"/>
      <c r="L180" s="369"/>
      <c r="M180" s="369"/>
      <c r="N180" s="369"/>
      <c r="O180" s="369"/>
      <c r="P180" s="369"/>
      <c r="Q180" s="369"/>
    </row>
    <row r="181" spans="1:17" ht="14.4">
      <c r="A181" s="366" t="s">
        <v>71</v>
      </c>
      <c r="B181" s="379"/>
      <c r="C181" s="379"/>
      <c r="D181" s="379"/>
      <c r="E181" s="379"/>
      <c r="F181" s="379"/>
      <c r="G181" s="379"/>
      <c r="H181" s="379"/>
      <c r="I181" s="379"/>
      <c r="J181" s="379"/>
      <c r="K181" s="379"/>
      <c r="L181" s="379"/>
      <c r="M181" s="379"/>
      <c r="N181" s="379"/>
      <c r="O181" s="379"/>
      <c r="P181" s="379"/>
      <c r="Q181" s="379"/>
    </row>
    <row r="182" spans="1:17" ht="14.4">
      <c r="A182" s="370"/>
      <c r="B182" s="379"/>
      <c r="C182" s="379"/>
      <c r="D182" s="379"/>
      <c r="E182" s="379"/>
      <c r="F182" s="379"/>
      <c r="G182" s="379"/>
      <c r="H182" s="379"/>
      <c r="I182" s="379"/>
      <c r="J182" s="379"/>
      <c r="K182" s="379"/>
      <c r="L182" s="379"/>
      <c r="M182" s="379"/>
      <c r="N182" s="379"/>
      <c r="O182" s="379"/>
      <c r="P182" s="379"/>
      <c r="Q182" s="379"/>
    </row>
    <row r="183" spans="1:17" ht="14.4">
      <c r="A183" s="366" t="s">
        <v>64</v>
      </c>
      <c r="B183" s="373"/>
      <c r="C183" s="367">
        <f>+Baseline_NaturalGas!D24</f>
        <v>1656.5089715892002</v>
      </c>
      <c r="D183" s="367">
        <f>+Baseline_NaturalGas!E24</f>
        <v>1656.5089715892002</v>
      </c>
      <c r="E183" s="367">
        <f>+Baseline_NaturalGas!F24</f>
        <v>1656.5089715892002</v>
      </c>
      <c r="F183" s="367">
        <f>+Baseline_NaturalGas!G24</f>
        <v>1656.5089715892002</v>
      </c>
      <c r="G183" s="367">
        <f>+Baseline_NaturalGas!H24</f>
        <v>1656.5089715892002</v>
      </c>
      <c r="H183" s="367">
        <f>+Baseline_NaturalGas!I24</f>
        <v>1656.5089715892002</v>
      </c>
      <c r="I183" s="367">
        <f>+Baseline_NaturalGas!J24</f>
        <v>1656.5089715892002</v>
      </c>
      <c r="J183" s="367">
        <f>+Baseline_NaturalGas!K24</f>
        <v>1656.5089715892002</v>
      </c>
      <c r="K183" s="367">
        <f>+Baseline_NaturalGas!L24</f>
        <v>1656.5089715892002</v>
      </c>
      <c r="L183" s="367">
        <f>+Baseline_NaturalGas!M24</f>
        <v>1656.5089715892002</v>
      </c>
      <c r="M183" s="367">
        <f>+Baseline_NaturalGas!N24</f>
        <v>1656.5089715892002</v>
      </c>
      <c r="N183" s="367">
        <f>+Baseline_NaturalGas!O24</f>
        <v>1656.5089715892002</v>
      </c>
      <c r="O183" s="367">
        <f>+Baseline_NaturalGas!P24</f>
        <v>1656.5089715892002</v>
      </c>
      <c r="P183" s="367">
        <f>+Baseline_NaturalGas!Q24</f>
        <v>1656.5089715892002</v>
      </c>
      <c r="Q183" s="367">
        <f>+Baseline_NaturalGas!R24</f>
        <v>1656.5089715892002</v>
      </c>
    </row>
    <row r="184" spans="1:17" ht="14.4">
      <c r="A184" s="366" t="s">
        <v>108</v>
      </c>
      <c r="B184" s="387">
        <f>+Baseline_NaturalGas!C25</f>
        <v>0.90200000000000002</v>
      </c>
      <c r="C184" s="373"/>
      <c r="D184" s="373"/>
      <c r="E184" s="373"/>
      <c r="F184" s="373"/>
      <c r="G184" s="373"/>
      <c r="H184" s="373"/>
      <c r="I184" s="373"/>
      <c r="J184" s="373"/>
      <c r="K184" s="373"/>
      <c r="L184" s="373"/>
      <c r="M184" s="373"/>
      <c r="N184" s="373"/>
      <c r="O184" s="373"/>
      <c r="P184" s="373"/>
      <c r="Q184" s="373"/>
    </row>
    <row r="185" spans="1:17" ht="14.4">
      <c r="A185" s="366" t="s">
        <v>346</v>
      </c>
      <c r="B185" s="373"/>
      <c r="C185" s="367">
        <f>+Baseline_NaturalGas!D26</f>
        <v>1741816.7092883086</v>
      </c>
      <c r="D185" s="367">
        <f>+Baseline_NaturalGas!E26</f>
        <v>1741816.7092883086</v>
      </c>
      <c r="E185" s="367">
        <f>+Baseline_NaturalGas!F26</f>
        <v>1741816.7092883086</v>
      </c>
      <c r="F185" s="367">
        <f>+Baseline_NaturalGas!G26</f>
        <v>1741816.7092883086</v>
      </c>
      <c r="G185" s="367">
        <f>+Baseline_NaturalGas!H26</f>
        <v>1741816.7092883086</v>
      </c>
      <c r="H185" s="367">
        <f>+Baseline_NaturalGas!I26</f>
        <v>1741816.7092883086</v>
      </c>
      <c r="I185" s="367">
        <f>+Baseline_NaturalGas!J26</f>
        <v>1741816.7092883086</v>
      </c>
      <c r="J185" s="367">
        <f>+Baseline_NaturalGas!K26</f>
        <v>1741816.7092883086</v>
      </c>
      <c r="K185" s="367">
        <f>+Baseline_NaturalGas!L26</f>
        <v>1741816.7092883086</v>
      </c>
      <c r="L185" s="367">
        <f>+Baseline_NaturalGas!M26</f>
        <v>1741816.7092883086</v>
      </c>
      <c r="M185" s="367">
        <f>+Baseline_NaturalGas!N26</f>
        <v>1741816.7092883086</v>
      </c>
      <c r="N185" s="367">
        <f>+Baseline_NaturalGas!O26</f>
        <v>1741816.7092883086</v>
      </c>
      <c r="O185" s="367">
        <f>+Baseline_NaturalGas!P26</f>
        <v>1741816.7092883086</v>
      </c>
      <c r="P185" s="367">
        <f>+Baseline_NaturalGas!Q26</f>
        <v>1741816.7092883086</v>
      </c>
      <c r="Q185" s="367">
        <f>+Baseline_NaturalGas!R26</f>
        <v>1741816.7092883086</v>
      </c>
    </row>
    <row r="186" spans="1:17" ht="14.4">
      <c r="A186" s="366" t="s">
        <v>66</v>
      </c>
      <c r="B186" s="373"/>
      <c r="C186" s="367">
        <f>+Baseline_NaturalGas!D27</f>
        <v>5.6086944825694198</v>
      </c>
      <c r="D186" s="367">
        <f>+Baseline_NaturalGas!E27</f>
        <v>5.5051083831058802</v>
      </c>
      <c r="E186" s="367">
        <f>+Baseline_NaturalGas!F27</f>
        <v>5.61862622286578</v>
      </c>
      <c r="F186" s="367">
        <f>+Baseline_NaturalGas!G27</f>
        <v>5.8406487933251103</v>
      </c>
      <c r="G186" s="367">
        <f>+Baseline_NaturalGas!H27</f>
        <v>5.8453745748678001</v>
      </c>
      <c r="H186" s="367">
        <f>+Baseline_NaturalGas!I27</f>
        <v>6.0672099673130804</v>
      </c>
      <c r="I186" s="367">
        <f>+Baseline_NaturalGas!J27</f>
        <v>6.39755565092754</v>
      </c>
      <c r="J186" s="367">
        <f>+Baseline_NaturalGas!K27</f>
        <v>6.39755565092754</v>
      </c>
      <c r="K186" s="367">
        <f>+Baseline_NaturalGas!L27</f>
        <v>6.39755565092754</v>
      </c>
      <c r="L186" s="367">
        <f>+Baseline_NaturalGas!M27</f>
        <v>6.39755565092754</v>
      </c>
      <c r="M186" s="367">
        <f>+Baseline_NaturalGas!N27</f>
        <v>6.39755565092754</v>
      </c>
      <c r="N186" s="367">
        <f>+Baseline_NaturalGas!O27</f>
        <v>6.39755565092754</v>
      </c>
      <c r="O186" s="367">
        <f>+Baseline_NaturalGas!P27</f>
        <v>6.39755565092754</v>
      </c>
      <c r="P186" s="367">
        <f>+Baseline_NaturalGas!Q27</f>
        <v>6.39755565092754</v>
      </c>
      <c r="Q186" s="367">
        <f>+Baseline_NaturalGas!R27</f>
        <v>6.39755565092754</v>
      </c>
    </row>
    <row r="187" spans="1:17" ht="14.4">
      <c r="A187" s="370"/>
      <c r="B187" s="379"/>
      <c r="C187" s="379"/>
      <c r="D187" s="379"/>
      <c r="E187" s="379"/>
      <c r="F187" s="379"/>
      <c r="G187" s="379"/>
      <c r="H187" s="379"/>
      <c r="I187" s="379"/>
      <c r="J187" s="379"/>
      <c r="K187" s="379"/>
      <c r="L187" s="379"/>
      <c r="M187" s="379"/>
      <c r="N187" s="379"/>
      <c r="O187" s="379"/>
      <c r="P187" s="379"/>
      <c r="Q187" s="379"/>
    </row>
    <row r="188" spans="1:17" ht="14.4">
      <c r="A188" s="366" t="s">
        <v>102</v>
      </c>
      <c r="B188" s="378">
        <f t="shared" ref="B188" si="37">+SUM(C188:Q188)</f>
        <v>160358.02702356796</v>
      </c>
      <c r="C188" s="375">
        <f>+C185*C186/1000</f>
        <v>9769.3177670325604</v>
      </c>
      <c r="D188" s="375">
        <f>+D185*D186/1000</f>
        <v>9588.8897681369654</v>
      </c>
      <c r="E188" s="375">
        <f t="shared" ref="E188:Q188" si="38">+E185*E186/1000</f>
        <v>9786.6170382330711</v>
      </c>
      <c r="F188" s="375">
        <f t="shared" si="38"/>
        <v>10173.339661298274</v>
      </c>
      <c r="G188" s="375">
        <f t="shared" si="38"/>
        <v>10181.571106553778</v>
      </c>
      <c r="H188" s="375">
        <f t="shared" si="38"/>
        <v>10567.967699826495</v>
      </c>
      <c r="I188" s="375">
        <f t="shared" si="38"/>
        <v>11143.36933138743</v>
      </c>
      <c r="J188" s="375">
        <f t="shared" si="38"/>
        <v>11143.36933138743</v>
      </c>
      <c r="K188" s="375">
        <f t="shared" si="38"/>
        <v>11143.36933138743</v>
      </c>
      <c r="L188" s="375">
        <f t="shared" si="38"/>
        <v>11143.36933138743</v>
      </c>
      <c r="M188" s="375">
        <f t="shared" si="38"/>
        <v>11143.36933138743</v>
      </c>
      <c r="N188" s="375">
        <f t="shared" si="38"/>
        <v>11143.36933138743</v>
      </c>
      <c r="O188" s="375">
        <f t="shared" si="38"/>
        <v>11143.36933138743</v>
      </c>
      <c r="P188" s="375">
        <f t="shared" si="38"/>
        <v>11143.36933138743</v>
      </c>
      <c r="Q188" s="375">
        <f t="shared" si="38"/>
        <v>11143.36933138743</v>
      </c>
    </row>
    <row r="189" spans="1:17" ht="14.4">
      <c r="A189" s="370"/>
      <c r="B189" s="373"/>
      <c r="C189" s="373"/>
      <c r="D189" s="373"/>
      <c r="E189" s="373"/>
      <c r="F189" s="373"/>
      <c r="G189" s="373"/>
      <c r="H189" s="373"/>
      <c r="I189" s="373"/>
      <c r="J189" s="373"/>
      <c r="K189" s="373"/>
      <c r="L189" s="373"/>
      <c r="M189" s="373"/>
      <c r="N189" s="373"/>
      <c r="O189" s="373"/>
      <c r="P189" s="373"/>
      <c r="Q189" s="373"/>
    </row>
    <row r="190" spans="1:17" ht="14.4">
      <c r="A190" s="370"/>
      <c r="B190" s="379"/>
      <c r="C190" s="379"/>
      <c r="D190" s="379"/>
      <c r="E190" s="379"/>
      <c r="F190" s="379"/>
      <c r="G190" s="379"/>
      <c r="H190" s="379"/>
      <c r="I190" s="379"/>
      <c r="J190" s="379"/>
      <c r="K190" s="379"/>
      <c r="L190" s="379"/>
      <c r="M190" s="379"/>
      <c r="N190" s="379"/>
      <c r="O190" s="379"/>
      <c r="P190" s="379"/>
      <c r="Q190" s="379"/>
    </row>
    <row r="191" spans="1:17" ht="14.4">
      <c r="A191" s="366" t="s">
        <v>101</v>
      </c>
      <c r="B191" s="373"/>
      <c r="C191" s="375">
        <f>+C188+C179</f>
        <v>10727.338794532559</v>
      </c>
      <c r="D191" s="375">
        <f t="shared" ref="D191:Q191" si="39">+D188+D179</f>
        <v>10572.585759173966</v>
      </c>
      <c r="E191" s="375">
        <f t="shared" si="39"/>
        <v>10796.676081829863</v>
      </c>
      <c r="F191" s="375">
        <f t="shared" si="39"/>
        <v>11210.46828726346</v>
      </c>
      <c r="G191" s="375">
        <f t="shared" si="39"/>
        <v>11246.494779694831</v>
      </c>
      <c r="H191" s="375">
        <f t="shared" si="39"/>
        <v>11661.431327407727</v>
      </c>
      <c r="I191" s="375">
        <f t="shared" si="39"/>
        <v>12266.13778418784</v>
      </c>
      <c r="J191" s="375">
        <f t="shared" si="39"/>
        <v>12296.227978722891</v>
      </c>
      <c r="K191" s="375">
        <f t="shared" si="39"/>
        <v>12327.124590471481</v>
      </c>
      <c r="L191" s="375">
        <f t="shared" si="39"/>
        <v>12358.849231414933</v>
      </c>
      <c r="M191" s="375">
        <f t="shared" si="39"/>
        <v>12391.42409273567</v>
      </c>
      <c r="N191" s="375">
        <f t="shared" si="39"/>
        <v>12424.871960339802</v>
      </c>
      <c r="O191" s="375">
        <f t="shared" si="39"/>
        <v>12459.216230795726</v>
      </c>
      <c r="P191" s="375">
        <f t="shared" si="39"/>
        <v>12494.480927699869</v>
      </c>
      <c r="Q191" s="375">
        <f t="shared" si="39"/>
        <v>12530.690718481042</v>
      </c>
    </row>
    <row r="192" spans="1:17" ht="14.4">
      <c r="A192" s="370"/>
      <c r="B192" s="379"/>
      <c r="C192" s="379"/>
      <c r="D192" s="379"/>
      <c r="E192" s="379"/>
      <c r="F192" s="379"/>
      <c r="G192" s="379"/>
      <c r="H192" s="379"/>
      <c r="I192" s="379"/>
      <c r="J192" s="379"/>
      <c r="K192" s="379"/>
      <c r="L192" s="379"/>
      <c r="M192" s="379"/>
      <c r="N192" s="379"/>
      <c r="O192" s="379"/>
      <c r="P192" s="379"/>
      <c r="Q192" s="379"/>
    </row>
    <row r="193" spans="1:17" ht="14.4">
      <c r="A193" s="366" t="s">
        <v>73</v>
      </c>
      <c r="B193" s="378">
        <f>+SUM(C193:Q193)</f>
        <v>11085.461041691962</v>
      </c>
      <c r="C193" s="381">
        <f>+Baseline_NaturalGas!$D$5*(1+$F$7)/'Initial Data'!$C$19</f>
        <v>1263.6276835089288</v>
      </c>
      <c r="D193" s="381">
        <f>+Baseline_NaturalGas!$D$5*(1+$C$7)/'Initial Data'!$C$19</f>
        <v>1091.3148175758929</v>
      </c>
      <c r="E193" s="381">
        <f>+Baseline_NaturalGas!$D$5*(1+$C$7)/'Initial Data'!$C$19</f>
        <v>1091.3148175758929</v>
      </c>
      <c r="F193" s="381">
        <f>+Baseline_NaturalGas!$D$5*(1+$C$7)/'Initial Data'!$C$19</f>
        <v>1091.3148175758929</v>
      </c>
      <c r="G193" s="381">
        <f>+Baseline_NaturalGas!$D$5*(1+$C$7)/'Initial Data'!$C$19</f>
        <v>1091.3148175758929</v>
      </c>
      <c r="H193" s="381">
        <f>+Baseline_NaturalGas!$D$5*(1+$C$7)/'Initial Data'!$C$19</f>
        <v>1091.3148175758929</v>
      </c>
      <c r="I193" s="381">
        <f>+Baseline_NaturalGas!$D$5*(1+$C$7)/'Initial Data'!$C$19</f>
        <v>1091.3148175758929</v>
      </c>
      <c r="J193" s="381">
        <f>+Baseline_NaturalGas!$D$5*(1+$C$7)/'Initial Data'!$C$19</f>
        <v>1091.3148175758929</v>
      </c>
      <c r="K193" s="381">
        <f>+Baseline_NaturalGas!$D$5*(1+$C$7)/'Initial Data'!$C$19</f>
        <v>1091.3148175758929</v>
      </c>
      <c r="L193" s="381">
        <f>+Baseline_NaturalGas!$D$5*(1+$C$7)/'Initial Data'!$C$19</f>
        <v>1091.3148175758929</v>
      </c>
      <c r="M193" s="381">
        <v>0</v>
      </c>
      <c r="N193" s="381">
        <v>0</v>
      </c>
      <c r="O193" s="381">
        <v>0</v>
      </c>
      <c r="P193" s="381">
        <v>0</v>
      </c>
      <c r="Q193" s="381">
        <v>0</v>
      </c>
    </row>
    <row r="194" spans="1:17" ht="14.4">
      <c r="A194" s="366" t="s">
        <v>74</v>
      </c>
      <c r="B194" s="378">
        <f>+SUM(C194:Q194)</f>
        <v>11085.461041691962</v>
      </c>
      <c r="C194" s="367">
        <f>SUM(C193:C193)</f>
        <v>1263.6276835089288</v>
      </c>
      <c r="D194" s="367">
        <f t="shared" ref="D194:Q194" si="40">SUM(D193:D193)</f>
        <v>1091.3148175758929</v>
      </c>
      <c r="E194" s="367">
        <f t="shared" si="40"/>
        <v>1091.3148175758929</v>
      </c>
      <c r="F194" s="367">
        <f t="shared" si="40"/>
        <v>1091.3148175758929</v>
      </c>
      <c r="G194" s="367">
        <f t="shared" si="40"/>
        <v>1091.3148175758929</v>
      </c>
      <c r="H194" s="367">
        <f t="shared" si="40"/>
        <v>1091.3148175758929</v>
      </c>
      <c r="I194" s="367">
        <f t="shared" si="40"/>
        <v>1091.3148175758929</v>
      </c>
      <c r="J194" s="367">
        <f t="shared" si="40"/>
        <v>1091.3148175758929</v>
      </c>
      <c r="K194" s="367">
        <f t="shared" si="40"/>
        <v>1091.3148175758929</v>
      </c>
      <c r="L194" s="367">
        <f t="shared" si="40"/>
        <v>1091.3148175758929</v>
      </c>
      <c r="M194" s="367">
        <f t="shared" si="40"/>
        <v>0</v>
      </c>
      <c r="N194" s="367">
        <f t="shared" si="40"/>
        <v>0</v>
      </c>
      <c r="O194" s="367">
        <f t="shared" si="40"/>
        <v>0</v>
      </c>
      <c r="P194" s="367">
        <f t="shared" si="40"/>
        <v>0</v>
      </c>
      <c r="Q194" s="367">
        <f t="shared" si="40"/>
        <v>0</v>
      </c>
    </row>
    <row r="195" spans="1:17" ht="14.4">
      <c r="A195" s="90"/>
      <c r="B195" s="388"/>
      <c r="C195" s="373"/>
      <c r="D195" s="373"/>
      <c r="E195" s="373"/>
      <c r="F195" s="373"/>
      <c r="G195" s="373"/>
      <c r="H195" s="373"/>
      <c r="I195" s="373"/>
      <c r="J195" s="373"/>
      <c r="K195" s="373"/>
      <c r="L195" s="373"/>
      <c r="M195" s="373"/>
      <c r="N195" s="373"/>
      <c r="O195" s="373"/>
      <c r="P195" s="373"/>
      <c r="Q195" s="373"/>
    </row>
    <row r="196" spans="1:17" ht="14.4">
      <c r="A196" s="366" t="s">
        <v>75</v>
      </c>
      <c r="B196" s="378">
        <f>+SUM(C196:Q196)</f>
        <v>188849.47958644363</v>
      </c>
      <c r="C196" s="367">
        <f>+C191+C194</f>
        <v>11990.966478041488</v>
      </c>
      <c r="D196" s="367">
        <f t="shared" ref="D196:Q196" si="41">+D191+D194</f>
        <v>11663.900576749858</v>
      </c>
      <c r="E196" s="367">
        <f t="shared" si="41"/>
        <v>11887.990899405755</v>
      </c>
      <c r="F196" s="367">
        <f t="shared" si="41"/>
        <v>12301.783104839353</v>
      </c>
      <c r="G196" s="367">
        <f t="shared" si="41"/>
        <v>12337.809597270723</v>
      </c>
      <c r="H196" s="367">
        <f t="shared" si="41"/>
        <v>12752.746144983619</v>
      </c>
      <c r="I196" s="367">
        <f t="shared" si="41"/>
        <v>13357.452601763733</v>
      </c>
      <c r="J196" s="367">
        <f t="shared" si="41"/>
        <v>13387.542796298783</v>
      </c>
      <c r="K196" s="367">
        <f t="shared" si="41"/>
        <v>13418.439408047374</v>
      </c>
      <c r="L196" s="367">
        <f t="shared" si="41"/>
        <v>13450.164048990826</v>
      </c>
      <c r="M196" s="367">
        <f t="shared" si="41"/>
        <v>12391.42409273567</v>
      </c>
      <c r="N196" s="367">
        <f t="shared" si="41"/>
        <v>12424.871960339802</v>
      </c>
      <c r="O196" s="367">
        <f t="shared" si="41"/>
        <v>12459.216230795726</v>
      </c>
      <c r="P196" s="367">
        <f t="shared" si="41"/>
        <v>12494.480927699869</v>
      </c>
      <c r="Q196" s="367">
        <f t="shared" si="41"/>
        <v>12530.690718481042</v>
      </c>
    </row>
    <row r="197" spans="1:17">
      <c r="A197" s="74"/>
    </row>
    <row r="198" spans="1:17" ht="14.4">
      <c r="A198" s="366" t="s">
        <v>76</v>
      </c>
      <c r="B198" s="378">
        <f>+SUM(C198:Q198)</f>
        <v>1601675.3786089558</v>
      </c>
      <c r="C198" s="367">
        <f>+C176-C196</f>
        <v>86559.03352195851</v>
      </c>
      <c r="D198" s="367">
        <f t="shared" ref="D198:Q198" si="42">+D176-D196</f>
        <v>89527.239423250139</v>
      </c>
      <c r="E198" s="367">
        <f t="shared" si="42"/>
        <v>92015.071652594226</v>
      </c>
      <c r="F198" s="367">
        <f t="shared" si="42"/>
        <v>94385.881523554213</v>
      </c>
      <c r="G198" s="367">
        <f t="shared" si="42"/>
        <v>97209.084443163782</v>
      </c>
      <c r="H198" s="367">
        <f t="shared" si="42"/>
        <v>99730.004655734549</v>
      </c>
      <c r="I198" s="367">
        <f t="shared" si="42"/>
        <v>102139.83592041369</v>
      </c>
      <c r="J198" s="367">
        <f t="shared" si="42"/>
        <v>105205.07305827294</v>
      </c>
      <c r="K198" s="367">
        <f t="shared" si="42"/>
        <v>108352.4585514269</v>
      </c>
      <c r="L198" s="367">
        <f t="shared" si="42"/>
        <v>111584.19397579735</v>
      </c>
      <c r="M198" s="367">
        <f t="shared" si="42"/>
        <v>115993.85472711679</v>
      </c>
      <c r="N198" s="367">
        <f t="shared" si="42"/>
        <v>119401.1323318847</v>
      </c>
      <c r="O198" s="367">
        <f t="shared" si="42"/>
        <v>122899.72497646039</v>
      </c>
      <c r="P198" s="367">
        <f t="shared" si="42"/>
        <v>126492.07990391068</v>
      </c>
      <c r="Q198" s="367">
        <f t="shared" si="42"/>
        <v>130180.70994341669</v>
      </c>
    </row>
    <row r="199" spans="1:17" ht="14.4">
      <c r="A199" s="369"/>
      <c r="B199" s="373"/>
      <c r="C199" s="373"/>
      <c r="D199" s="373"/>
      <c r="E199" s="373"/>
      <c r="F199" s="373"/>
      <c r="G199" s="373"/>
      <c r="H199" s="373"/>
      <c r="I199" s="373"/>
      <c r="J199" s="373"/>
      <c r="K199" s="373"/>
      <c r="L199" s="373"/>
      <c r="M199" s="373"/>
      <c r="N199" s="373"/>
      <c r="O199" s="373"/>
      <c r="P199" s="373"/>
      <c r="Q199" s="373"/>
    </row>
    <row r="200" spans="1:17" ht="14.4">
      <c r="A200" s="366" t="s">
        <v>222</v>
      </c>
      <c r="B200" s="380">
        <f>+Baseline_NaturalGas!C43</f>
        <v>0.7</v>
      </c>
      <c r="C200" s="367">
        <f>IF((+$B$200*C198)&lt;0,"0",(+$B$200*C198))</f>
        <v>60591.323465370951</v>
      </c>
      <c r="D200" s="367">
        <f t="shared" ref="D200:Q200" si="43">IF((+$B$200*D198)&lt;0,"0",(+$B$200*D198))</f>
        <v>62669.06759627509</v>
      </c>
      <c r="E200" s="367">
        <f t="shared" si="43"/>
        <v>64410.550156815953</v>
      </c>
      <c r="F200" s="367">
        <f t="shared" si="43"/>
        <v>66070.117066487946</v>
      </c>
      <c r="G200" s="367">
        <f t="shared" si="43"/>
        <v>68046.359110214646</v>
      </c>
      <c r="H200" s="367">
        <f t="shared" si="43"/>
        <v>69811.003259014178</v>
      </c>
      <c r="I200" s="367">
        <f t="shared" si="43"/>
        <v>71497.885144289583</v>
      </c>
      <c r="J200" s="367">
        <f t="shared" si="43"/>
        <v>73643.551140791053</v>
      </c>
      <c r="K200" s="367">
        <f t="shared" si="43"/>
        <v>75846.720985998822</v>
      </c>
      <c r="L200" s="367">
        <f t="shared" si="43"/>
        <v>78108.935783058143</v>
      </c>
      <c r="M200" s="367">
        <f t="shared" si="43"/>
        <v>81195.698308981751</v>
      </c>
      <c r="N200" s="367">
        <f t="shared" si="43"/>
        <v>83580.792632319281</v>
      </c>
      <c r="O200" s="367">
        <f t="shared" si="43"/>
        <v>86029.807483522265</v>
      </c>
      <c r="P200" s="367">
        <f t="shared" si="43"/>
        <v>88544.455932737474</v>
      </c>
      <c r="Q200" s="367">
        <f t="shared" si="43"/>
        <v>91126.496960391683</v>
      </c>
    </row>
    <row r="201" spans="1:17" ht="14.4">
      <c r="A201" s="366" t="s">
        <v>77</v>
      </c>
      <c r="B201" s="378">
        <f>+SUM(C201:Q201)</f>
        <v>1121172.7650262688</v>
      </c>
      <c r="C201" s="367">
        <f>SUM(C200:C200)</f>
        <v>60591.323465370951</v>
      </c>
      <c r="D201" s="367">
        <f t="shared" ref="D201:Q201" si="44">SUM(D200:D200)</f>
        <v>62669.06759627509</v>
      </c>
      <c r="E201" s="367">
        <f t="shared" si="44"/>
        <v>64410.550156815953</v>
      </c>
      <c r="F201" s="367">
        <f t="shared" si="44"/>
        <v>66070.117066487946</v>
      </c>
      <c r="G201" s="367">
        <f t="shared" si="44"/>
        <v>68046.359110214646</v>
      </c>
      <c r="H201" s="367">
        <f t="shared" si="44"/>
        <v>69811.003259014178</v>
      </c>
      <c r="I201" s="367">
        <f t="shared" si="44"/>
        <v>71497.885144289583</v>
      </c>
      <c r="J201" s="367">
        <f t="shared" si="44"/>
        <v>73643.551140791053</v>
      </c>
      <c r="K201" s="367">
        <f t="shared" si="44"/>
        <v>75846.720985998822</v>
      </c>
      <c r="L201" s="367">
        <f t="shared" si="44"/>
        <v>78108.935783058143</v>
      </c>
      <c r="M201" s="367">
        <f t="shared" si="44"/>
        <v>81195.698308981751</v>
      </c>
      <c r="N201" s="367">
        <f t="shared" si="44"/>
        <v>83580.792632319281</v>
      </c>
      <c r="O201" s="367">
        <f t="shared" si="44"/>
        <v>86029.807483522265</v>
      </c>
      <c r="P201" s="367">
        <f t="shared" si="44"/>
        <v>88544.455932737474</v>
      </c>
      <c r="Q201" s="367">
        <f t="shared" si="44"/>
        <v>91126.496960391683</v>
      </c>
    </row>
    <row r="202" spans="1:17" ht="14.4">
      <c r="A202" s="369"/>
      <c r="B202" s="373"/>
      <c r="C202" s="373"/>
      <c r="D202" s="373"/>
      <c r="E202" s="373"/>
      <c r="F202" s="373"/>
      <c r="G202" s="373"/>
      <c r="H202" s="373"/>
      <c r="I202" s="373"/>
      <c r="J202" s="373"/>
      <c r="K202" s="373"/>
      <c r="L202" s="373"/>
      <c r="M202" s="373"/>
      <c r="N202" s="373"/>
      <c r="O202" s="373"/>
      <c r="P202" s="373"/>
      <c r="Q202" s="373"/>
    </row>
    <row r="203" spans="1:17" ht="14.4">
      <c r="A203" s="366" t="s">
        <v>78</v>
      </c>
      <c r="B203" s="378">
        <f>+SUM(C203:Q203)</f>
        <v>480502.6135826867</v>
      </c>
      <c r="C203" s="367">
        <f>+C198-C201</f>
        <v>25967.710056587559</v>
      </c>
      <c r="D203" s="367">
        <f t="shared" ref="D203:Q203" si="45">+D198-D201</f>
        <v>26858.171826975049</v>
      </c>
      <c r="E203" s="367">
        <f t="shared" si="45"/>
        <v>27604.521495778274</v>
      </c>
      <c r="F203" s="367">
        <f t="shared" si="45"/>
        <v>28315.764457066267</v>
      </c>
      <c r="G203" s="367">
        <f t="shared" si="45"/>
        <v>29162.725332949136</v>
      </c>
      <c r="H203" s="367">
        <f t="shared" si="45"/>
        <v>29919.00139672037</v>
      </c>
      <c r="I203" s="367">
        <f t="shared" si="45"/>
        <v>30641.950776124111</v>
      </c>
      <c r="J203" s="367">
        <f t="shared" si="45"/>
        <v>31561.521917481892</v>
      </c>
      <c r="K203" s="367">
        <f t="shared" si="45"/>
        <v>32505.737565428077</v>
      </c>
      <c r="L203" s="367">
        <f t="shared" si="45"/>
        <v>33475.258192739202</v>
      </c>
      <c r="M203" s="367">
        <f t="shared" si="45"/>
        <v>34798.15641813504</v>
      </c>
      <c r="N203" s="367">
        <f t="shared" si="45"/>
        <v>35820.339699565418</v>
      </c>
      <c r="O203" s="367">
        <f t="shared" si="45"/>
        <v>36869.917492938126</v>
      </c>
      <c r="P203" s="367">
        <f t="shared" si="45"/>
        <v>37947.623971173205</v>
      </c>
      <c r="Q203" s="367">
        <f t="shared" si="45"/>
        <v>39054.212983025005</v>
      </c>
    </row>
    <row r="204" spans="1:17" ht="14.4">
      <c r="A204" s="395" t="s">
        <v>331</v>
      </c>
      <c r="B204" s="378">
        <f>+SUM(C204:Q204)</f>
        <v>11085.461041691962</v>
      </c>
      <c r="C204" s="381">
        <f>+C193</f>
        <v>1263.6276835089288</v>
      </c>
      <c r="D204" s="381">
        <f t="shared" ref="D204:Q204" si="46">+D193</f>
        <v>1091.3148175758929</v>
      </c>
      <c r="E204" s="381">
        <f t="shared" si="46"/>
        <v>1091.3148175758929</v>
      </c>
      <c r="F204" s="381">
        <f t="shared" si="46"/>
        <v>1091.3148175758929</v>
      </c>
      <c r="G204" s="381">
        <f t="shared" si="46"/>
        <v>1091.3148175758929</v>
      </c>
      <c r="H204" s="381">
        <f t="shared" si="46"/>
        <v>1091.3148175758929</v>
      </c>
      <c r="I204" s="381">
        <f t="shared" si="46"/>
        <v>1091.3148175758929</v>
      </c>
      <c r="J204" s="381">
        <f t="shared" si="46"/>
        <v>1091.3148175758929</v>
      </c>
      <c r="K204" s="381">
        <f t="shared" si="46"/>
        <v>1091.3148175758929</v>
      </c>
      <c r="L204" s="381">
        <f t="shared" si="46"/>
        <v>1091.3148175758929</v>
      </c>
      <c r="M204" s="381">
        <f t="shared" si="46"/>
        <v>0</v>
      </c>
      <c r="N204" s="381">
        <f t="shared" si="46"/>
        <v>0</v>
      </c>
      <c r="O204" s="381">
        <f t="shared" si="46"/>
        <v>0</v>
      </c>
      <c r="P204" s="381">
        <f t="shared" si="46"/>
        <v>0</v>
      </c>
      <c r="Q204" s="381">
        <f t="shared" si="46"/>
        <v>0</v>
      </c>
    </row>
    <row r="205" spans="1:17" ht="14.4">
      <c r="A205" s="395" t="s">
        <v>332</v>
      </c>
      <c r="B205" s="378">
        <f>+Baseline_NaturalGas!C183</f>
        <v>0</v>
      </c>
      <c r="C205" s="367">
        <f>+Baseline_NaturalGas!D183</f>
        <v>0</v>
      </c>
      <c r="D205" s="367">
        <f>+Baseline_NaturalGas!E183</f>
        <v>0</v>
      </c>
      <c r="E205" s="367">
        <f>+Baseline_NaturalGas!F183</f>
        <v>0</v>
      </c>
      <c r="F205" s="367">
        <f>+Baseline_NaturalGas!G183</f>
        <v>0</v>
      </c>
      <c r="G205" s="367">
        <f>+Baseline_NaturalGas!H183</f>
        <v>0</v>
      </c>
      <c r="H205" s="367">
        <f>+Baseline_NaturalGas!I183</f>
        <v>0</v>
      </c>
      <c r="I205" s="367">
        <f>+Baseline_NaturalGas!J183</f>
        <v>0</v>
      </c>
      <c r="J205" s="367">
        <f>+Baseline_NaturalGas!K183</f>
        <v>0</v>
      </c>
      <c r="K205" s="367">
        <f>+Baseline_NaturalGas!L183</f>
        <v>0</v>
      </c>
      <c r="L205" s="367">
        <f>+Baseline_NaturalGas!M183</f>
        <v>0</v>
      </c>
      <c r="M205" s="367">
        <f>+Baseline_NaturalGas!N183</f>
        <v>0</v>
      </c>
      <c r="N205" s="367">
        <f>+Baseline_NaturalGas!O183</f>
        <v>0</v>
      </c>
      <c r="O205" s="367">
        <f>+Baseline_NaturalGas!P183</f>
        <v>0</v>
      </c>
      <c r="P205" s="367">
        <f>+Baseline_NaturalGas!Q183</f>
        <v>0</v>
      </c>
      <c r="Q205" s="367">
        <f>+Baseline_NaturalGas!R183</f>
        <v>0</v>
      </c>
    </row>
    <row r="206" spans="1:17" ht="14.4">
      <c r="A206" s="510"/>
      <c r="B206" s="511"/>
      <c r="C206" s="511"/>
      <c r="D206" s="511"/>
      <c r="E206" s="511"/>
      <c r="F206" s="511"/>
      <c r="G206" s="511"/>
      <c r="H206" s="511"/>
      <c r="I206" s="511"/>
      <c r="J206" s="511"/>
      <c r="K206" s="511"/>
      <c r="L206" s="511"/>
      <c r="M206" s="511"/>
      <c r="N206" s="511"/>
      <c r="O206" s="511"/>
      <c r="P206" s="511"/>
      <c r="Q206" s="511"/>
    </row>
    <row r="207" spans="1:17" ht="14.4">
      <c r="A207" s="366" t="s">
        <v>110</v>
      </c>
      <c r="B207" s="381">
        <f>-Baseline_NaturalGas!$D$5*(1+$F$7)</f>
        <v>-12636.276835089287</v>
      </c>
      <c r="C207" s="367">
        <f>+C203+C204+C205</f>
        <v>27231.337740096489</v>
      </c>
      <c r="D207" s="367">
        <f t="shared" ref="D207:Q207" si="47">+D203+D204+D205</f>
        <v>27949.486644550943</v>
      </c>
      <c r="E207" s="367">
        <f t="shared" si="47"/>
        <v>28695.836313354168</v>
      </c>
      <c r="F207" s="367">
        <f t="shared" si="47"/>
        <v>29407.079274642161</v>
      </c>
      <c r="G207" s="367">
        <f t="shared" si="47"/>
        <v>30254.04015052503</v>
      </c>
      <c r="H207" s="367">
        <f t="shared" si="47"/>
        <v>31010.316214296265</v>
      </c>
      <c r="I207" s="367">
        <f t="shared" si="47"/>
        <v>31733.265593700005</v>
      </c>
      <c r="J207" s="367">
        <f t="shared" si="47"/>
        <v>32652.836735057786</v>
      </c>
      <c r="K207" s="367">
        <f t="shared" si="47"/>
        <v>33597.052383003967</v>
      </c>
      <c r="L207" s="367">
        <f t="shared" si="47"/>
        <v>34566.573010315093</v>
      </c>
      <c r="M207" s="367">
        <f t="shared" si="47"/>
        <v>34798.15641813504</v>
      </c>
      <c r="N207" s="367">
        <f t="shared" si="47"/>
        <v>35820.339699565418</v>
      </c>
      <c r="O207" s="367">
        <f t="shared" si="47"/>
        <v>36869.917492938126</v>
      </c>
      <c r="P207" s="367">
        <f t="shared" si="47"/>
        <v>37947.623971173205</v>
      </c>
      <c r="Q207" s="367">
        <f t="shared" si="47"/>
        <v>39054.212983025005</v>
      </c>
    </row>
    <row r="208" spans="1:17" ht="15.6">
      <c r="A208" s="366" t="s">
        <v>51</v>
      </c>
      <c r="B208" s="132">
        <f>IRR(B207:Q207)</f>
        <v>2.1813855152440103</v>
      </c>
      <c r="C208" s="390"/>
      <c r="D208" s="390"/>
      <c r="E208" s="390"/>
      <c r="F208" s="390"/>
      <c r="G208" s="390"/>
      <c r="H208" s="390"/>
      <c r="I208" s="390"/>
      <c r="J208" s="390"/>
      <c r="K208" s="390"/>
      <c r="L208" s="390"/>
      <c r="M208" s="390"/>
      <c r="N208" s="390"/>
      <c r="O208" s="390"/>
      <c r="P208" s="390"/>
      <c r="Q208" s="390"/>
    </row>
    <row r="209" spans="1:17" ht="15.6">
      <c r="A209" s="366" t="s">
        <v>267</v>
      </c>
      <c r="B209" s="303">
        <f>NPV('Initial Data'!$C$21/100,B207:Q207)</f>
        <v>177932.97757124103</v>
      </c>
      <c r="C209" s="373"/>
      <c r="D209" s="373"/>
      <c r="E209" s="373"/>
      <c r="F209" s="373"/>
      <c r="G209" s="373"/>
      <c r="H209" s="373"/>
      <c r="I209" s="373"/>
      <c r="J209" s="373"/>
      <c r="K209" s="373"/>
      <c r="L209" s="373"/>
      <c r="M209" s="373"/>
      <c r="N209" s="373"/>
      <c r="O209" s="373"/>
      <c r="P209" s="373"/>
      <c r="Q209" s="373"/>
    </row>
    <row r="210" spans="1:17" ht="14.4">
      <c r="A210" s="369"/>
      <c r="B210" s="373"/>
      <c r="C210" s="373"/>
      <c r="D210" s="373"/>
      <c r="E210" s="373"/>
      <c r="F210" s="373"/>
      <c r="G210" s="373"/>
      <c r="H210" s="373"/>
      <c r="I210" s="373"/>
      <c r="J210" s="373"/>
      <c r="K210" s="373"/>
      <c r="L210" s="373"/>
      <c r="M210" s="373"/>
      <c r="N210" s="373"/>
      <c r="O210" s="373"/>
      <c r="P210" s="373"/>
      <c r="Q210" s="373"/>
    </row>
    <row r="211" spans="1:17" ht="14.4">
      <c r="A211" s="508" t="s">
        <v>335</v>
      </c>
      <c r="B211" s="509"/>
      <c r="C211" s="509"/>
      <c r="D211" s="509"/>
      <c r="E211" s="509"/>
      <c r="F211" s="509"/>
      <c r="G211" s="509"/>
      <c r="H211" s="509"/>
      <c r="I211" s="509"/>
      <c r="J211" s="509"/>
      <c r="K211" s="509"/>
      <c r="L211" s="509"/>
      <c r="M211" s="509"/>
      <c r="N211" s="509"/>
      <c r="O211" s="509"/>
      <c r="P211" s="509"/>
      <c r="Q211" s="509"/>
    </row>
    <row r="212" spans="1:17" ht="14.4">
      <c r="A212" s="371" t="s">
        <v>311</v>
      </c>
      <c r="B212" s="372"/>
      <c r="C212" s="372"/>
      <c r="D212" s="372"/>
      <c r="E212" s="372"/>
      <c r="F212" s="372"/>
      <c r="G212" s="372"/>
      <c r="H212" s="372"/>
      <c r="I212" s="372"/>
      <c r="J212" s="372"/>
      <c r="K212" s="372"/>
      <c r="L212" s="372"/>
      <c r="M212" s="372"/>
      <c r="N212" s="372"/>
      <c r="O212" s="372"/>
      <c r="P212" s="372"/>
      <c r="Q212" s="372"/>
    </row>
    <row r="213" spans="1:17" ht="27">
      <c r="A213" s="376"/>
      <c r="B213" s="304" t="s">
        <v>35</v>
      </c>
      <c r="C213" s="352" t="s">
        <v>407</v>
      </c>
      <c r="D213" s="352" t="s">
        <v>408</v>
      </c>
      <c r="E213" s="352" t="s">
        <v>409</v>
      </c>
      <c r="F213" s="352" t="s">
        <v>410</v>
      </c>
      <c r="G213" s="352" t="s">
        <v>411</v>
      </c>
      <c r="H213" s="352" t="s">
        <v>412</v>
      </c>
      <c r="I213" s="352" t="s">
        <v>413</v>
      </c>
      <c r="J213" s="352" t="s">
        <v>414</v>
      </c>
      <c r="K213" s="352" t="s">
        <v>415</v>
      </c>
      <c r="L213" s="352" t="s">
        <v>416</v>
      </c>
      <c r="M213" s="352" t="s">
        <v>417</v>
      </c>
      <c r="N213" s="352" t="s">
        <v>418</v>
      </c>
      <c r="O213" s="352" t="s">
        <v>419</v>
      </c>
      <c r="P213" s="352" t="s">
        <v>420</v>
      </c>
      <c r="Q213" s="352" t="s">
        <v>421</v>
      </c>
    </row>
    <row r="214" spans="1:17" ht="14.4">
      <c r="A214" s="363" t="s">
        <v>290</v>
      </c>
      <c r="B214" s="365"/>
      <c r="C214" s="367">
        <f>+Baseline_NaturalGas!D10</f>
        <v>219000</v>
      </c>
      <c r="D214" s="367">
        <f>+Baseline_NaturalGas!E10</f>
        <v>219000</v>
      </c>
      <c r="E214" s="367">
        <f>+Baseline_NaturalGas!F10</f>
        <v>219000</v>
      </c>
      <c r="F214" s="367">
        <f>+Baseline_NaturalGas!G10</f>
        <v>219000</v>
      </c>
      <c r="G214" s="367">
        <f>+Baseline_NaturalGas!H10</f>
        <v>219000</v>
      </c>
      <c r="H214" s="367">
        <f>+Baseline_NaturalGas!I10</f>
        <v>219000</v>
      </c>
      <c r="I214" s="367">
        <f>+Baseline_NaturalGas!J10</f>
        <v>219000</v>
      </c>
      <c r="J214" s="367">
        <f>+Baseline_NaturalGas!K10</f>
        <v>219000</v>
      </c>
      <c r="K214" s="367">
        <f>+Baseline_NaturalGas!L10</f>
        <v>219000</v>
      </c>
      <c r="L214" s="367">
        <f>+Baseline_NaturalGas!M10</f>
        <v>219000</v>
      </c>
      <c r="M214" s="367">
        <f>+Baseline_NaturalGas!N10</f>
        <v>219000</v>
      </c>
      <c r="N214" s="367">
        <f>+Baseline_NaturalGas!O10</f>
        <v>219000</v>
      </c>
      <c r="O214" s="367">
        <f>+Baseline_NaturalGas!P10</f>
        <v>219000</v>
      </c>
      <c r="P214" s="367">
        <f>+Baseline_NaturalGas!Q10</f>
        <v>219000</v>
      </c>
      <c r="Q214" s="367">
        <f>+Baseline_NaturalGas!R10</f>
        <v>219000</v>
      </c>
    </row>
    <row r="215" spans="1:17" ht="14.4">
      <c r="A215" s="364" t="s">
        <v>291</v>
      </c>
      <c r="B215" s="365"/>
      <c r="C215" s="367">
        <f>+Baseline_NaturalGas!D11</f>
        <v>70</v>
      </c>
      <c r="D215" s="367">
        <f>+Baseline_NaturalGas!E11</f>
        <v>70</v>
      </c>
      <c r="E215" s="367">
        <f>+Baseline_NaturalGas!F11</f>
        <v>70</v>
      </c>
      <c r="F215" s="367">
        <f>+Baseline_NaturalGas!G11</f>
        <v>70</v>
      </c>
      <c r="G215" s="367">
        <f>+Baseline_NaturalGas!H11</f>
        <v>70</v>
      </c>
      <c r="H215" s="367">
        <f>+Baseline_NaturalGas!I11</f>
        <v>70</v>
      </c>
      <c r="I215" s="367">
        <f>+Baseline_NaturalGas!J11</f>
        <v>70</v>
      </c>
      <c r="J215" s="367">
        <f>+Baseline_NaturalGas!K11</f>
        <v>70</v>
      </c>
      <c r="K215" s="367">
        <f>+Baseline_NaturalGas!L11</f>
        <v>70</v>
      </c>
      <c r="L215" s="367">
        <f>+Baseline_NaturalGas!M11</f>
        <v>70</v>
      </c>
      <c r="M215" s="367">
        <f>+Baseline_NaturalGas!N11</f>
        <v>70</v>
      </c>
      <c r="N215" s="367">
        <f>+Baseline_NaturalGas!O11</f>
        <v>70</v>
      </c>
      <c r="O215" s="367">
        <f>+Baseline_NaturalGas!P11</f>
        <v>70</v>
      </c>
      <c r="P215" s="367">
        <f>+Baseline_NaturalGas!Q11</f>
        <v>70</v>
      </c>
      <c r="Q215" s="367">
        <f>+Baseline_NaturalGas!R11</f>
        <v>70</v>
      </c>
    </row>
    <row r="216" spans="1:17" ht="14.4">
      <c r="A216" s="366" t="s">
        <v>292</v>
      </c>
      <c r="B216" s="365"/>
      <c r="C216" s="375">
        <f>+Baseline_NaturalGas!D12</f>
        <v>6.4285714285714288</v>
      </c>
      <c r="D216" s="375">
        <f>+Baseline_NaturalGas!E12</f>
        <v>6.6008571428571425</v>
      </c>
      <c r="E216" s="375">
        <f>+Baseline_NaturalGas!F12</f>
        <v>6.7777601142857131</v>
      </c>
      <c r="F216" s="375">
        <f>+Baseline_NaturalGas!G12</f>
        <v>6.9594040853485701</v>
      </c>
      <c r="G216" s="375">
        <f>+Baseline_NaturalGas!H12</f>
        <v>7.1459161148359112</v>
      </c>
      <c r="H216" s="375">
        <f>+Baseline_NaturalGas!I12</f>
        <v>7.3374266667135135</v>
      </c>
      <c r="I216" s="375">
        <f>+Baseline_NaturalGas!J12</f>
        <v>7.5340697013814353</v>
      </c>
      <c r="J216" s="375">
        <f>+Baseline_NaturalGas!K12</f>
        <v>7.7359827693784569</v>
      </c>
      <c r="K216" s="375">
        <f>+Baseline_NaturalGas!L12</f>
        <v>7.943307107597799</v>
      </c>
      <c r="L216" s="375">
        <f>+Baseline_NaturalGas!M12</f>
        <v>8.1561877380814192</v>
      </c>
      <c r="M216" s="375">
        <f>+Baseline_NaturalGas!N12</f>
        <v>8.3747735694620005</v>
      </c>
      <c r="N216" s="375">
        <f>+Baseline_NaturalGas!O12</f>
        <v>8.5992175011235812</v>
      </c>
      <c r="O216" s="375">
        <f>+Baseline_NaturalGas!P12</f>
        <v>8.8296765301536926</v>
      </c>
      <c r="P216" s="375">
        <f>+Baseline_NaturalGas!Q12</f>
        <v>9.066311861161811</v>
      </c>
      <c r="Q216" s="375">
        <f>+Baseline_NaturalGas!R12</f>
        <v>9.3092890190409463</v>
      </c>
    </row>
    <row r="217" spans="1:17" ht="14.4">
      <c r="A217" s="366" t="s">
        <v>293</v>
      </c>
      <c r="B217" s="365"/>
      <c r="C217" s="367">
        <f>+Baseline_NaturalGas!D13</f>
        <v>450</v>
      </c>
      <c r="D217" s="367">
        <f>+Baseline_NaturalGas!E13</f>
        <v>462.06</v>
      </c>
      <c r="E217" s="367">
        <f>+Baseline_NaturalGas!F13</f>
        <v>474.44320799999991</v>
      </c>
      <c r="F217" s="367">
        <f>+Baseline_NaturalGas!G13</f>
        <v>487.15828597439992</v>
      </c>
      <c r="G217" s="367">
        <f>+Baseline_NaturalGas!H13</f>
        <v>500.21412803851376</v>
      </c>
      <c r="H217" s="367">
        <f>+Baseline_NaturalGas!I13</f>
        <v>513.61986666994596</v>
      </c>
      <c r="I217" s="367">
        <f>+Baseline_NaturalGas!J13</f>
        <v>527.3848790967005</v>
      </c>
      <c r="J217" s="367">
        <f>+Baseline_NaturalGas!K13</f>
        <v>541.51879385649192</v>
      </c>
      <c r="K217" s="367">
        <f>+Baseline_NaturalGas!L13</f>
        <v>556.03149753184596</v>
      </c>
      <c r="L217" s="367">
        <f>+Baseline_NaturalGas!M13</f>
        <v>570.9331416656994</v>
      </c>
      <c r="M217" s="367">
        <f>+Baseline_NaturalGas!N13</f>
        <v>586.23414986234002</v>
      </c>
      <c r="N217" s="367">
        <f>+Baseline_NaturalGas!O13</f>
        <v>601.94522507865065</v>
      </c>
      <c r="O217" s="367">
        <f>+Baseline_NaturalGas!P13</f>
        <v>618.0773571107585</v>
      </c>
      <c r="P217" s="367">
        <f>+Baseline_NaturalGas!Q13</f>
        <v>634.64183028132675</v>
      </c>
      <c r="Q217" s="367">
        <f>+Baseline_NaturalGas!R13</f>
        <v>651.65023133286627</v>
      </c>
    </row>
    <row r="218" spans="1:17" ht="14.4">
      <c r="A218" s="370"/>
      <c r="B218" s="373"/>
      <c r="C218" s="373"/>
      <c r="D218" s="373"/>
      <c r="E218" s="373"/>
      <c r="F218" s="373"/>
      <c r="G218" s="373"/>
      <c r="H218" s="373"/>
      <c r="I218" s="373"/>
      <c r="J218" s="373"/>
      <c r="K218" s="373"/>
      <c r="L218" s="373"/>
      <c r="M218" s="373"/>
      <c r="N218" s="373"/>
      <c r="O218" s="373"/>
      <c r="P218" s="373"/>
      <c r="Q218" s="373"/>
    </row>
    <row r="219" spans="1:17" ht="14.4">
      <c r="A219" s="366" t="s">
        <v>294</v>
      </c>
      <c r="B219" s="378">
        <f>+SUM(C219:Q219)</f>
        <v>1790524.8581953994</v>
      </c>
      <c r="C219" s="367">
        <f>C214*C217/1000*'Initial Data'!$C$34/'Initial Data'!$C$33</f>
        <v>98550</v>
      </c>
      <c r="D219" s="367">
        <f>D214*D217/1000*'Initial Data'!$C$34/'Initial Data'!$C$33</f>
        <v>101191.14</v>
      </c>
      <c r="E219" s="367">
        <f>E214*E217/1000*'Initial Data'!$C$34/'Initial Data'!$C$33</f>
        <v>103903.06255199999</v>
      </c>
      <c r="F219" s="367">
        <f>F214*F217/1000*'Initial Data'!$C$34/'Initial Data'!$C$33</f>
        <v>106687.66462839357</v>
      </c>
      <c r="G219" s="367">
        <f>G214*G217/1000*'Initial Data'!$C$34/'Initial Data'!$C$33</f>
        <v>109546.8940404345</v>
      </c>
      <c r="H219" s="367">
        <f>H214*H217/1000*'Initial Data'!$C$34/'Initial Data'!$C$33</f>
        <v>112482.75080071818</v>
      </c>
      <c r="I219" s="367">
        <f>I214*I217/1000*'Initial Data'!$C$34/'Initial Data'!$C$33</f>
        <v>115497.28852217742</v>
      </c>
      <c r="J219" s="367">
        <f>J214*J217/1000*'Initial Data'!$C$34/'Initial Data'!$C$33</f>
        <v>118592.61585457173</v>
      </c>
      <c r="K219" s="367">
        <f>K214*K217/1000*'Initial Data'!$C$34/'Initial Data'!$C$33</f>
        <v>121770.89795947427</v>
      </c>
      <c r="L219" s="367">
        <f>L214*L217/1000*'Initial Data'!$C$34/'Initial Data'!$C$33</f>
        <v>125034.35802478818</v>
      </c>
      <c r="M219" s="367">
        <f>M214*M217/1000*'Initial Data'!$C$34/'Initial Data'!$C$33</f>
        <v>128385.27881985246</v>
      </c>
      <c r="N219" s="367">
        <f>N214*N217/1000*'Initial Data'!$C$34/'Initial Data'!$C$33</f>
        <v>131826.0042922245</v>
      </c>
      <c r="O219" s="367">
        <f>O214*O217/1000*'Initial Data'!$C$34/'Initial Data'!$C$33</f>
        <v>135358.94120725611</v>
      </c>
      <c r="P219" s="367">
        <f>P214*P217/1000*'Initial Data'!$C$34/'Initial Data'!$C$33</f>
        <v>138986.56083161055</v>
      </c>
      <c r="Q219" s="367">
        <f>Q214*Q217/1000*'Initial Data'!$C$34/'Initial Data'!$C$33</f>
        <v>142711.40066189773</v>
      </c>
    </row>
    <row r="220" spans="1:17" ht="14.4">
      <c r="A220" s="370"/>
      <c r="B220" s="373"/>
      <c r="C220" s="373"/>
      <c r="D220" s="373"/>
      <c r="E220" s="373"/>
      <c r="F220" s="373"/>
      <c r="G220" s="373"/>
      <c r="H220" s="373"/>
      <c r="I220" s="373"/>
      <c r="J220" s="373"/>
      <c r="K220" s="373"/>
      <c r="L220" s="373"/>
      <c r="M220" s="373"/>
      <c r="N220" s="373"/>
      <c r="O220" s="373"/>
      <c r="P220" s="373"/>
      <c r="Q220" s="373"/>
    </row>
    <row r="221" spans="1:17" ht="14.4">
      <c r="A221" s="366" t="s">
        <v>295</v>
      </c>
      <c r="B221" s="378">
        <f>+SUM(C221:Q221)</f>
        <v>1790524.8581953994</v>
      </c>
      <c r="C221" s="367">
        <f>+C219</f>
        <v>98550</v>
      </c>
      <c r="D221" s="367">
        <f t="shared" ref="D221:Q221" si="48">+D219</f>
        <v>101191.14</v>
      </c>
      <c r="E221" s="367">
        <f t="shared" si="48"/>
        <v>103903.06255199999</v>
      </c>
      <c r="F221" s="367">
        <f t="shared" si="48"/>
        <v>106687.66462839357</v>
      </c>
      <c r="G221" s="367">
        <f t="shared" si="48"/>
        <v>109546.8940404345</v>
      </c>
      <c r="H221" s="367">
        <f t="shared" si="48"/>
        <v>112482.75080071818</v>
      </c>
      <c r="I221" s="367">
        <f t="shared" si="48"/>
        <v>115497.28852217742</v>
      </c>
      <c r="J221" s="367">
        <f t="shared" si="48"/>
        <v>118592.61585457173</v>
      </c>
      <c r="K221" s="367">
        <f t="shared" si="48"/>
        <v>121770.89795947427</v>
      </c>
      <c r="L221" s="367">
        <f t="shared" si="48"/>
        <v>125034.35802478818</v>
      </c>
      <c r="M221" s="367">
        <f t="shared" si="48"/>
        <v>128385.27881985246</v>
      </c>
      <c r="N221" s="367">
        <f t="shared" si="48"/>
        <v>131826.0042922245</v>
      </c>
      <c r="O221" s="367">
        <f t="shared" si="48"/>
        <v>135358.94120725611</v>
      </c>
      <c r="P221" s="367">
        <f t="shared" si="48"/>
        <v>138986.56083161055</v>
      </c>
      <c r="Q221" s="367">
        <f t="shared" si="48"/>
        <v>142711.40066189773</v>
      </c>
    </row>
    <row r="222" spans="1:17" ht="14.4">
      <c r="A222" s="370"/>
      <c r="B222" s="374"/>
      <c r="C222" s="374"/>
      <c r="D222" s="374"/>
      <c r="E222" s="374"/>
      <c r="F222" s="374"/>
      <c r="G222" s="374"/>
      <c r="H222" s="374"/>
      <c r="I222" s="374"/>
      <c r="J222" s="374"/>
      <c r="K222" s="374"/>
      <c r="L222" s="374"/>
      <c r="M222" s="374"/>
      <c r="N222" s="374"/>
      <c r="O222" s="374"/>
      <c r="P222" s="374"/>
      <c r="Q222" s="374"/>
    </row>
    <row r="223" spans="1:17" ht="14.4">
      <c r="A223" s="366" t="s">
        <v>68</v>
      </c>
      <c r="B223" s="368"/>
      <c r="C223" s="368"/>
      <c r="D223" s="368"/>
      <c r="E223" s="368"/>
      <c r="F223" s="368"/>
      <c r="G223" s="368"/>
      <c r="H223" s="368"/>
      <c r="I223" s="368"/>
      <c r="J223" s="368"/>
      <c r="K223" s="368"/>
      <c r="L223" s="368"/>
      <c r="M223" s="368"/>
      <c r="N223" s="368"/>
      <c r="O223" s="368"/>
      <c r="P223" s="368"/>
      <c r="Q223" s="368"/>
    </row>
    <row r="224" spans="1:17" ht="14.4">
      <c r="A224" s="366" t="s">
        <v>330</v>
      </c>
      <c r="B224" s="378">
        <f>+SUM(C224:Q224)</f>
        <v>15665.392369065279</v>
      </c>
      <c r="C224" s="381">
        <f>+Baseline_NaturalGas!D20*(1+$B$7)</f>
        <v>862.21892474999993</v>
      </c>
      <c r="D224" s="381">
        <f>+Baseline_NaturalGas!E20*(1+$B$7)</f>
        <v>885.32639193329987</v>
      </c>
      <c r="E224" s="381">
        <f>+Baseline_NaturalGas!F20*(1+$B$7)</f>
        <v>909.0531392371123</v>
      </c>
      <c r="F224" s="381">
        <f>+Baseline_NaturalGas!G20*(1+$B$7)</f>
        <v>933.41576336866683</v>
      </c>
      <c r="G224" s="381">
        <f>+Baseline_NaturalGas!H20*(1+$B$7)</f>
        <v>958.43130582694721</v>
      </c>
      <c r="H224" s="381">
        <f>+Baseline_NaturalGas!I20*(1+$B$7)</f>
        <v>984.11726482310928</v>
      </c>
      <c r="I224" s="381">
        <f>+Baseline_NaturalGas!J20*(1+$B$7)</f>
        <v>1010.4916075203686</v>
      </c>
      <c r="J224" s="381">
        <f>+Baseline_NaturalGas!K20*(1+$B$7)</f>
        <v>1037.5727826019142</v>
      </c>
      <c r="K224" s="381">
        <f>+Baseline_NaturalGas!L20*(1+$B$7)</f>
        <v>1065.3797331756455</v>
      </c>
      <c r="L224" s="381">
        <f>+Baseline_NaturalGas!M20*(1+$B$7)</f>
        <v>1093.9319100247526</v>
      </c>
      <c r="M224" s="381">
        <f>+Baseline_NaturalGas!N20*(1+$B$7)</f>
        <v>1123.249285213416</v>
      </c>
      <c r="N224" s="381">
        <f>+Baseline_NaturalGas!O20*(1+$B$7)</f>
        <v>1153.3523660571354</v>
      </c>
      <c r="O224" s="381">
        <f>+Baseline_NaturalGas!P20*(1+$B$7)</f>
        <v>1184.2622094674668</v>
      </c>
      <c r="P224" s="381">
        <f>+Baseline_NaturalGas!Q20*(1+$B$7)</f>
        <v>1216.0004366811947</v>
      </c>
      <c r="Q224" s="381">
        <f>+Baseline_NaturalGas!R20*(1+$B$7)</f>
        <v>1248.5892483842508</v>
      </c>
    </row>
    <row r="225" spans="1:17" ht="14.4">
      <c r="A225" s="370"/>
      <c r="B225" s="369"/>
      <c r="C225" s="369"/>
      <c r="D225" s="369"/>
      <c r="E225" s="369"/>
      <c r="F225" s="369"/>
      <c r="G225" s="369"/>
      <c r="H225" s="369"/>
      <c r="I225" s="369"/>
      <c r="J225" s="369"/>
      <c r="K225" s="369"/>
      <c r="L225" s="369"/>
      <c r="M225" s="369"/>
      <c r="N225" s="369"/>
      <c r="O225" s="369"/>
      <c r="P225" s="369"/>
      <c r="Q225" s="369"/>
    </row>
    <row r="226" spans="1:17" ht="14.4">
      <c r="A226" s="366" t="s">
        <v>71</v>
      </c>
      <c r="B226" s="379"/>
      <c r="C226" s="379"/>
      <c r="D226" s="379"/>
      <c r="E226" s="379"/>
      <c r="F226" s="379"/>
      <c r="G226" s="379"/>
      <c r="H226" s="379"/>
      <c r="I226" s="379"/>
      <c r="J226" s="379"/>
      <c r="K226" s="379"/>
      <c r="L226" s="379"/>
      <c r="M226" s="379"/>
      <c r="N226" s="379"/>
      <c r="O226" s="379"/>
      <c r="P226" s="379"/>
      <c r="Q226" s="379"/>
    </row>
    <row r="227" spans="1:17" ht="14.4">
      <c r="A227" s="370"/>
      <c r="B227" s="379"/>
      <c r="C227" s="379"/>
      <c r="D227" s="379"/>
      <c r="E227" s="379"/>
      <c r="F227" s="379"/>
      <c r="G227" s="379"/>
      <c r="H227" s="379"/>
      <c r="I227" s="379"/>
      <c r="J227" s="379"/>
      <c r="K227" s="379"/>
      <c r="L227" s="379"/>
      <c r="M227" s="379"/>
      <c r="N227" s="379"/>
      <c r="O227" s="379"/>
      <c r="P227" s="379"/>
      <c r="Q227" s="379"/>
    </row>
    <row r="228" spans="1:17" ht="14.4">
      <c r="A228" s="366" t="s">
        <v>64</v>
      </c>
      <c r="B228" s="373"/>
      <c r="C228" s="367">
        <f>+Baseline_NaturalGas!D24</f>
        <v>1656.5089715892002</v>
      </c>
      <c r="D228" s="367">
        <f>+Baseline_NaturalGas!E24</f>
        <v>1656.5089715892002</v>
      </c>
      <c r="E228" s="367">
        <f>+Baseline_NaturalGas!F24</f>
        <v>1656.5089715892002</v>
      </c>
      <c r="F228" s="367">
        <f>+Baseline_NaturalGas!G24</f>
        <v>1656.5089715892002</v>
      </c>
      <c r="G228" s="367">
        <f>+Baseline_NaturalGas!H24</f>
        <v>1656.5089715892002</v>
      </c>
      <c r="H228" s="367">
        <f>+Baseline_NaturalGas!I24</f>
        <v>1656.5089715892002</v>
      </c>
      <c r="I228" s="367">
        <f>+Baseline_NaturalGas!J24</f>
        <v>1656.5089715892002</v>
      </c>
      <c r="J228" s="367">
        <f>+Baseline_NaturalGas!K24</f>
        <v>1656.5089715892002</v>
      </c>
      <c r="K228" s="367">
        <f>+Baseline_NaturalGas!L24</f>
        <v>1656.5089715892002</v>
      </c>
      <c r="L228" s="367">
        <f>+Baseline_NaturalGas!M24</f>
        <v>1656.5089715892002</v>
      </c>
      <c r="M228" s="367">
        <f>+Baseline_NaturalGas!N24</f>
        <v>1656.5089715892002</v>
      </c>
      <c r="N228" s="367">
        <f>+Baseline_NaturalGas!O24</f>
        <v>1656.5089715892002</v>
      </c>
      <c r="O228" s="367">
        <f>+Baseline_NaturalGas!P24</f>
        <v>1656.5089715892002</v>
      </c>
      <c r="P228" s="367">
        <f>+Baseline_NaturalGas!Q24</f>
        <v>1656.5089715892002</v>
      </c>
      <c r="Q228" s="367">
        <f>+Baseline_NaturalGas!R24</f>
        <v>1656.5089715892002</v>
      </c>
    </row>
    <row r="229" spans="1:17" ht="14.4">
      <c r="A229" s="366" t="s">
        <v>108</v>
      </c>
      <c r="B229" s="387">
        <f>+Baseline_NaturalGas!C25</f>
        <v>0.90200000000000002</v>
      </c>
      <c r="C229" s="373"/>
      <c r="D229" s="373"/>
      <c r="E229" s="373"/>
      <c r="F229" s="373"/>
      <c r="G229" s="373"/>
      <c r="H229" s="373"/>
      <c r="I229" s="373"/>
      <c r="J229" s="373"/>
      <c r="K229" s="373"/>
      <c r="L229" s="373"/>
      <c r="M229" s="373"/>
      <c r="N229" s="373"/>
      <c r="O229" s="373"/>
      <c r="P229" s="373"/>
      <c r="Q229" s="373"/>
    </row>
    <row r="230" spans="1:17" ht="14.4">
      <c r="A230" s="366" t="s">
        <v>346</v>
      </c>
      <c r="B230" s="373"/>
      <c r="C230" s="367">
        <f>+Baseline_NaturalGas!D26</f>
        <v>1741816.7092883086</v>
      </c>
      <c r="D230" s="367">
        <f>+Baseline_NaturalGas!E26</f>
        <v>1741816.7092883086</v>
      </c>
      <c r="E230" s="367">
        <f>+Baseline_NaturalGas!F26</f>
        <v>1741816.7092883086</v>
      </c>
      <c r="F230" s="367">
        <f>+Baseline_NaturalGas!G26</f>
        <v>1741816.7092883086</v>
      </c>
      <c r="G230" s="367">
        <f>+Baseline_NaturalGas!H26</f>
        <v>1741816.7092883086</v>
      </c>
      <c r="H230" s="367">
        <f>+Baseline_NaturalGas!I26</f>
        <v>1741816.7092883086</v>
      </c>
      <c r="I230" s="367">
        <f>+Baseline_NaturalGas!J26</f>
        <v>1741816.7092883086</v>
      </c>
      <c r="J230" s="367">
        <f>+Baseline_NaturalGas!K26</f>
        <v>1741816.7092883086</v>
      </c>
      <c r="K230" s="367">
        <f>+Baseline_NaturalGas!L26</f>
        <v>1741816.7092883086</v>
      </c>
      <c r="L230" s="367">
        <f>+Baseline_NaturalGas!M26</f>
        <v>1741816.7092883086</v>
      </c>
      <c r="M230" s="367">
        <f>+Baseline_NaturalGas!N26</f>
        <v>1741816.7092883086</v>
      </c>
      <c r="N230" s="367">
        <f>+Baseline_NaturalGas!O26</f>
        <v>1741816.7092883086</v>
      </c>
      <c r="O230" s="367">
        <f>+Baseline_NaturalGas!P26</f>
        <v>1741816.7092883086</v>
      </c>
      <c r="P230" s="367">
        <f>+Baseline_NaturalGas!Q26</f>
        <v>1741816.7092883086</v>
      </c>
      <c r="Q230" s="367">
        <f>+Baseline_NaturalGas!R26</f>
        <v>1741816.7092883086</v>
      </c>
    </row>
    <row r="231" spans="1:17" ht="14.4">
      <c r="A231" s="366" t="s">
        <v>66</v>
      </c>
      <c r="B231" s="373"/>
      <c r="C231" s="367">
        <f>+Baseline_NaturalGas!D27</f>
        <v>5.6086944825694198</v>
      </c>
      <c r="D231" s="367">
        <f>+Baseline_NaturalGas!E27</f>
        <v>5.5051083831058802</v>
      </c>
      <c r="E231" s="367">
        <f>+Baseline_NaturalGas!F27</f>
        <v>5.61862622286578</v>
      </c>
      <c r="F231" s="367">
        <f>+Baseline_NaturalGas!G27</f>
        <v>5.8406487933251103</v>
      </c>
      <c r="G231" s="367">
        <f>+Baseline_NaturalGas!H27</f>
        <v>5.8453745748678001</v>
      </c>
      <c r="H231" s="367">
        <f>+Baseline_NaturalGas!I27</f>
        <v>6.0672099673130804</v>
      </c>
      <c r="I231" s="367">
        <f>+Baseline_NaturalGas!J27</f>
        <v>6.39755565092754</v>
      </c>
      <c r="J231" s="367">
        <f>+Baseline_NaturalGas!K27</f>
        <v>6.39755565092754</v>
      </c>
      <c r="K231" s="367">
        <f>+Baseline_NaturalGas!L27</f>
        <v>6.39755565092754</v>
      </c>
      <c r="L231" s="367">
        <f>+Baseline_NaturalGas!M27</f>
        <v>6.39755565092754</v>
      </c>
      <c r="M231" s="367">
        <f>+Baseline_NaturalGas!N27</f>
        <v>6.39755565092754</v>
      </c>
      <c r="N231" s="367">
        <f>+Baseline_NaturalGas!O27</f>
        <v>6.39755565092754</v>
      </c>
      <c r="O231" s="367">
        <f>+Baseline_NaturalGas!P27</f>
        <v>6.39755565092754</v>
      </c>
      <c r="P231" s="367">
        <f>+Baseline_NaturalGas!Q27</f>
        <v>6.39755565092754</v>
      </c>
      <c r="Q231" s="367">
        <f>+Baseline_NaturalGas!R27</f>
        <v>6.39755565092754</v>
      </c>
    </row>
    <row r="232" spans="1:17" ht="14.4">
      <c r="A232" s="370"/>
      <c r="B232" s="379"/>
      <c r="C232" s="379"/>
      <c r="D232" s="379"/>
      <c r="E232" s="379"/>
      <c r="F232" s="379"/>
      <c r="G232" s="379"/>
      <c r="H232" s="379"/>
      <c r="I232" s="379"/>
      <c r="J232" s="379"/>
      <c r="K232" s="379"/>
      <c r="L232" s="379"/>
      <c r="M232" s="379"/>
      <c r="N232" s="379"/>
      <c r="O232" s="379"/>
      <c r="P232" s="379"/>
      <c r="Q232" s="379"/>
    </row>
    <row r="233" spans="1:17" ht="14.4">
      <c r="A233" s="366" t="s">
        <v>102</v>
      </c>
      <c r="B233" s="378">
        <f t="shared" ref="B233" si="49">+SUM(C233:Q233)</f>
        <v>160358.02702356796</v>
      </c>
      <c r="C233" s="375">
        <f>+C230*C231/1000</f>
        <v>9769.3177670325604</v>
      </c>
      <c r="D233" s="375">
        <f>+D230*D231/1000</f>
        <v>9588.8897681369654</v>
      </c>
      <c r="E233" s="375">
        <f t="shared" ref="E233:Q233" si="50">+E230*E231/1000</f>
        <v>9786.6170382330711</v>
      </c>
      <c r="F233" s="375">
        <f t="shared" si="50"/>
        <v>10173.339661298274</v>
      </c>
      <c r="G233" s="375">
        <f t="shared" si="50"/>
        <v>10181.571106553778</v>
      </c>
      <c r="H233" s="375">
        <f t="shared" si="50"/>
        <v>10567.967699826495</v>
      </c>
      <c r="I233" s="375">
        <f t="shared" si="50"/>
        <v>11143.36933138743</v>
      </c>
      <c r="J233" s="375">
        <f t="shared" si="50"/>
        <v>11143.36933138743</v>
      </c>
      <c r="K233" s="375">
        <f t="shared" si="50"/>
        <v>11143.36933138743</v>
      </c>
      <c r="L233" s="375">
        <f t="shared" si="50"/>
        <v>11143.36933138743</v>
      </c>
      <c r="M233" s="375">
        <f t="shared" si="50"/>
        <v>11143.36933138743</v>
      </c>
      <c r="N233" s="375">
        <f t="shared" si="50"/>
        <v>11143.36933138743</v>
      </c>
      <c r="O233" s="375">
        <f t="shared" si="50"/>
        <v>11143.36933138743</v>
      </c>
      <c r="P233" s="375">
        <f t="shared" si="50"/>
        <v>11143.36933138743</v>
      </c>
      <c r="Q233" s="375">
        <f t="shared" si="50"/>
        <v>11143.36933138743</v>
      </c>
    </row>
    <row r="234" spans="1:17" ht="14.4">
      <c r="A234" s="370"/>
      <c r="B234" s="373"/>
      <c r="C234" s="373"/>
      <c r="D234" s="373"/>
      <c r="E234" s="373"/>
      <c r="F234" s="373"/>
      <c r="G234" s="373"/>
      <c r="H234" s="373"/>
      <c r="I234" s="373"/>
      <c r="J234" s="373"/>
      <c r="K234" s="373"/>
      <c r="L234" s="373"/>
      <c r="M234" s="373"/>
      <c r="N234" s="373"/>
      <c r="O234" s="373"/>
      <c r="P234" s="373"/>
      <c r="Q234" s="373"/>
    </row>
    <row r="235" spans="1:17" ht="14.4">
      <c r="A235" s="370"/>
      <c r="B235" s="379"/>
      <c r="C235" s="379"/>
      <c r="D235" s="379"/>
      <c r="E235" s="379"/>
      <c r="F235" s="379"/>
      <c r="G235" s="379"/>
      <c r="H235" s="379"/>
      <c r="I235" s="379"/>
      <c r="J235" s="379"/>
      <c r="K235" s="379"/>
      <c r="L235" s="379"/>
      <c r="M235" s="379"/>
      <c r="N235" s="379"/>
      <c r="O235" s="379"/>
      <c r="P235" s="379"/>
      <c r="Q235" s="379"/>
    </row>
    <row r="236" spans="1:17" ht="14.4">
      <c r="A236" s="366" t="s">
        <v>101</v>
      </c>
      <c r="B236" s="373"/>
      <c r="C236" s="375">
        <f>+C233+C224</f>
        <v>10631.53669178256</v>
      </c>
      <c r="D236" s="375">
        <f t="shared" ref="D236:Q236" si="51">+D233+D224</f>
        <v>10474.216160070266</v>
      </c>
      <c r="E236" s="375">
        <f t="shared" si="51"/>
        <v>10695.670177470183</v>
      </c>
      <c r="F236" s="375">
        <f t="shared" si="51"/>
        <v>11106.755424666941</v>
      </c>
      <c r="G236" s="375">
        <f t="shared" si="51"/>
        <v>11140.002412380725</v>
      </c>
      <c r="H236" s="375">
        <f t="shared" si="51"/>
        <v>11552.084964649604</v>
      </c>
      <c r="I236" s="375">
        <f t="shared" si="51"/>
        <v>12153.860938907799</v>
      </c>
      <c r="J236" s="375">
        <f t="shared" si="51"/>
        <v>12180.942113989344</v>
      </c>
      <c r="K236" s="375">
        <f t="shared" si="51"/>
        <v>12208.749064563075</v>
      </c>
      <c r="L236" s="375">
        <f t="shared" si="51"/>
        <v>12237.301241412182</v>
      </c>
      <c r="M236" s="375">
        <f t="shared" si="51"/>
        <v>12266.618616600847</v>
      </c>
      <c r="N236" s="375">
        <f t="shared" si="51"/>
        <v>12296.721697444566</v>
      </c>
      <c r="O236" s="375">
        <f t="shared" si="51"/>
        <v>12327.631540854896</v>
      </c>
      <c r="P236" s="375">
        <f t="shared" si="51"/>
        <v>12359.369768068625</v>
      </c>
      <c r="Q236" s="375">
        <f t="shared" si="51"/>
        <v>12391.958579771681</v>
      </c>
    </row>
    <row r="237" spans="1:17" ht="14.4">
      <c r="A237" s="370"/>
      <c r="B237" s="379"/>
      <c r="C237" s="379"/>
      <c r="D237" s="379"/>
      <c r="E237" s="379"/>
      <c r="F237" s="379"/>
      <c r="G237" s="379"/>
      <c r="H237" s="379"/>
      <c r="I237" s="379"/>
      <c r="J237" s="379"/>
      <c r="K237" s="379"/>
      <c r="L237" s="379"/>
      <c r="M237" s="379"/>
      <c r="N237" s="379"/>
      <c r="O237" s="379"/>
      <c r="P237" s="379"/>
      <c r="Q237" s="379"/>
    </row>
    <row r="238" spans="1:17" ht="14.4">
      <c r="A238" s="366" t="s">
        <v>73</v>
      </c>
      <c r="B238" s="378">
        <f>+SUM(C238:Q238)</f>
        <v>11487.524395535713</v>
      </c>
      <c r="C238" s="367">
        <f>+Baseline_NaturalGas!$D$5/'Initial Data'!$C$19</f>
        <v>1148.7524395535715</v>
      </c>
      <c r="D238" s="367">
        <f>+Baseline_NaturalGas!$D$5/'Initial Data'!$C$19</f>
        <v>1148.7524395535715</v>
      </c>
      <c r="E238" s="367">
        <f>+Baseline_NaturalGas!$D$5/'Initial Data'!$C$19</f>
        <v>1148.7524395535715</v>
      </c>
      <c r="F238" s="367">
        <f>+Baseline_NaturalGas!$D$5/'Initial Data'!$C$19</f>
        <v>1148.7524395535715</v>
      </c>
      <c r="G238" s="367">
        <f>+Baseline_NaturalGas!$D$5/'Initial Data'!$C$19</f>
        <v>1148.7524395535715</v>
      </c>
      <c r="H238" s="367">
        <f>+Baseline_NaturalGas!$D$5/'Initial Data'!$C$19</f>
        <v>1148.7524395535715</v>
      </c>
      <c r="I238" s="367">
        <f>+Baseline_NaturalGas!$D$5/'Initial Data'!$C$19</f>
        <v>1148.7524395535715</v>
      </c>
      <c r="J238" s="367">
        <f>+Baseline_NaturalGas!$D$5/'Initial Data'!$C$19</f>
        <v>1148.7524395535715</v>
      </c>
      <c r="K238" s="367">
        <f>+Baseline_NaturalGas!$D$5/'Initial Data'!$C$19</f>
        <v>1148.7524395535715</v>
      </c>
      <c r="L238" s="367">
        <f>+Baseline_NaturalGas!$D$5/'Initial Data'!$C$19</f>
        <v>1148.7524395535715</v>
      </c>
      <c r="M238" s="367">
        <v>0</v>
      </c>
      <c r="N238" s="367">
        <v>0</v>
      </c>
      <c r="O238" s="367">
        <v>0</v>
      </c>
      <c r="P238" s="367">
        <v>0</v>
      </c>
      <c r="Q238" s="367">
        <v>0</v>
      </c>
    </row>
    <row r="239" spans="1:17" ht="14.4">
      <c r="A239" s="366" t="s">
        <v>74</v>
      </c>
      <c r="B239" s="378">
        <f>+SUM(C239:Q239)</f>
        <v>11487.524395535713</v>
      </c>
      <c r="C239" s="367">
        <f>SUM(C238:C238)</f>
        <v>1148.7524395535715</v>
      </c>
      <c r="D239" s="367">
        <f t="shared" ref="D239:Q239" si="52">SUM(D238:D238)</f>
        <v>1148.7524395535715</v>
      </c>
      <c r="E239" s="367">
        <f t="shared" si="52"/>
        <v>1148.7524395535715</v>
      </c>
      <c r="F239" s="367">
        <f t="shared" si="52"/>
        <v>1148.7524395535715</v>
      </c>
      <c r="G239" s="367">
        <f t="shared" si="52"/>
        <v>1148.7524395535715</v>
      </c>
      <c r="H239" s="367">
        <f t="shared" si="52"/>
        <v>1148.7524395535715</v>
      </c>
      <c r="I239" s="367">
        <f t="shared" si="52"/>
        <v>1148.7524395535715</v>
      </c>
      <c r="J239" s="367">
        <f t="shared" si="52"/>
        <v>1148.7524395535715</v>
      </c>
      <c r="K239" s="367">
        <f t="shared" si="52"/>
        <v>1148.7524395535715</v>
      </c>
      <c r="L239" s="367">
        <f t="shared" si="52"/>
        <v>1148.7524395535715</v>
      </c>
      <c r="M239" s="367">
        <f t="shared" si="52"/>
        <v>0</v>
      </c>
      <c r="N239" s="367">
        <f t="shared" si="52"/>
        <v>0</v>
      </c>
      <c r="O239" s="367">
        <f t="shared" si="52"/>
        <v>0</v>
      </c>
      <c r="P239" s="367">
        <f t="shared" si="52"/>
        <v>0</v>
      </c>
      <c r="Q239" s="367">
        <f t="shared" si="52"/>
        <v>0</v>
      </c>
    </row>
    <row r="240" spans="1:17" ht="14.4">
      <c r="A240" s="90"/>
      <c r="B240" s="388"/>
      <c r="C240" s="373"/>
      <c r="D240" s="373"/>
      <c r="E240" s="373"/>
      <c r="F240" s="373"/>
      <c r="G240" s="373"/>
      <c r="H240" s="373"/>
      <c r="I240" s="373"/>
      <c r="J240" s="373"/>
      <c r="K240" s="373"/>
      <c r="L240" s="373"/>
      <c r="M240" s="373"/>
      <c r="N240" s="373"/>
      <c r="O240" s="373"/>
      <c r="P240" s="373"/>
      <c r="Q240" s="373"/>
    </row>
    <row r="241" spans="1:17" ht="14.4">
      <c r="A241" s="366" t="s">
        <v>75</v>
      </c>
      <c r="B241" s="378">
        <f>+SUM(C241:Q241)</f>
        <v>187510.94378816901</v>
      </c>
      <c r="C241" s="367">
        <f>+C236+C239</f>
        <v>11780.289131336131</v>
      </c>
      <c r="D241" s="367">
        <f t="shared" ref="D241:Q241" si="53">+D236+D239</f>
        <v>11622.968599623837</v>
      </c>
      <c r="E241" s="367">
        <f t="shared" si="53"/>
        <v>11844.422617023754</v>
      </c>
      <c r="F241" s="367">
        <f t="shared" si="53"/>
        <v>12255.507864220512</v>
      </c>
      <c r="G241" s="367">
        <f t="shared" si="53"/>
        <v>12288.754851934296</v>
      </c>
      <c r="H241" s="367">
        <f t="shared" si="53"/>
        <v>12700.837404203176</v>
      </c>
      <c r="I241" s="367">
        <f t="shared" si="53"/>
        <v>13302.61337846137</v>
      </c>
      <c r="J241" s="367">
        <f t="shared" si="53"/>
        <v>13329.694553542915</v>
      </c>
      <c r="K241" s="367">
        <f t="shared" si="53"/>
        <v>13357.501504116646</v>
      </c>
      <c r="L241" s="367">
        <f t="shared" si="53"/>
        <v>13386.053680965753</v>
      </c>
      <c r="M241" s="367">
        <f t="shared" si="53"/>
        <v>12266.618616600847</v>
      </c>
      <c r="N241" s="367">
        <f t="shared" si="53"/>
        <v>12296.721697444566</v>
      </c>
      <c r="O241" s="367">
        <f t="shared" si="53"/>
        <v>12327.631540854896</v>
      </c>
      <c r="P241" s="367">
        <f t="shared" si="53"/>
        <v>12359.369768068625</v>
      </c>
      <c r="Q241" s="367">
        <f t="shared" si="53"/>
        <v>12391.958579771681</v>
      </c>
    </row>
    <row r="242" spans="1:17">
      <c r="A242" s="74"/>
    </row>
    <row r="243" spans="1:17" ht="14.4">
      <c r="A243" s="366" t="s">
        <v>76</v>
      </c>
      <c r="B243" s="378">
        <f>+SUM(C243:Q243)</f>
        <v>1603013.91440723</v>
      </c>
      <c r="C243" s="367">
        <f>+C221-C241</f>
        <v>86769.710868663868</v>
      </c>
      <c r="D243" s="367">
        <f t="shared" ref="D243:Q243" si="54">+D221-D241</f>
        <v>89568.171400376159</v>
      </c>
      <c r="E243" s="367">
        <f t="shared" si="54"/>
        <v>92058.639934976236</v>
      </c>
      <c r="F243" s="367">
        <f t="shared" si="54"/>
        <v>94432.156764173065</v>
      </c>
      <c r="G243" s="367">
        <f t="shared" si="54"/>
        <v>97258.139188500209</v>
      </c>
      <c r="H243" s="367">
        <f t="shared" si="54"/>
        <v>99781.913396514996</v>
      </c>
      <c r="I243" s="367">
        <f t="shared" si="54"/>
        <v>102194.67514371604</v>
      </c>
      <c r="J243" s="367">
        <f t="shared" si="54"/>
        <v>105262.92130102882</v>
      </c>
      <c r="K243" s="367">
        <f t="shared" si="54"/>
        <v>108413.39645535762</v>
      </c>
      <c r="L243" s="367">
        <f t="shared" si="54"/>
        <v>111648.30434382243</v>
      </c>
      <c r="M243" s="367">
        <f t="shared" si="54"/>
        <v>116118.66020325162</v>
      </c>
      <c r="N243" s="367">
        <f t="shared" si="54"/>
        <v>119529.28259477994</v>
      </c>
      <c r="O243" s="367">
        <f t="shared" si="54"/>
        <v>123031.30966640121</v>
      </c>
      <c r="P243" s="367">
        <f t="shared" si="54"/>
        <v>126627.19106354192</v>
      </c>
      <c r="Q243" s="367">
        <f t="shared" si="54"/>
        <v>130319.44208212604</v>
      </c>
    </row>
    <row r="244" spans="1:17" ht="14.4">
      <c r="A244" s="369"/>
      <c r="B244" s="373"/>
      <c r="C244" s="373"/>
      <c r="D244" s="373"/>
      <c r="E244" s="373"/>
      <c r="F244" s="373"/>
      <c r="G244" s="373"/>
      <c r="H244" s="373"/>
      <c r="I244" s="373"/>
      <c r="J244" s="373"/>
      <c r="K244" s="373"/>
      <c r="L244" s="373"/>
      <c r="M244" s="373"/>
      <c r="N244" s="373"/>
      <c r="O244" s="373"/>
      <c r="P244" s="373"/>
      <c r="Q244" s="373"/>
    </row>
    <row r="245" spans="1:17" ht="14.4">
      <c r="A245" s="366" t="s">
        <v>222</v>
      </c>
      <c r="B245" s="380">
        <f>+Baseline_NaturalGas!C43</f>
        <v>0.7</v>
      </c>
      <c r="C245" s="367">
        <f>IF((+$B$245*C243)&lt;0,"0",(+$B$245*C243))</f>
        <v>60738.797608064706</v>
      </c>
      <c r="D245" s="367">
        <f t="shared" ref="D245:Q245" si="55">IF((+$B$245*D243)&lt;0,"0",(+$B$245*D243))</f>
        <v>62697.719980263304</v>
      </c>
      <c r="E245" s="367">
        <f t="shared" si="55"/>
        <v>64441.047954483358</v>
      </c>
      <c r="F245" s="367">
        <f t="shared" si="55"/>
        <v>66102.509734921143</v>
      </c>
      <c r="G245" s="367">
        <f t="shared" si="55"/>
        <v>68080.697431950146</v>
      </c>
      <c r="H245" s="367">
        <f t="shared" si="55"/>
        <v>69847.339377560493</v>
      </c>
      <c r="I245" s="367">
        <f t="shared" si="55"/>
        <v>71536.272600601224</v>
      </c>
      <c r="J245" s="367">
        <f t="shared" si="55"/>
        <v>73684.044910720171</v>
      </c>
      <c r="K245" s="367">
        <f t="shared" si="55"/>
        <v>75889.377518750334</v>
      </c>
      <c r="L245" s="367">
        <f t="shared" si="55"/>
        <v>78153.813040675697</v>
      </c>
      <c r="M245" s="367">
        <f t="shared" si="55"/>
        <v>81283.062142276132</v>
      </c>
      <c r="N245" s="367">
        <f t="shared" si="55"/>
        <v>83670.49781634596</v>
      </c>
      <c r="O245" s="367">
        <f t="shared" si="55"/>
        <v>86121.916766480848</v>
      </c>
      <c r="P245" s="367">
        <f t="shared" si="55"/>
        <v>88639.03374447934</v>
      </c>
      <c r="Q245" s="367">
        <f t="shared" si="55"/>
        <v>91223.60945748823</v>
      </c>
    </row>
    <row r="246" spans="1:17" ht="14.4">
      <c r="A246" s="366" t="s">
        <v>77</v>
      </c>
      <c r="B246" s="378">
        <f>+SUM(C246:Q246)</f>
        <v>1122109.7400850612</v>
      </c>
      <c r="C246" s="367">
        <f>SUM(C245:C245)</f>
        <v>60738.797608064706</v>
      </c>
      <c r="D246" s="367">
        <f t="shared" ref="D246:Q246" si="56">SUM(D245:D245)</f>
        <v>62697.719980263304</v>
      </c>
      <c r="E246" s="367">
        <f t="shared" si="56"/>
        <v>64441.047954483358</v>
      </c>
      <c r="F246" s="367">
        <f t="shared" si="56"/>
        <v>66102.509734921143</v>
      </c>
      <c r="G246" s="367">
        <f t="shared" si="56"/>
        <v>68080.697431950146</v>
      </c>
      <c r="H246" s="367">
        <f t="shared" si="56"/>
        <v>69847.339377560493</v>
      </c>
      <c r="I246" s="367">
        <f t="shared" si="56"/>
        <v>71536.272600601224</v>
      </c>
      <c r="J246" s="367">
        <f t="shared" si="56"/>
        <v>73684.044910720171</v>
      </c>
      <c r="K246" s="367">
        <f t="shared" si="56"/>
        <v>75889.377518750334</v>
      </c>
      <c r="L246" s="367">
        <f t="shared" si="56"/>
        <v>78153.813040675697</v>
      </c>
      <c r="M246" s="367">
        <f t="shared" si="56"/>
        <v>81283.062142276132</v>
      </c>
      <c r="N246" s="367">
        <f t="shared" si="56"/>
        <v>83670.49781634596</v>
      </c>
      <c r="O246" s="367">
        <f t="shared" si="56"/>
        <v>86121.916766480848</v>
      </c>
      <c r="P246" s="367">
        <f t="shared" si="56"/>
        <v>88639.03374447934</v>
      </c>
      <c r="Q246" s="367">
        <f t="shared" si="56"/>
        <v>91223.60945748823</v>
      </c>
    </row>
    <row r="247" spans="1:17" ht="14.4">
      <c r="A247" s="369"/>
      <c r="B247" s="373"/>
      <c r="C247" s="373"/>
      <c r="D247" s="373"/>
      <c r="E247" s="373"/>
      <c r="F247" s="373"/>
      <c r="G247" s="373"/>
      <c r="H247" s="373"/>
      <c r="I247" s="373"/>
      <c r="J247" s="373"/>
      <c r="K247" s="373"/>
      <c r="L247" s="373"/>
      <c r="M247" s="373"/>
      <c r="N247" s="373"/>
      <c r="O247" s="373"/>
      <c r="P247" s="373"/>
      <c r="Q247" s="373"/>
    </row>
    <row r="248" spans="1:17" ht="14.4">
      <c r="A248" s="366" t="s">
        <v>78</v>
      </c>
      <c r="B248" s="378">
        <f>+SUM(C248:Q248)</f>
        <v>480904.1743221691</v>
      </c>
      <c r="C248" s="367">
        <f>+C243-C246</f>
        <v>26030.913260599162</v>
      </c>
      <c r="D248" s="367">
        <f t="shared" ref="D248:Q248" si="57">+D243-D246</f>
        <v>26870.451420112855</v>
      </c>
      <c r="E248" s="367">
        <f t="shared" si="57"/>
        <v>27617.591980492878</v>
      </c>
      <c r="F248" s="367">
        <f t="shared" si="57"/>
        <v>28329.647029251923</v>
      </c>
      <c r="G248" s="367">
        <f t="shared" si="57"/>
        <v>29177.441756550063</v>
      </c>
      <c r="H248" s="367">
        <f t="shared" si="57"/>
        <v>29934.574018954503</v>
      </c>
      <c r="I248" s="367">
        <f t="shared" si="57"/>
        <v>30658.402543114818</v>
      </c>
      <c r="J248" s="367">
        <f t="shared" si="57"/>
        <v>31578.876390308651</v>
      </c>
      <c r="K248" s="367">
        <f t="shared" si="57"/>
        <v>32524.018936607288</v>
      </c>
      <c r="L248" s="367">
        <f t="shared" si="57"/>
        <v>33494.491303146729</v>
      </c>
      <c r="M248" s="367">
        <f t="shared" si="57"/>
        <v>34835.598060975492</v>
      </c>
      <c r="N248" s="367">
        <f t="shared" si="57"/>
        <v>35858.784778433983</v>
      </c>
      <c r="O248" s="367">
        <f t="shared" si="57"/>
        <v>36909.392899920364</v>
      </c>
      <c r="P248" s="367">
        <f t="shared" si="57"/>
        <v>37988.157319062579</v>
      </c>
      <c r="Q248" s="367">
        <f t="shared" si="57"/>
        <v>39095.832624637813</v>
      </c>
    </row>
    <row r="249" spans="1:17" ht="14.4">
      <c r="A249" s="395" t="s">
        <v>331</v>
      </c>
      <c r="B249" s="378">
        <f>+SUM(C249:Q249)</f>
        <v>11487.524395535713</v>
      </c>
      <c r="C249" s="377">
        <f>+C238</f>
        <v>1148.7524395535715</v>
      </c>
      <c r="D249" s="377">
        <f t="shared" ref="D249:Q249" si="58">+D238</f>
        <v>1148.7524395535715</v>
      </c>
      <c r="E249" s="377">
        <f t="shared" si="58"/>
        <v>1148.7524395535715</v>
      </c>
      <c r="F249" s="377">
        <f t="shared" si="58"/>
        <v>1148.7524395535715</v>
      </c>
      <c r="G249" s="377">
        <f t="shared" si="58"/>
        <v>1148.7524395535715</v>
      </c>
      <c r="H249" s="377">
        <f t="shared" si="58"/>
        <v>1148.7524395535715</v>
      </c>
      <c r="I249" s="377">
        <f t="shared" si="58"/>
        <v>1148.7524395535715</v>
      </c>
      <c r="J249" s="377">
        <f t="shared" si="58"/>
        <v>1148.7524395535715</v>
      </c>
      <c r="K249" s="377">
        <f t="shared" si="58"/>
        <v>1148.7524395535715</v>
      </c>
      <c r="L249" s="377">
        <f t="shared" si="58"/>
        <v>1148.7524395535715</v>
      </c>
      <c r="M249" s="377">
        <f t="shared" si="58"/>
        <v>0</v>
      </c>
      <c r="N249" s="377">
        <f t="shared" si="58"/>
        <v>0</v>
      </c>
      <c r="O249" s="377">
        <f t="shared" si="58"/>
        <v>0</v>
      </c>
      <c r="P249" s="377">
        <f t="shared" si="58"/>
        <v>0</v>
      </c>
      <c r="Q249" s="377">
        <f t="shared" si="58"/>
        <v>0</v>
      </c>
    </row>
    <row r="250" spans="1:17" ht="14.4">
      <c r="A250" s="395" t="s">
        <v>332</v>
      </c>
      <c r="B250" s="378">
        <f>+Baseline_NaturalGas!C228</f>
        <v>0</v>
      </c>
      <c r="C250" s="367">
        <f>+Baseline_NaturalGas!D228</f>
        <v>0</v>
      </c>
      <c r="D250" s="367">
        <f>+Baseline_NaturalGas!E228</f>
        <v>0</v>
      </c>
      <c r="E250" s="367">
        <f>+Baseline_NaturalGas!F228</f>
        <v>0</v>
      </c>
      <c r="F250" s="367">
        <f>+Baseline_NaturalGas!G228</f>
        <v>0</v>
      </c>
      <c r="G250" s="367">
        <f>+Baseline_NaturalGas!H228</f>
        <v>0</v>
      </c>
      <c r="H250" s="367">
        <f>+Baseline_NaturalGas!I228</f>
        <v>0</v>
      </c>
      <c r="I250" s="367">
        <f>+Baseline_NaturalGas!J228</f>
        <v>0</v>
      </c>
      <c r="J250" s="367">
        <f>+Baseline_NaturalGas!K228</f>
        <v>0</v>
      </c>
      <c r="K250" s="367">
        <f>+Baseline_NaturalGas!L228</f>
        <v>0</v>
      </c>
      <c r="L250" s="367">
        <f>+Baseline_NaturalGas!M228</f>
        <v>0</v>
      </c>
      <c r="M250" s="367">
        <f>+Baseline_NaturalGas!N228</f>
        <v>0</v>
      </c>
      <c r="N250" s="367">
        <f>+Baseline_NaturalGas!O228</f>
        <v>0</v>
      </c>
      <c r="O250" s="367">
        <f>+Baseline_NaturalGas!P228</f>
        <v>0</v>
      </c>
      <c r="P250" s="367">
        <f>+Baseline_NaturalGas!Q228</f>
        <v>0</v>
      </c>
      <c r="Q250" s="367">
        <f>+Baseline_NaturalGas!R228</f>
        <v>0</v>
      </c>
    </row>
    <row r="251" spans="1:17" ht="14.4">
      <c r="A251" s="510"/>
      <c r="B251" s="511"/>
      <c r="C251" s="511"/>
      <c r="D251" s="511"/>
      <c r="E251" s="511"/>
      <c r="F251" s="511"/>
      <c r="G251" s="511"/>
      <c r="H251" s="511"/>
      <c r="I251" s="511"/>
      <c r="J251" s="511"/>
      <c r="K251" s="511"/>
      <c r="L251" s="511"/>
      <c r="M251" s="511"/>
      <c r="N251" s="511"/>
      <c r="O251" s="511"/>
      <c r="P251" s="511"/>
      <c r="Q251" s="511"/>
    </row>
    <row r="252" spans="1:17" ht="14.4">
      <c r="A252" s="366" t="s">
        <v>110</v>
      </c>
      <c r="B252" s="378">
        <f>-Baseline_NaturalGas!$D$5</f>
        <v>-11487.524395535715</v>
      </c>
      <c r="C252" s="367">
        <f>+C248+C249+C250</f>
        <v>27179.665700152735</v>
      </c>
      <c r="D252" s="367">
        <f t="shared" ref="D252:Q252" si="59">+D248+D249+D250</f>
        <v>28019.203859666428</v>
      </c>
      <c r="E252" s="367">
        <f t="shared" si="59"/>
        <v>28766.344420046451</v>
      </c>
      <c r="F252" s="367">
        <f t="shared" si="59"/>
        <v>29478.399468805495</v>
      </c>
      <c r="G252" s="367">
        <f t="shared" si="59"/>
        <v>30326.194196103635</v>
      </c>
      <c r="H252" s="367">
        <f t="shared" si="59"/>
        <v>31083.326458508076</v>
      </c>
      <c r="I252" s="367">
        <f t="shared" si="59"/>
        <v>31807.154982668391</v>
      </c>
      <c r="J252" s="367">
        <f t="shared" si="59"/>
        <v>32727.628829862224</v>
      </c>
      <c r="K252" s="367">
        <f t="shared" si="59"/>
        <v>33672.771376160861</v>
      </c>
      <c r="L252" s="367">
        <f t="shared" si="59"/>
        <v>34643.243742700302</v>
      </c>
      <c r="M252" s="367">
        <f t="shared" si="59"/>
        <v>34835.598060975492</v>
      </c>
      <c r="N252" s="367">
        <f t="shared" si="59"/>
        <v>35858.784778433983</v>
      </c>
      <c r="O252" s="367">
        <f t="shared" si="59"/>
        <v>36909.392899920364</v>
      </c>
      <c r="P252" s="367">
        <f t="shared" si="59"/>
        <v>37988.157319062579</v>
      </c>
      <c r="Q252" s="367">
        <f t="shared" si="59"/>
        <v>39095.832624637813</v>
      </c>
    </row>
    <row r="253" spans="1:17" ht="15.6">
      <c r="A253" s="366" t="s">
        <v>51</v>
      </c>
      <c r="B253" s="132">
        <f>IRR(B252:Q252)</f>
        <v>2.3955275014558088</v>
      </c>
      <c r="C253" s="390"/>
      <c r="D253" s="390"/>
      <c r="E253" s="390"/>
      <c r="F253" s="390"/>
      <c r="G253" s="390"/>
      <c r="H253" s="390"/>
      <c r="I253" s="390"/>
      <c r="J253" s="390"/>
      <c r="K253" s="390"/>
      <c r="L253" s="390"/>
      <c r="M253" s="390"/>
      <c r="N253" s="390"/>
      <c r="O253" s="390"/>
      <c r="P253" s="390"/>
      <c r="Q253" s="390"/>
    </row>
    <row r="254" spans="1:17" ht="15.6">
      <c r="A254" s="366" t="s">
        <v>267</v>
      </c>
      <c r="B254" s="303">
        <f>NPV('Initial Data'!$C$21/100,B252:Q252)</f>
        <v>179265.86659714856</v>
      </c>
      <c r="C254" s="373"/>
      <c r="D254" s="373"/>
      <c r="E254" s="373"/>
      <c r="F254" s="373"/>
      <c r="G254" s="373"/>
      <c r="H254" s="373"/>
      <c r="I254" s="373"/>
      <c r="J254" s="373"/>
      <c r="K254" s="373"/>
      <c r="L254" s="373"/>
      <c r="M254" s="373"/>
      <c r="N254" s="373"/>
      <c r="O254" s="373"/>
      <c r="P254" s="373"/>
      <c r="Q254" s="373"/>
    </row>
    <row r="255" spans="1:17" ht="14.4">
      <c r="A255" s="369"/>
      <c r="B255" s="373"/>
      <c r="C255" s="373"/>
      <c r="D255" s="373"/>
      <c r="E255" s="373"/>
      <c r="F255" s="373"/>
      <c r="G255" s="373"/>
      <c r="H255" s="373"/>
      <c r="I255" s="373"/>
      <c r="J255" s="373"/>
      <c r="K255" s="373"/>
      <c r="L255" s="373"/>
      <c r="M255" s="373"/>
      <c r="N255" s="373"/>
      <c r="O255" s="373"/>
      <c r="P255" s="373"/>
      <c r="Q255" s="373"/>
    </row>
    <row r="256" spans="1:17" ht="14.4">
      <c r="A256" s="508" t="s">
        <v>335</v>
      </c>
      <c r="B256" s="509"/>
      <c r="C256" s="509"/>
      <c r="D256" s="509"/>
      <c r="E256" s="509"/>
      <c r="F256" s="509"/>
      <c r="G256" s="509"/>
      <c r="H256" s="509"/>
      <c r="I256" s="509"/>
      <c r="J256" s="509"/>
      <c r="K256" s="509"/>
      <c r="L256" s="509"/>
      <c r="M256" s="509"/>
      <c r="N256" s="509"/>
      <c r="O256" s="509"/>
      <c r="P256" s="509"/>
      <c r="Q256" s="509"/>
    </row>
    <row r="257" spans="1:17" ht="14.4">
      <c r="A257" s="371" t="s">
        <v>312</v>
      </c>
      <c r="B257" s="372"/>
      <c r="C257" s="372"/>
      <c r="D257" s="372"/>
      <c r="E257" s="372"/>
      <c r="F257" s="372"/>
      <c r="G257" s="372"/>
      <c r="H257" s="372"/>
      <c r="I257" s="372"/>
      <c r="J257" s="372"/>
      <c r="K257" s="372"/>
      <c r="L257" s="372"/>
      <c r="M257" s="372"/>
      <c r="N257" s="372"/>
      <c r="O257" s="372"/>
      <c r="P257" s="372"/>
      <c r="Q257" s="372"/>
    </row>
    <row r="258" spans="1:17" ht="27">
      <c r="A258" s="376"/>
      <c r="B258" s="304" t="s">
        <v>35</v>
      </c>
      <c r="C258" s="352" t="s">
        <v>407</v>
      </c>
      <c r="D258" s="352" t="s">
        <v>408</v>
      </c>
      <c r="E258" s="352" t="s">
        <v>409</v>
      </c>
      <c r="F258" s="352" t="s">
        <v>410</v>
      </c>
      <c r="G258" s="352" t="s">
        <v>411</v>
      </c>
      <c r="H258" s="352" t="s">
        <v>412</v>
      </c>
      <c r="I258" s="352" t="s">
        <v>413</v>
      </c>
      <c r="J258" s="352" t="s">
        <v>414</v>
      </c>
      <c r="K258" s="352" t="s">
        <v>415</v>
      </c>
      <c r="L258" s="352" t="s">
        <v>416</v>
      </c>
      <c r="M258" s="352" t="s">
        <v>417</v>
      </c>
      <c r="N258" s="352" t="s">
        <v>418</v>
      </c>
      <c r="O258" s="352" t="s">
        <v>419</v>
      </c>
      <c r="P258" s="352" t="s">
        <v>420</v>
      </c>
      <c r="Q258" s="352" t="s">
        <v>421</v>
      </c>
    </row>
    <row r="259" spans="1:17" ht="14.4">
      <c r="A259" s="363" t="s">
        <v>290</v>
      </c>
      <c r="B259" s="365"/>
      <c r="C259" s="367">
        <f>+Baseline_NaturalGas!D10</f>
        <v>219000</v>
      </c>
      <c r="D259" s="367">
        <f>+Baseline_NaturalGas!E10</f>
        <v>219000</v>
      </c>
      <c r="E259" s="367">
        <f>+Baseline_NaturalGas!F10</f>
        <v>219000</v>
      </c>
      <c r="F259" s="367">
        <f>+Baseline_NaturalGas!G10</f>
        <v>219000</v>
      </c>
      <c r="G259" s="367">
        <f>+Baseline_NaturalGas!H10</f>
        <v>219000</v>
      </c>
      <c r="H259" s="367">
        <f>+Baseline_NaturalGas!I10</f>
        <v>219000</v>
      </c>
      <c r="I259" s="367">
        <f>+Baseline_NaturalGas!J10</f>
        <v>219000</v>
      </c>
      <c r="J259" s="367">
        <f>+Baseline_NaturalGas!K10</f>
        <v>219000</v>
      </c>
      <c r="K259" s="367">
        <f>+Baseline_NaturalGas!L10</f>
        <v>219000</v>
      </c>
      <c r="L259" s="367">
        <f>+Baseline_NaturalGas!M10</f>
        <v>219000</v>
      </c>
      <c r="M259" s="367">
        <f>+Baseline_NaturalGas!N10</f>
        <v>219000</v>
      </c>
      <c r="N259" s="367">
        <f>+Baseline_NaturalGas!O10</f>
        <v>219000</v>
      </c>
      <c r="O259" s="367">
        <f>+Baseline_NaturalGas!P10</f>
        <v>219000</v>
      </c>
      <c r="P259" s="367">
        <f>+Baseline_NaturalGas!Q10</f>
        <v>219000</v>
      </c>
      <c r="Q259" s="367">
        <f>+Baseline_NaturalGas!R10</f>
        <v>219000</v>
      </c>
    </row>
    <row r="260" spans="1:17" ht="14.4">
      <c r="A260" s="364" t="s">
        <v>291</v>
      </c>
      <c r="B260" s="365"/>
      <c r="C260" s="367">
        <f>+Baseline_NaturalGas!D11</f>
        <v>70</v>
      </c>
      <c r="D260" s="367">
        <f>+Baseline_NaturalGas!E11</f>
        <v>70</v>
      </c>
      <c r="E260" s="367">
        <f>+Baseline_NaturalGas!F11</f>
        <v>70</v>
      </c>
      <c r="F260" s="367">
        <f>+Baseline_NaturalGas!G11</f>
        <v>70</v>
      </c>
      <c r="G260" s="367">
        <f>+Baseline_NaturalGas!H11</f>
        <v>70</v>
      </c>
      <c r="H260" s="367">
        <f>+Baseline_NaturalGas!I11</f>
        <v>70</v>
      </c>
      <c r="I260" s="367">
        <f>+Baseline_NaturalGas!J11</f>
        <v>70</v>
      </c>
      <c r="J260" s="367">
        <f>+Baseline_NaturalGas!K11</f>
        <v>70</v>
      </c>
      <c r="K260" s="367">
        <f>+Baseline_NaturalGas!L11</f>
        <v>70</v>
      </c>
      <c r="L260" s="367">
        <f>+Baseline_NaturalGas!M11</f>
        <v>70</v>
      </c>
      <c r="M260" s="367">
        <f>+Baseline_NaturalGas!N11</f>
        <v>70</v>
      </c>
      <c r="N260" s="367">
        <f>+Baseline_NaturalGas!O11</f>
        <v>70</v>
      </c>
      <c r="O260" s="367">
        <f>+Baseline_NaturalGas!P11</f>
        <v>70</v>
      </c>
      <c r="P260" s="367">
        <f>+Baseline_NaturalGas!Q11</f>
        <v>70</v>
      </c>
      <c r="Q260" s="367">
        <f>+Baseline_NaturalGas!R11</f>
        <v>70</v>
      </c>
    </row>
    <row r="261" spans="1:17" ht="14.4">
      <c r="A261" s="366" t="s">
        <v>292</v>
      </c>
      <c r="B261" s="365"/>
      <c r="C261" s="375">
        <f>+Baseline_NaturalGas!D12</f>
        <v>6.4285714285714288</v>
      </c>
      <c r="D261" s="375">
        <f>+Baseline_NaturalGas!E12</f>
        <v>6.6008571428571425</v>
      </c>
      <c r="E261" s="375">
        <f>+Baseline_NaturalGas!F12</f>
        <v>6.7777601142857131</v>
      </c>
      <c r="F261" s="375">
        <f>+Baseline_NaturalGas!G12</f>
        <v>6.9594040853485701</v>
      </c>
      <c r="G261" s="375">
        <f>+Baseline_NaturalGas!H12</f>
        <v>7.1459161148359112</v>
      </c>
      <c r="H261" s="375">
        <f>+Baseline_NaturalGas!I12</f>
        <v>7.3374266667135135</v>
      </c>
      <c r="I261" s="375">
        <f>+Baseline_NaturalGas!J12</f>
        <v>7.5340697013814353</v>
      </c>
      <c r="J261" s="375">
        <f>+Baseline_NaturalGas!K12</f>
        <v>7.7359827693784569</v>
      </c>
      <c r="K261" s="375">
        <f>+Baseline_NaturalGas!L12</f>
        <v>7.943307107597799</v>
      </c>
      <c r="L261" s="375">
        <f>+Baseline_NaturalGas!M12</f>
        <v>8.1561877380814192</v>
      </c>
      <c r="M261" s="375">
        <f>+Baseline_NaturalGas!N12</f>
        <v>8.3747735694620005</v>
      </c>
      <c r="N261" s="375">
        <f>+Baseline_NaturalGas!O12</f>
        <v>8.5992175011235812</v>
      </c>
      <c r="O261" s="375">
        <f>+Baseline_NaturalGas!P12</f>
        <v>8.8296765301536926</v>
      </c>
      <c r="P261" s="375">
        <f>+Baseline_NaturalGas!Q12</f>
        <v>9.066311861161811</v>
      </c>
      <c r="Q261" s="375">
        <f>+Baseline_NaturalGas!R12</f>
        <v>9.3092890190409463</v>
      </c>
    </row>
    <row r="262" spans="1:17" ht="14.4">
      <c r="A262" s="366" t="s">
        <v>293</v>
      </c>
      <c r="B262" s="365"/>
      <c r="C262" s="367">
        <f>+Baseline_NaturalGas!D13</f>
        <v>450</v>
      </c>
      <c r="D262" s="367">
        <f>+Baseline_NaturalGas!E13</f>
        <v>462.06</v>
      </c>
      <c r="E262" s="367">
        <f>+Baseline_NaturalGas!F13</f>
        <v>474.44320799999991</v>
      </c>
      <c r="F262" s="367">
        <f>+Baseline_NaturalGas!G13</f>
        <v>487.15828597439992</v>
      </c>
      <c r="G262" s="367">
        <f>+Baseline_NaturalGas!H13</f>
        <v>500.21412803851376</v>
      </c>
      <c r="H262" s="367">
        <f>+Baseline_NaturalGas!I13</f>
        <v>513.61986666994596</v>
      </c>
      <c r="I262" s="367">
        <f>+Baseline_NaturalGas!J13</f>
        <v>527.3848790967005</v>
      </c>
      <c r="J262" s="367">
        <f>+Baseline_NaturalGas!K13</f>
        <v>541.51879385649192</v>
      </c>
      <c r="K262" s="367">
        <f>+Baseline_NaturalGas!L13</f>
        <v>556.03149753184596</v>
      </c>
      <c r="L262" s="367">
        <f>+Baseline_NaturalGas!M13</f>
        <v>570.9331416656994</v>
      </c>
      <c r="M262" s="367">
        <f>+Baseline_NaturalGas!N13</f>
        <v>586.23414986234002</v>
      </c>
      <c r="N262" s="367">
        <f>+Baseline_NaturalGas!O13</f>
        <v>601.94522507865065</v>
      </c>
      <c r="O262" s="367">
        <f>+Baseline_NaturalGas!P13</f>
        <v>618.0773571107585</v>
      </c>
      <c r="P262" s="367">
        <f>+Baseline_NaturalGas!Q13</f>
        <v>634.64183028132675</v>
      </c>
      <c r="Q262" s="367">
        <f>+Baseline_NaturalGas!R13</f>
        <v>651.65023133286627</v>
      </c>
    </row>
    <row r="263" spans="1:17" ht="14.4">
      <c r="A263" s="370"/>
      <c r="B263" s="373"/>
      <c r="C263" s="373"/>
      <c r="D263" s="373"/>
      <c r="E263" s="373"/>
      <c r="F263" s="373"/>
      <c r="G263" s="373"/>
      <c r="H263" s="373"/>
      <c r="I263" s="373"/>
      <c r="J263" s="373"/>
      <c r="K263" s="373"/>
      <c r="L263" s="373"/>
      <c r="M263" s="373"/>
      <c r="N263" s="373"/>
      <c r="O263" s="373"/>
      <c r="P263" s="373"/>
      <c r="Q263" s="373"/>
    </row>
    <row r="264" spans="1:17" ht="14.4">
      <c r="A264" s="366" t="s">
        <v>294</v>
      </c>
      <c r="B264" s="378">
        <f>+SUM(C264:Q264)</f>
        <v>1790524.8581953994</v>
      </c>
      <c r="C264" s="367">
        <f>C259*C262/1000*'Initial Data'!$C$34/'Initial Data'!$C$33</f>
        <v>98550</v>
      </c>
      <c r="D264" s="367">
        <f>D259*D262/1000*'Initial Data'!$C$34/'Initial Data'!$C$33</f>
        <v>101191.14</v>
      </c>
      <c r="E264" s="367">
        <f>E259*E262/1000*'Initial Data'!$C$34/'Initial Data'!$C$33</f>
        <v>103903.06255199999</v>
      </c>
      <c r="F264" s="367">
        <f>F259*F262/1000*'Initial Data'!$C$34/'Initial Data'!$C$33</f>
        <v>106687.66462839357</v>
      </c>
      <c r="G264" s="367">
        <f>G259*G262/1000*'Initial Data'!$C$34/'Initial Data'!$C$33</f>
        <v>109546.8940404345</v>
      </c>
      <c r="H264" s="367">
        <f>H259*H262/1000*'Initial Data'!$C$34/'Initial Data'!$C$33</f>
        <v>112482.75080071818</v>
      </c>
      <c r="I264" s="367">
        <f>I259*I262/1000*'Initial Data'!$C$34/'Initial Data'!$C$33</f>
        <v>115497.28852217742</v>
      </c>
      <c r="J264" s="367">
        <f>J259*J262/1000*'Initial Data'!$C$34/'Initial Data'!$C$33</f>
        <v>118592.61585457173</v>
      </c>
      <c r="K264" s="367">
        <f>K259*K262/1000*'Initial Data'!$C$34/'Initial Data'!$C$33</f>
        <v>121770.89795947427</v>
      </c>
      <c r="L264" s="367">
        <f>L259*L262/1000*'Initial Data'!$C$34/'Initial Data'!$C$33</f>
        <v>125034.35802478818</v>
      </c>
      <c r="M264" s="367">
        <f>M259*M262/1000*'Initial Data'!$C$34/'Initial Data'!$C$33</f>
        <v>128385.27881985246</v>
      </c>
      <c r="N264" s="367">
        <f>N259*N262/1000*'Initial Data'!$C$34/'Initial Data'!$C$33</f>
        <v>131826.0042922245</v>
      </c>
      <c r="O264" s="367">
        <f>O259*O262/1000*'Initial Data'!$C$34/'Initial Data'!$C$33</f>
        <v>135358.94120725611</v>
      </c>
      <c r="P264" s="367">
        <f>P259*P262/1000*'Initial Data'!$C$34/'Initial Data'!$C$33</f>
        <v>138986.56083161055</v>
      </c>
      <c r="Q264" s="367">
        <f>Q259*Q262/1000*'Initial Data'!$C$34/'Initial Data'!$C$33</f>
        <v>142711.40066189773</v>
      </c>
    </row>
    <row r="265" spans="1:17" ht="14.4">
      <c r="A265" s="370"/>
      <c r="B265" s="373"/>
      <c r="C265" s="373"/>
      <c r="D265" s="373"/>
      <c r="E265" s="373"/>
      <c r="F265" s="373"/>
      <c r="G265" s="373"/>
      <c r="H265" s="373"/>
      <c r="I265" s="373"/>
      <c r="J265" s="373"/>
      <c r="K265" s="373"/>
      <c r="L265" s="373"/>
      <c r="M265" s="373"/>
      <c r="N265" s="373"/>
      <c r="O265" s="373"/>
      <c r="P265" s="373"/>
      <c r="Q265" s="373"/>
    </row>
    <row r="266" spans="1:17" ht="14.4">
      <c r="A266" s="366" t="s">
        <v>295</v>
      </c>
      <c r="B266" s="378">
        <f>+SUM(C266:Q266)</f>
        <v>1790524.8581953994</v>
      </c>
      <c r="C266" s="367">
        <f>+C264</f>
        <v>98550</v>
      </c>
      <c r="D266" s="367">
        <f t="shared" ref="D266:Q266" si="60">+D264</f>
        <v>101191.14</v>
      </c>
      <c r="E266" s="367">
        <f t="shared" si="60"/>
        <v>103903.06255199999</v>
      </c>
      <c r="F266" s="367">
        <f t="shared" si="60"/>
        <v>106687.66462839357</v>
      </c>
      <c r="G266" s="367">
        <f t="shared" si="60"/>
        <v>109546.8940404345</v>
      </c>
      <c r="H266" s="367">
        <f t="shared" si="60"/>
        <v>112482.75080071818</v>
      </c>
      <c r="I266" s="367">
        <f t="shared" si="60"/>
        <v>115497.28852217742</v>
      </c>
      <c r="J266" s="367">
        <f t="shared" si="60"/>
        <v>118592.61585457173</v>
      </c>
      <c r="K266" s="367">
        <f t="shared" si="60"/>
        <v>121770.89795947427</v>
      </c>
      <c r="L266" s="367">
        <f t="shared" si="60"/>
        <v>125034.35802478818</v>
      </c>
      <c r="M266" s="367">
        <f t="shared" si="60"/>
        <v>128385.27881985246</v>
      </c>
      <c r="N266" s="367">
        <f t="shared" si="60"/>
        <v>131826.0042922245</v>
      </c>
      <c r="O266" s="367">
        <f t="shared" si="60"/>
        <v>135358.94120725611</v>
      </c>
      <c r="P266" s="367">
        <f t="shared" si="60"/>
        <v>138986.56083161055</v>
      </c>
      <c r="Q266" s="367">
        <f t="shared" si="60"/>
        <v>142711.40066189773</v>
      </c>
    </row>
    <row r="267" spans="1:17" ht="14.4">
      <c r="A267" s="370"/>
      <c r="B267" s="374"/>
      <c r="C267" s="374"/>
      <c r="D267" s="374"/>
      <c r="E267" s="374"/>
      <c r="F267" s="374"/>
      <c r="G267" s="374"/>
      <c r="H267" s="374"/>
      <c r="I267" s="374"/>
      <c r="J267" s="374"/>
      <c r="K267" s="374"/>
      <c r="L267" s="374"/>
      <c r="M267" s="374"/>
      <c r="N267" s="374"/>
      <c r="O267" s="374"/>
      <c r="P267" s="374"/>
      <c r="Q267" s="374"/>
    </row>
    <row r="268" spans="1:17" ht="14.4">
      <c r="A268" s="366" t="s">
        <v>68</v>
      </c>
      <c r="B268" s="368"/>
      <c r="C268" s="368"/>
      <c r="D268" s="368"/>
      <c r="E268" s="368"/>
      <c r="F268" s="368"/>
      <c r="G268" s="368"/>
      <c r="H268" s="368"/>
      <c r="I268" s="368"/>
      <c r="J268" s="368"/>
      <c r="K268" s="368"/>
      <c r="L268" s="368"/>
      <c r="M268" s="368"/>
      <c r="N268" s="368"/>
      <c r="O268" s="368"/>
      <c r="P268" s="368"/>
      <c r="Q268" s="368"/>
    </row>
    <row r="269" spans="1:17" ht="14.4">
      <c r="A269" s="366" t="s">
        <v>330</v>
      </c>
      <c r="B269" s="378">
        <f>+SUM(C269:Q269)</f>
        <v>16535.691945124461</v>
      </c>
      <c r="C269" s="381">
        <f>+Baseline_NaturalGas!D20*(1+$C$7)</f>
        <v>910.11997612499988</v>
      </c>
      <c r="D269" s="381">
        <f>+Baseline_NaturalGas!E20*(1+$C$7)</f>
        <v>934.51119148514988</v>
      </c>
      <c r="E269" s="381">
        <f>+Baseline_NaturalGas!F20*(1+$C$7)</f>
        <v>959.55609141695174</v>
      </c>
      <c r="F269" s="381">
        <f>+Baseline_NaturalGas!G20*(1+$C$7)</f>
        <v>985.27219466692611</v>
      </c>
      <c r="G269" s="381">
        <f>+Baseline_NaturalGas!H20*(1+$C$7)</f>
        <v>1011.6774894839997</v>
      </c>
      <c r="H269" s="381">
        <f>+Baseline_NaturalGas!I20*(1+$C$7)</f>
        <v>1038.7904462021709</v>
      </c>
      <c r="I269" s="381">
        <f>+Baseline_NaturalGas!J20*(1+$C$7)</f>
        <v>1066.630030160389</v>
      </c>
      <c r="J269" s="381">
        <f>+Baseline_NaturalGas!K20*(1+$C$7)</f>
        <v>1095.2157149686873</v>
      </c>
      <c r="K269" s="381">
        <f>+Baseline_NaturalGas!L20*(1+$C$7)</f>
        <v>1124.567496129848</v>
      </c>
      <c r="L269" s="381">
        <f>+Baseline_NaturalGas!M20*(1+$C$7)</f>
        <v>1154.7059050261278</v>
      </c>
      <c r="M269" s="381">
        <f>+Baseline_NaturalGas!N20*(1+$C$7)</f>
        <v>1185.652023280828</v>
      </c>
      <c r="N269" s="381">
        <f>+Baseline_NaturalGas!O20*(1+$C$7)</f>
        <v>1217.427497504754</v>
      </c>
      <c r="O269" s="381">
        <f>+Baseline_NaturalGas!P20*(1+$C$7)</f>
        <v>1250.0545544378815</v>
      </c>
      <c r="P269" s="381">
        <f>+Baseline_NaturalGas!Q20*(1+$C$7)</f>
        <v>1283.5560164968167</v>
      </c>
      <c r="Q269" s="381">
        <f>+Baseline_NaturalGas!R20*(1+$C$7)</f>
        <v>1317.9553177389314</v>
      </c>
    </row>
    <row r="270" spans="1:17" ht="14.4">
      <c r="A270" s="370"/>
      <c r="B270" s="369"/>
      <c r="C270" s="369"/>
      <c r="D270" s="369"/>
      <c r="E270" s="369"/>
      <c r="F270" s="369"/>
      <c r="G270" s="369"/>
      <c r="H270" s="369"/>
      <c r="I270" s="369"/>
      <c r="J270" s="369"/>
      <c r="K270" s="369"/>
      <c r="L270" s="369"/>
      <c r="M270" s="369"/>
      <c r="N270" s="369"/>
      <c r="O270" s="369"/>
      <c r="P270" s="369"/>
      <c r="Q270" s="369"/>
    </row>
    <row r="271" spans="1:17" ht="14.4">
      <c r="A271" s="366" t="s">
        <v>71</v>
      </c>
      <c r="B271" s="379"/>
      <c r="C271" s="379"/>
      <c r="D271" s="379"/>
      <c r="E271" s="379"/>
      <c r="F271" s="379"/>
      <c r="G271" s="379"/>
      <c r="H271" s="379"/>
      <c r="I271" s="379"/>
      <c r="J271" s="379"/>
      <c r="K271" s="379"/>
      <c r="L271" s="379"/>
      <c r="M271" s="379"/>
      <c r="N271" s="379"/>
      <c r="O271" s="379"/>
      <c r="P271" s="379"/>
      <c r="Q271" s="379"/>
    </row>
    <row r="272" spans="1:17" ht="14.4">
      <c r="A272" s="370"/>
      <c r="B272" s="379"/>
      <c r="C272" s="379"/>
      <c r="D272" s="379"/>
      <c r="E272" s="379"/>
      <c r="F272" s="379"/>
      <c r="G272" s="379"/>
      <c r="H272" s="379"/>
      <c r="I272" s="379"/>
      <c r="J272" s="379"/>
      <c r="K272" s="379"/>
      <c r="L272" s="379"/>
      <c r="M272" s="379"/>
      <c r="N272" s="379"/>
      <c r="O272" s="379"/>
      <c r="P272" s="379"/>
      <c r="Q272" s="379"/>
    </row>
    <row r="273" spans="1:17" ht="14.4">
      <c r="A273" s="366" t="s">
        <v>64</v>
      </c>
      <c r="B273" s="373"/>
      <c r="C273" s="367">
        <f>+Baseline_NaturalGas!D24</f>
        <v>1656.5089715892002</v>
      </c>
      <c r="D273" s="367">
        <f>+Baseline_NaturalGas!E24</f>
        <v>1656.5089715892002</v>
      </c>
      <c r="E273" s="367">
        <f>+Baseline_NaturalGas!F24</f>
        <v>1656.5089715892002</v>
      </c>
      <c r="F273" s="367">
        <f>+Baseline_NaturalGas!G24</f>
        <v>1656.5089715892002</v>
      </c>
      <c r="G273" s="367">
        <f>+Baseline_NaturalGas!H24</f>
        <v>1656.5089715892002</v>
      </c>
      <c r="H273" s="367">
        <f>+Baseline_NaturalGas!I24</f>
        <v>1656.5089715892002</v>
      </c>
      <c r="I273" s="367">
        <f>+Baseline_NaturalGas!J24</f>
        <v>1656.5089715892002</v>
      </c>
      <c r="J273" s="367">
        <f>+Baseline_NaturalGas!K24</f>
        <v>1656.5089715892002</v>
      </c>
      <c r="K273" s="367">
        <f>+Baseline_NaturalGas!L24</f>
        <v>1656.5089715892002</v>
      </c>
      <c r="L273" s="367">
        <f>+Baseline_NaturalGas!M24</f>
        <v>1656.5089715892002</v>
      </c>
      <c r="M273" s="367">
        <f>+Baseline_NaturalGas!N24</f>
        <v>1656.5089715892002</v>
      </c>
      <c r="N273" s="367">
        <f>+Baseline_NaturalGas!O24</f>
        <v>1656.5089715892002</v>
      </c>
      <c r="O273" s="367">
        <f>+Baseline_NaturalGas!P24</f>
        <v>1656.5089715892002</v>
      </c>
      <c r="P273" s="367">
        <f>+Baseline_NaturalGas!Q24</f>
        <v>1656.5089715892002</v>
      </c>
      <c r="Q273" s="367">
        <f>+Baseline_NaturalGas!R24</f>
        <v>1656.5089715892002</v>
      </c>
    </row>
    <row r="274" spans="1:17" ht="14.4">
      <c r="A274" s="366" t="s">
        <v>108</v>
      </c>
      <c r="B274" s="387">
        <f>+Baseline_NaturalGas!C25</f>
        <v>0.90200000000000002</v>
      </c>
      <c r="C274" s="373"/>
      <c r="D274" s="373"/>
      <c r="E274" s="373"/>
      <c r="F274" s="373"/>
      <c r="G274" s="373"/>
      <c r="H274" s="373"/>
      <c r="I274" s="373"/>
      <c r="J274" s="373"/>
      <c r="K274" s="373"/>
      <c r="L274" s="373"/>
      <c r="M274" s="373"/>
      <c r="N274" s="373"/>
      <c r="O274" s="373"/>
      <c r="P274" s="373"/>
      <c r="Q274" s="373"/>
    </row>
    <row r="275" spans="1:17" ht="14.4">
      <c r="A275" s="366" t="s">
        <v>346</v>
      </c>
      <c r="B275" s="373"/>
      <c r="C275" s="367">
        <f>+Baseline_NaturalGas!D26</f>
        <v>1741816.7092883086</v>
      </c>
      <c r="D275" s="367">
        <f>+Baseline_NaturalGas!E26</f>
        <v>1741816.7092883086</v>
      </c>
      <c r="E275" s="367">
        <f>+Baseline_NaturalGas!F26</f>
        <v>1741816.7092883086</v>
      </c>
      <c r="F275" s="367">
        <f>+Baseline_NaturalGas!G26</f>
        <v>1741816.7092883086</v>
      </c>
      <c r="G275" s="367">
        <f>+Baseline_NaturalGas!H26</f>
        <v>1741816.7092883086</v>
      </c>
      <c r="H275" s="367">
        <f>+Baseline_NaturalGas!I26</f>
        <v>1741816.7092883086</v>
      </c>
      <c r="I275" s="367">
        <f>+Baseline_NaturalGas!J26</f>
        <v>1741816.7092883086</v>
      </c>
      <c r="J275" s="367">
        <f>+Baseline_NaturalGas!K26</f>
        <v>1741816.7092883086</v>
      </c>
      <c r="K275" s="367">
        <f>+Baseline_NaturalGas!L26</f>
        <v>1741816.7092883086</v>
      </c>
      <c r="L275" s="367">
        <f>+Baseline_NaturalGas!M26</f>
        <v>1741816.7092883086</v>
      </c>
      <c r="M275" s="367">
        <f>+Baseline_NaturalGas!N26</f>
        <v>1741816.7092883086</v>
      </c>
      <c r="N275" s="367">
        <f>+Baseline_NaturalGas!O26</f>
        <v>1741816.7092883086</v>
      </c>
      <c r="O275" s="367">
        <f>+Baseline_NaturalGas!P26</f>
        <v>1741816.7092883086</v>
      </c>
      <c r="P275" s="367">
        <f>+Baseline_NaturalGas!Q26</f>
        <v>1741816.7092883086</v>
      </c>
      <c r="Q275" s="367">
        <f>+Baseline_NaturalGas!R26</f>
        <v>1741816.7092883086</v>
      </c>
    </row>
    <row r="276" spans="1:17" ht="14.4">
      <c r="A276" s="366" t="s">
        <v>66</v>
      </c>
      <c r="B276" s="373"/>
      <c r="C276" s="367">
        <f>+Baseline_NaturalGas!D27</f>
        <v>5.6086944825694198</v>
      </c>
      <c r="D276" s="367">
        <f>+Baseline_NaturalGas!E27</f>
        <v>5.5051083831058802</v>
      </c>
      <c r="E276" s="367">
        <f>+Baseline_NaturalGas!F27</f>
        <v>5.61862622286578</v>
      </c>
      <c r="F276" s="367">
        <f>+Baseline_NaturalGas!G27</f>
        <v>5.8406487933251103</v>
      </c>
      <c r="G276" s="367">
        <f>+Baseline_NaturalGas!H27</f>
        <v>5.8453745748678001</v>
      </c>
      <c r="H276" s="367">
        <f>+Baseline_NaturalGas!I27</f>
        <v>6.0672099673130804</v>
      </c>
      <c r="I276" s="367">
        <f>+Baseline_NaturalGas!J27</f>
        <v>6.39755565092754</v>
      </c>
      <c r="J276" s="367">
        <f>+Baseline_NaturalGas!K27</f>
        <v>6.39755565092754</v>
      </c>
      <c r="K276" s="367">
        <f>+Baseline_NaturalGas!L27</f>
        <v>6.39755565092754</v>
      </c>
      <c r="L276" s="367">
        <f>+Baseline_NaturalGas!M27</f>
        <v>6.39755565092754</v>
      </c>
      <c r="M276" s="367">
        <f>+Baseline_NaturalGas!N27</f>
        <v>6.39755565092754</v>
      </c>
      <c r="N276" s="367">
        <f>+Baseline_NaturalGas!O27</f>
        <v>6.39755565092754</v>
      </c>
      <c r="O276" s="367">
        <f>+Baseline_NaturalGas!P27</f>
        <v>6.39755565092754</v>
      </c>
      <c r="P276" s="367">
        <f>+Baseline_NaturalGas!Q27</f>
        <v>6.39755565092754</v>
      </c>
      <c r="Q276" s="367">
        <f>+Baseline_NaturalGas!R27</f>
        <v>6.39755565092754</v>
      </c>
    </row>
    <row r="277" spans="1:17" ht="14.4">
      <c r="A277" s="370"/>
      <c r="B277" s="379"/>
      <c r="C277" s="379"/>
      <c r="D277" s="379"/>
      <c r="E277" s="379"/>
      <c r="F277" s="379"/>
      <c r="G277" s="379"/>
      <c r="H277" s="379"/>
      <c r="I277" s="379"/>
      <c r="J277" s="379"/>
      <c r="K277" s="379"/>
      <c r="L277" s="379"/>
      <c r="M277" s="379"/>
      <c r="N277" s="379"/>
      <c r="O277" s="379"/>
      <c r="P277" s="379"/>
      <c r="Q277" s="379"/>
    </row>
    <row r="278" spans="1:17" ht="14.4">
      <c r="A278" s="366" t="s">
        <v>102</v>
      </c>
      <c r="B278" s="378">
        <f t="shared" ref="B278" si="61">+SUM(C278:Q278)</f>
        <v>160358.02702356796</v>
      </c>
      <c r="C278" s="375">
        <f>+C275*C276/1000</f>
        <v>9769.3177670325604</v>
      </c>
      <c r="D278" s="375">
        <f>+D275*D276/1000</f>
        <v>9588.8897681369654</v>
      </c>
      <c r="E278" s="375">
        <f t="shared" ref="E278:Q278" si="62">+E275*E276/1000</f>
        <v>9786.6170382330711</v>
      </c>
      <c r="F278" s="375">
        <f t="shared" si="62"/>
        <v>10173.339661298274</v>
      </c>
      <c r="G278" s="375">
        <f t="shared" si="62"/>
        <v>10181.571106553778</v>
      </c>
      <c r="H278" s="375">
        <f t="shared" si="62"/>
        <v>10567.967699826495</v>
      </c>
      <c r="I278" s="375">
        <f t="shared" si="62"/>
        <v>11143.36933138743</v>
      </c>
      <c r="J278" s="375">
        <f t="shared" si="62"/>
        <v>11143.36933138743</v>
      </c>
      <c r="K278" s="375">
        <f t="shared" si="62"/>
        <v>11143.36933138743</v>
      </c>
      <c r="L278" s="375">
        <f t="shared" si="62"/>
        <v>11143.36933138743</v>
      </c>
      <c r="M278" s="375">
        <f t="shared" si="62"/>
        <v>11143.36933138743</v>
      </c>
      <c r="N278" s="375">
        <f t="shared" si="62"/>
        <v>11143.36933138743</v>
      </c>
      <c r="O278" s="375">
        <f t="shared" si="62"/>
        <v>11143.36933138743</v>
      </c>
      <c r="P278" s="375">
        <f t="shared" si="62"/>
        <v>11143.36933138743</v>
      </c>
      <c r="Q278" s="375">
        <f t="shared" si="62"/>
        <v>11143.36933138743</v>
      </c>
    </row>
    <row r="279" spans="1:17" ht="14.4">
      <c r="A279" s="370"/>
      <c r="B279" s="373"/>
      <c r="C279" s="373"/>
      <c r="D279" s="373"/>
      <c r="E279" s="373"/>
      <c r="F279" s="373"/>
      <c r="G279" s="373"/>
      <c r="H279" s="373"/>
      <c r="I279" s="373"/>
      <c r="J279" s="373"/>
      <c r="K279" s="373"/>
      <c r="L279" s="373"/>
      <c r="M279" s="373"/>
      <c r="N279" s="373"/>
      <c r="O279" s="373"/>
      <c r="P279" s="373"/>
      <c r="Q279" s="373"/>
    </row>
    <row r="280" spans="1:17" ht="14.4">
      <c r="A280" s="370"/>
      <c r="B280" s="379"/>
      <c r="C280" s="379"/>
      <c r="D280" s="379"/>
      <c r="E280" s="379"/>
      <c r="F280" s="379"/>
      <c r="G280" s="379"/>
      <c r="H280" s="379"/>
      <c r="I280" s="379"/>
      <c r="J280" s="379"/>
      <c r="K280" s="379"/>
      <c r="L280" s="379"/>
      <c r="M280" s="379"/>
      <c r="N280" s="379"/>
      <c r="O280" s="379"/>
      <c r="P280" s="379"/>
      <c r="Q280" s="379"/>
    </row>
    <row r="281" spans="1:17" ht="14.4">
      <c r="A281" s="366" t="s">
        <v>101</v>
      </c>
      <c r="B281" s="373"/>
      <c r="C281" s="375">
        <f>+C278+C269</f>
        <v>10679.437743157559</v>
      </c>
      <c r="D281" s="375">
        <f t="shared" ref="D281:Q281" si="63">+D278+D269</f>
        <v>10523.400959622115</v>
      </c>
      <c r="E281" s="375">
        <f t="shared" si="63"/>
        <v>10746.173129650022</v>
      </c>
      <c r="F281" s="375">
        <f t="shared" si="63"/>
        <v>11158.6118559652</v>
      </c>
      <c r="G281" s="375">
        <f t="shared" si="63"/>
        <v>11193.248596037778</v>
      </c>
      <c r="H281" s="375">
        <f t="shared" si="63"/>
        <v>11606.758146028666</v>
      </c>
      <c r="I281" s="375">
        <f t="shared" si="63"/>
        <v>12209.99936154782</v>
      </c>
      <c r="J281" s="375">
        <f t="shared" si="63"/>
        <v>12238.585046356118</v>
      </c>
      <c r="K281" s="375">
        <f t="shared" si="63"/>
        <v>12267.936827517278</v>
      </c>
      <c r="L281" s="375">
        <f t="shared" si="63"/>
        <v>12298.075236413559</v>
      </c>
      <c r="M281" s="375">
        <f t="shared" si="63"/>
        <v>12329.021354668257</v>
      </c>
      <c r="N281" s="375">
        <f t="shared" si="63"/>
        <v>12360.796828892184</v>
      </c>
      <c r="O281" s="375">
        <f t="shared" si="63"/>
        <v>12393.423885825312</v>
      </c>
      <c r="P281" s="375">
        <f t="shared" si="63"/>
        <v>12426.925347884247</v>
      </c>
      <c r="Q281" s="375">
        <f t="shared" si="63"/>
        <v>12461.324649126362</v>
      </c>
    </row>
    <row r="282" spans="1:17" ht="14.4">
      <c r="A282" s="370"/>
      <c r="B282" s="379"/>
      <c r="C282" s="379"/>
      <c r="D282" s="379"/>
      <c r="E282" s="379"/>
      <c r="F282" s="379"/>
      <c r="G282" s="379"/>
      <c r="H282" s="379"/>
      <c r="I282" s="379"/>
      <c r="J282" s="379"/>
      <c r="K282" s="379"/>
      <c r="L282" s="379"/>
      <c r="M282" s="379"/>
      <c r="N282" s="379"/>
      <c r="O282" s="379"/>
      <c r="P282" s="379"/>
      <c r="Q282" s="379"/>
    </row>
    <row r="283" spans="1:17" ht="14.4">
      <c r="A283" s="366" t="s">
        <v>73</v>
      </c>
      <c r="B283" s="378">
        <f>+SUM(C283:Q283)</f>
        <v>11487.524395535713</v>
      </c>
      <c r="C283" s="367">
        <f>+Baseline_NaturalGas!$D$5/'Initial Data'!$C$19</f>
        <v>1148.7524395535715</v>
      </c>
      <c r="D283" s="367">
        <f>+Baseline_NaturalGas!$D$5/'Initial Data'!$C$19</f>
        <v>1148.7524395535715</v>
      </c>
      <c r="E283" s="367">
        <f>+Baseline_NaturalGas!$D$5/'Initial Data'!$C$19</f>
        <v>1148.7524395535715</v>
      </c>
      <c r="F283" s="367">
        <f>+Baseline_NaturalGas!$D$5/'Initial Data'!$C$19</f>
        <v>1148.7524395535715</v>
      </c>
      <c r="G283" s="367">
        <f>+Baseline_NaturalGas!$D$5/'Initial Data'!$C$19</f>
        <v>1148.7524395535715</v>
      </c>
      <c r="H283" s="367">
        <f>+Baseline_NaturalGas!$D$5/'Initial Data'!$C$19</f>
        <v>1148.7524395535715</v>
      </c>
      <c r="I283" s="367">
        <f>+Baseline_NaturalGas!$D$5/'Initial Data'!$C$19</f>
        <v>1148.7524395535715</v>
      </c>
      <c r="J283" s="367">
        <f>+Baseline_NaturalGas!$D$5/'Initial Data'!$C$19</f>
        <v>1148.7524395535715</v>
      </c>
      <c r="K283" s="367">
        <f>+Baseline_NaturalGas!$D$5/'Initial Data'!$C$19</f>
        <v>1148.7524395535715</v>
      </c>
      <c r="L283" s="367">
        <f>+Baseline_NaturalGas!$D$5/'Initial Data'!$C$19</f>
        <v>1148.7524395535715</v>
      </c>
      <c r="M283" s="367">
        <v>0</v>
      </c>
      <c r="N283" s="367">
        <v>0</v>
      </c>
      <c r="O283" s="367">
        <v>0</v>
      </c>
      <c r="P283" s="367">
        <v>0</v>
      </c>
      <c r="Q283" s="367">
        <v>0</v>
      </c>
    </row>
    <row r="284" spans="1:17" ht="14.4">
      <c r="A284" s="366" t="s">
        <v>74</v>
      </c>
      <c r="B284" s="378">
        <f>+SUM(C284:Q284)</f>
        <v>11487.524395535713</v>
      </c>
      <c r="C284" s="367">
        <f>SUM(C283:C283)</f>
        <v>1148.7524395535715</v>
      </c>
      <c r="D284" s="367">
        <f t="shared" ref="D284:Q284" si="64">SUM(D283:D283)</f>
        <v>1148.7524395535715</v>
      </c>
      <c r="E284" s="367">
        <f t="shared" si="64"/>
        <v>1148.7524395535715</v>
      </c>
      <c r="F284" s="367">
        <f t="shared" si="64"/>
        <v>1148.7524395535715</v>
      </c>
      <c r="G284" s="367">
        <f t="shared" si="64"/>
        <v>1148.7524395535715</v>
      </c>
      <c r="H284" s="367">
        <f t="shared" si="64"/>
        <v>1148.7524395535715</v>
      </c>
      <c r="I284" s="367">
        <f t="shared" si="64"/>
        <v>1148.7524395535715</v>
      </c>
      <c r="J284" s="367">
        <f t="shared" si="64"/>
        <v>1148.7524395535715</v>
      </c>
      <c r="K284" s="367">
        <f t="shared" si="64"/>
        <v>1148.7524395535715</v>
      </c>
      <c r="L284" s="367">
        <f t="shared" si="64"/>
        <v>1148.7524395535715</v>
      </c>
      <c r="M284" s="367">
        <f t="shared" si="64"/>
        <v>0</v>
      </c>
      <c r="N284" s="367">
        <f t="shared" si="64"/>
        <v>0</v>
      </c>
      <c r="O284" s="367">
        <f t="shared" si="64"/>
        <v>0</v>
      </c>
      <c r="P284" s="367">
        <f t="shared" si="64"/>
        <v>0</v>
      </c>
      <c r="Q284" s="367">
        <f t="shared" si="64"/>
        <v>0</v>
      </c>
    </row>
    <row r="285" spans="1:17" ht="14.4">
      <c r="A285" s="90"/>
      <c r="B285" s="388"/>
      <c r="C285" s="373"/>
      <c r="D285" s="373"/>
      <c r="E285" s="373"/>
      <c r="F285" s="373"/>
      <c r="G285" s="373"/>
      <c r="H285" s="373"/>
      <c r="I285" s="373"/>
      <c r="J285" s="373"/>
      <c r="K285" s="373"/>
      <c r="L285" s="373"/>
      <c r="M285" s="373"/>
      <c r="N285" s="373"/>
      <c r="O285" s="373"/>
      <c r="P285" s="373"/>
      <c r="Q285" s="373"/>
    </row>
    <row r="286" spans="1:17" ht="14.4">
      <c r="A286" s="366" t="s">
        <v>75</v>
      </c>
      <c r="B286" s="378">
        <f>+SUM(C286:Q286)</f>
        <v>188381.2433642282</v>
      </c>
      <c r="C286" s="367">
        <f>+C281+C284</f>
        <v>11828.190182711131</v>
      </c>
      <c r="D286" s="367">
        <f t="shared" ref="D286:Q286" si="65">+D281+D284</f>
        <v>11672.153399175686</v>
      </c>
      <c r="E286" s="367">
        <f t="shared" si="65"/>
        <v>11894.925569203593</v>
      </c>
      <c r="F286" s="367">
        <f t="shared" si="65"/>
        <v>12307.364295518772</v>
      </c>
      <c r="G286" s="367">
        <f t="shared" si="65"/>
        <v>12342.001035591349</v>
      </c>
      <c r="H286" s="367">
        <f t="shared" si="65"/>
        <v>12755.510585582237</v>
      </c>
      <c r="I286" s="367">
        <f t="shared" si="65"/>
        <v>13358.751801101391</v>
      </c>
      <c r="J286" s="367">
        <f t="shared" si="65"/>
        <v>13387.337485909689</v>
      </c>
      <c r="K286" s="367">
        <f t="shared" si="65"/>
        <v>13416.689267070849</v>
      </c>
      <c r="L286" s="367">
        <f t="shared" si="65"/>
        <v>13446.82767596713</v>
      </c>
      <c r="M286" s="367">
        <f t="shared" si="65"/>
        <v>12329.021354668257</v>
      </c>
      <c r="N286" s="367">
        <f t="shared" si="65"/>
        <v>12360.796828892184</v>
      </c>
      <c r="O286" s="367">
        <f t="shared" si="65"/>
        <v>12393.423885825312</v>
      </c>
      <c r="P286" s="367">
        <f t="shared" si="65"/>
        <v>12426.925347884247</v>
      </c>
      <c r="Q286" s="367">
        <f t="shared" si="65"/>
        <v>12461.324649126362</v>
      </c>
    </row>
    <row r="287" spans="1:17">
      <c r="A287" s="74"/>
    </row>
    <row r="288" spans="1:17" ht="14.4">
      <c r="A288" s="366" t="s">
        <v>76</v>
      </c>
      <c r="B288" s="378">
        <f>+SUM(C288:Q288)</f>
        <v>1602143.6148311708</v>
      </c>
      <c r="C288" s="367">
        <f>+C266-C286</f>
        <v>86721.809817288871</v>
      </c>
      <c r="D288" s="367">
        <f t="shared" ref="D288:Q288" si="66">+D266-D286</f>
        <v>89518.986600824312</v>
      </c>
      <c r="E288" s="367">
        <f t="shared" si="66"/>
        <v>92008.136982796394</v>
      </c>
      <c r="F288" s="367">
        <f t="shared" si="66"/>
        <v>94380.300332874802</v>
      </c>
      <c r="G288" s="367">
        <f t="shared" si="66"/>
        <v>97204.89300484315</v>
      </c>
      <c r="H288" s="367">
        <f t="shared" si="66"/>
        <v>99727.240215135942</v>
      </c>
      <c r="I288" s="367">
        <f t="shared" si="66"/>
        <v>102138.53672107603</v>
      </c>
      <c r="J288" s="367">
        <f t="shared" si="66"/>
        <v>105205.27836866204</v>
      </c>
      <c r="K288" s="367">
        <f t="shared" si="66"/>
        <v>108354.20869240342</v>
      </c>
      <c r="L288" s="367">
        <f t="shared" si="66"/>
        <v>111587.53034882105</v>
      </c>
      <c r="M288" s="367">
        <f t="shared" si="66"/>
        <v>116056.2574651842</v>
      </c>
      <c r="N288" s="367">
        <f t="shared" si="66"/>
        <v>119465.20746333232</v>
      </c>
      <c r="O288" s="367">
        <f t="shared" si="66"/>
        <v>122965.5173214308</v>
      </c>
      <c r="P288" s="367">
        <f t="shared" si="66"/>
        <v>126559.63548372631</v>
      </c>
      <c r="Q288" s="367">
        <f t="shared" si="66"/>
        <v>130250.07601277137</v>
      </c>
    </row>
    <row r="289" spans="1:17" ht="14.4">
      <c r="A289" s="369"/>
      <c r="B289" s="373"/>
      <c r="C289" s="373"/>
      <c r="D289" s="373"/>
      <c r="E289" s="373"/>
      <c r="F289" s="373"/>
      <c r="G289" s="373"/>
      <c r="H289" s="373"/>
      <c r="I289" s="373"/>
      <c r="J289" s="373"/>
      <c r="K289" s="373"/>
      <c r="L289" s="373"/>
      <c r="M289" s="373"/>
      <c r="N289" s="373"/>
      <c r="O289" s="373"/>
      <c r="P289" s="373"/>
      <c r="Q289" s="373"/>
    </row>
    <row r="290" spans="1:17" ht="14.4">
      <c r="A290" s="366" t="s">
        <v>222</v>
      </c>
      <c r="B290" s="380">
        <f>+Baseline_NaturalGas!C43</f>
        <v>0.7</v>
      </c>
      <c r="C290" s="367">
        <f>IF((+$B$290*C288)&lt;0,"0",(+$B$290*C288))</f>
        <v>60705.266872102206</v>
      </c>
      <c r="D290" s="367">
        <f t="shared" ref="D290:Q290" si="67">IF((+$B$290*D288)&lt;0,"0",(+$B$290*D288))</f>
        <v>62663.290620577012</v>
      </c>
      <c r="E290" s="367">
        <f t="shared" si="67"/>
        <v>64405.695887957474</v>
      </c>
      <c r="F290" s="367">
        <f t="shared" si="67"/>
        <v>66066.21023301236</v>
      </c>
      <c r="G290" s="367">
        <f t="shared" si="67"/>
        <v>68043.425103390196</v>
      </c>
      <c r="H290" s="367">
        <f t="shared" si="67"/>
        <v>69809.068150595151</v>
      </c>
      <c r="I290" s="367">
        <f t="shared" si="67"/>
        <v>71496.975704753218</v>
      </c>
      <c r="J290" s="367">
        <f t="shared" si="67"/>
        <v>73643.69485806342</v>
      </c>
      <c r="K290" s="367">
        <f t="shared" si="67"/>
        <v>75847.946084682393</v>
      </c>
      <c r="L290" s="367">
        <f t="shared" si="67"/>
        <v>78111.271244174728</v>
      </c>
      <c r="M290" s="367">
        <f t="shared" si="67"/>
        <v>81239.380225628935</v>
      </c>
      <c r="N290" s="367">
        <f t="shared" si="67"/>
        <v>83625.64522433262</v>
      </c>
      <c r="O290" s="367">
        <f t="shared" si="67"/>
        <v>86075.862125001557</v>
      </c>
      <c r="P290" s="367">
        <f t="shared" si="67"/>
        <v>88591.744838608414</v>
      </c>
      <c r="Q290" s="367">
        <f t="shared" si="67"/>
        <v>91175.053208939949</v>
      </c>
    </row>
    <row r="291" spans="1:17" ht="14.4">
      <c r="A291" s="366" t="s">
        <v>77</v>
      </c>
      <c r="B291" s="378">
        <f>+SUM(C291:Q291)</f>
        <v>1121500.5303818197</v>
      </c>
      <c r="C291" s="367">
        <f>SUM(C290:C290)</f>
        <v>60705.266872102206</v>
      </c>
      <c r="D291" s="367">
        <f t="shared" ref="D291:Q291" si="68">SUM(D290:D290)</f>
        <v>62663.290620577012</v>
      </c>
      <c r="E291" s="367">
        <f t="shared" si="68"/>
        <v>64405.695887957474</v>
      </c>
      <c r="F291" s="367">
        <f t="shared" si="68"/>
        <v>66066.21023301236</v>
      </c>
      <c r="G291" s="367">
        <f t="shared" si="68"/>
        <v>68043.425103390196</v>
      </c>
      <c r="H291" s="367">
        <f t="shared" si="68"/>
        <v>69809.068150595151</v>
      </c>
      <c r="I291" s="367">
        <f t="shared" si="68"/>
        <v>71496.975704753218</v>
      </c>
      <c r="J291" s="367">
        <f t="shared" si="68"/>
        <v>73643.69485806342</v>
      </c>
      <c r="K291" s="367">
        <f t="shared" si="68"/>
        <v>75847.946084682393</v>
      </c>
      <c r="L291" s="367">
        <f t="shared" si="68"/>
        <v>78111.271244174728</v>
      </c>
      <c r="M291" s="367">
        <f t="shared" si="68"/>
        <v>81239.380225628935</v>
      </c>
      <c r="N291" s="367">
        <f t="shared" si="68"/>
        <v>83625.64522433262</v>
      </c>
      <c r="O291" s="367">
        <f t="shared" si="68"/>
        <v>86075.862125001557</v>
      </c>
      <c r="P291" s="367">
        <f t="shared" si="68"/>
        <v>88591.744838608414</v>
      </c>
      <c r="Q291" s="367">
        <f t="shared" si="68"/>
        <v>91175.053208939949</v>
      </c>
    </row>
    <row r="292" spans="1:17" ht="14.4">
      <c r="A292" s="369"/>
      <c r="B292" s="373"/>
      <c r="C292" s="373"/>
      <c r="D292" s="373"/>
      <c r="E292" s="373"/>
      <c r="F292" s="373"/>
      <c r="G292" s="373"/>
      <c r="H292" s="373"/>
      <c r="I292" s="373"/>
      <c r="J292" s="373"/>
      <c r="K292" s="373"/>
      <c r="L292" s="373"/>
      <c r="M292" s="373"/>
      <c r="N292" s="373"/>
      <c r="O292" s="373"/>
      <c r="P292" s="373"/>
      <c r="Q292" s="373"/>
    </row>
    <row r="293" spans="1:17" ht="14.4">
      <c r="A293" s="366" t="s">
        <v>78</v>
      </c>
      <c r="B293" s="378">
        <f>+SUM(C293:Q293)</f>
        <v>480643.08444935136</v>
      </c>
      <c r="C293" s="367">
        <f>+C288-C291</f>
        <v>26016.542945186666</v>
      </c>
      <c r="D293" s="367">
        <f t="shared" ref="D293:Q293" si="69">+D288-D291</f>
        <v>26855.695980247299</v>
      </c>
      <c r="E293" s="367">
        <f t="shared" si="69"/>
        <v>27602.44109483892</v>
      </c>
      <c r="F293" s="367">
        <f t="shared" si="69"/>
        <v>28314.090099862442</v>
      </c>
      <c r="G293" s="367">
        <f t="shared" si="69"/>
        <v>29161.467901452954</v>
      </c>
      <c r="H293" s="367">
        <f t="shared" si="69"/>
        <v>29918.172064540791</v>
      </c>
      <c r="I293" s="367">
        <f t="shared" si="69"/>
        <v>30641.561016322812</v>
      </c>
      <c r="J293" s="367">
        <f t="shared" si="69"/>
        <v>31561.583510598619</v>
      </c>
      <c r="K293" s="367">
        <f t="shared" si="69"/>
        <v>32506.26260772103</v>
      </c>
      <c r="L293" s="367">
        <f t="shared" si="69"/>
        <v>33476.25910464632</v>
      </c>
      <c r="M293" s="367">
        <f t="shared" si="69"/>
        <v>34816.877239555266</v>
      </c>
      <c r="N293" s="367">
        <f t="shared" si="69"/>
        <v>35839.562238999701</v>
      </c>
      <c r="O293" s="367">
        <f t="shared" si="69"/>
        <v>36889.655196429245</v>
      </c>
      <c r="P293" s="367">
        <f t="shared" si="69"/>
        <v>37967.890645117892</v>
      </c>
      <c r="Q293" s="367">
        <f t="shared" si="69"/>
        <v>39075.022803831424</v>
      </c>
    </row>
    <row r="294" spans="1:17" ht="14.4">
      <c r="A294" s="395" t="s">
        <v>331</v>
      </c>
      <c r="B294" s="378">
        <f>+SUM(C294:Q294)</f>
        <v>11487.524395535713</v>
      </c>
      <c r="C294" s="377">
        <f>+C283</f>
        <v>1148.7524395535715</v>
      </c>
      <c r="D294" s="377">
        <f t="shared" ref="D294:Q294" si="70">+D283</f>
        <v>1148.7524395535715</v>
      </c>
      <c r="E294" s="377">
        <f t="shared" si="70"/>
        <v>1148.7524395535715</v>
      </c>
      <c r="F294" s="377">
        <f t="shared" si="70"/>
        <v>1148.7524395535715</v>
      </c>
      <c r="G294" s="377">
        <f t="shared" si="70"/>
        <v>1148.7524395535715</v>
      </c>
      <c r="H294" s="377">
        <f t="shared" si="70"/>
        <v>1148.7524395535715</v>
      </c>
      <c r="I294" s="377">
        <f t="shared" si="70"/>
        <v>1148.7524395535715</v>
      </c>
      <c r="J294" s="377">
        <f t="shared" si="70"/>
        <v>1148.7524395535715</v>
      </c>
      <c r="K294" s="377">
        <f t="shared" si="70"/>
        <v>1148.7524395535715</v>
      </c>
      <c r="L294" s="377">
        <f t="shared" si="70"/>
        <v>1148.7524395535715</v>
      </c>
      <c r="M294" s="377">
        <f t="shared" si="70"/>
        <v>0</v>
      </c>
      <c r="N294" s="377">
        <f t="shared" si="70"/>
        <v>0</v>
      </c>
      <c r="O294" s="377">
        <f t="shared" si="70"/>
        <v>0</v>
      </c>
      <c r="P294" s="377">
        <f t="shared" si="70"/>
        <v>0</v>
      </c>
      <c r="Q294" s="377">
        <f t="shared" si="70"/>
        <v>0</v>
      </c>
    </row>
    <row r="295" spans="1:17" ht="14.4">
      <c r="A295" s="395" t="s">
        <v>332</v>
      </c>
      <c r="B295" s="378">
        <f>+Baseline_NaturalGas!C273</f>
        <v>0</v>
      </c>
      <c r="C295" s="367">
        <f>+Baseline_NaturalGas!D273</f>
        <v>0</v>
      </c>
      <c r="D295" s="367">
        <f>+Baseline_NaturalGas!E273</f>
        <v>0</v>
      </c>
      <c r="E295" s="367">
        <f>+Baseline_NaturalGas!F273</f>
        <v>0</v>
      </c>
      <c r="F295" s="367">
        <f>+Baseline_NaturalGas!G273</f>
        <v>0</v>
      </c>
      <c r="G295" s="367">
        <f>+Baseline_NaturalGas!H273</f>
        <v>0</v>
      </c>
      <c r="H295" s="367">
        <f>+Baseline_NaturalGas!I273</f>
        <v>0</v>
      </c>
      <c r="I295" s="367">
        <f>+Baseline_NaturalGas!J273</f>
        <v>0</v>
      </c>
      <c r="J295" s="367">
        <f>+Baseline_NaturalGas!K273</f>
        <v>0</v>
      </c>
      <c r="K295" s="367">
        <f>+Baseline_NaturalGas!L273</f>
        <v>0</v>
      </c>
      <c r="L295" s="367">
        <f>+Baseline_NaturalGas!M273</f>
        <v>0</v>
      </c>
      <c r="M295" s="367">
        <f>+Baseline_NaturalGas!N273</f>
        <v>0</v>
      </c>
      <c r="N295" s="367">
        <f>+Baseline_NaturalGas!O273</f>
        <v>0</v>
      </c>
      <c r="O295" s="367">
        <f>+Baseline_NaturalGas!P273</f>
        <v>0</v>
      </c>
      <c r="P295" s="367">
        <f>+Baseline_NaturalGas!Q273</f>
        <v>0</v>
      </c>
      <c r="Q295" s="367">
        <f>+Baseline_NaturalGas!R273</f>
        <v>0</v>
      </c>
    </row>
    <row r="296" spans="1:17" ht="14.4">
      <c r="A296" s="510"/>
      <c r="B296" s="511"/>
      <c r="C296" s="511"/>
      <c r="D296" s="511"/>
      <c r="E296" s="511"/>
      <c r="F296" s="511"/>
      <c r="G296" s="511"/>
      <c r="H296" s="511"/>
      <c r="I296" s="511"/>
      <c r="J296" s="511"/>
      <c r="K296" s="511"/>
      <c r="L296" s="511"/>
      <c r="M296" s="511"/>
      <c r="N296" s="511"/>
      <c r="O296" s="511"/>
      <c r="P296" s="511"/>
      <c r="Q296" s="511"/>
    </row>
    <row r="297" spans="1:17" ht="14.4">
      <c r="A297" s="366" t="s">
        <v>110</v>
      </c>
      <c r="B297" s="378">
        <f>-Baseline_NaturalGas!$D$5</f>
        <v>-11487.524395535715</v>
      </c>
      <c r="C297" s="367">
        <f>+C293+C294+C295</f>
        <v>27165.295384740239</v>
      </c>
      <c r="D297" s="367">
        <f t="shared" ref="D297:Q297" si="71">+D293+D294+D295</f>
        <v>28004.448419800872</v>
      </c>
      <c r="E297" s="367">
        <f t="shared" si="71"/>
        <v>28751.193534392492</v>
      </c>
      <c r="F297" s="367">
        <f t="shared" si="71"/>
        <v>29462.842539416015</v>
      </c>
      <c r="G297" s="367">
        <f t="shared" si="71"/>
        <v>30310.220341006527</v>
      </c>
      <c r="H297" s="367">
        <f t="shared" si="71"/>
        <v>31066.924504094364</v>
      </c>
      <c r="I297" s="367">
        <f t="shared" si="71"/>
        <v>31790.313455876385</v>
      </c>
      <c r="J297" s="367">
        <f t="shared" si="71"/>
        <v>32710.335950152192</v>
      </c>
      <c r="K297" s="367">
        <f t="shared" si="71"/>
        <v>33655.015047274603</v>
      </c>
      <c r="L297" s="367">
        <f t="shared" si="71"/>
        <v>34625.011544199893</v>
      </c>
      <c r="M297" s="367">
        <f t="shared" si="71"/>
        <v>34816.877239555266</v>
      </c>
      <c r="N297" s="367">
        <f t="shared" si="71"/>
        <v>35839.562238999701</v>
      </c>
      <c r="O297" s="367">
        <f t="shared" si="71"/>
        <v>36889.655196429245</v>
      </c>
      <c r="P297" s="367">
        <f t="shared" si="71"/>
        <v>37967.890645117892</v>
      </c>
      <c r="Q297" s="367">
        <f t="shared" si="71"/>
        <v>39075.022803831424</v>
      </c>
    </row>
    <row r="298" spans="1:17" ht="15.6">
      <c r="A298" s="366" t="s">
        <v>51</v>
      </c>
      <c r="B298" s="132">
        <f>IRR(B297:Q297)</f>
        <v>2.3942774604610584</v>
      </c>
      <c r="C298" s="390"/>
      <c r="D298" s="390"/>
      <c r="E298" s="390"/>
      <c r="F298" s="390"/>
      <c r="G298" s="390"/>
      <c r="H298" s="390"/>
      <c r="I298" s="390"/>
      <c r="J298" s="390"/>
      <c r="K298" s="390"/>
      <c r="L298" s="390"/>
      <c r="M298" s="390"/>
      <c r="N298" s="390"/>
      <c r="O298" s="390"/>
      <c r="P298" s="390"/>
      <c r="Q298" s="390"/>
    </row>
    <row r="299" spans="1:17" ht="15.6">
      <c r="A299" s="366" t="s">
        <v>267</v>
      </c>
      <c r="B299" s="303">
        <f>NPV('Initial Data'!$C$21/100,B297:Q297)</f>
        <v>179165.59693259763</v>
      </c>
      <c r="C299" s="373"/>
      <c r="D299" s="373"/>
      <c r="E299" s="373"/>
      <c r="F299" s="373"/>
      <c r="G299" s="373"/>
      <c r="H299" s="373"/>
      <c r="I299" s="373"/>
      <c r="J299" s="373"/>
      <c r="K299" s="373"/>
      <c r="L299" s="373"/>
      <c r="M299" s="373"/>
      <c r="N299" s="373"/>
      <c r="O299" s="373"/>
      <c r="P299" s="373"/>
      <c r="Q299" s="373"/>
    </row>
    <row r="300" spans="1:17" ht="14.4">
      <c r="A300" s="376"/>
      <c r="B300" s="389"/>
      <c r="C300" s="389"/>
      <c r="D300" s="389"/>
      <c r="E300" s="389"/>
      <c r="F300" s="389"/>
      <c r="G300" s="389"/>
      <c r="H300" s="389"/>
      <c r="I300" s="389"/>
      <c r="J300" s="389"/>
      <c r="K300" s="389"/>
      <c r="L300" s="389"/>
      <c r="M300" s="389"/>
      <c r="N300" s="389"/>
      <c r="O300" s="389"/>
      <c r="P300" s="389"/>
      <c r="Q300" s="389"/>
    </row>
    <row r="301" spans="1:17" ht="14.4">
      <c r="A301" s="508" t="s">
        <v>335</v>
      </c>
      <c r="B301" s="509"/>
      <c r="C301" s="509"/>
      <c r="D301" s="509"/>
      <c r="E301" s="509"/>
      <c r="F301" s="509"/>
      <c r="G301" s="509"/>
      <c r="H301" s="509"/>
      <c r="I301" s="509"/>
      <c r="J301" s="509"/>
      <c r="K301" s="509"/>
      <c r="L301" s="509"/>
      <c r="M301" s="509"/>
      <c r="N301" s="509"/>
      <c r="O301" s="509"/>
      <c r="P301" s="509"/>
      <c r="Q301" s="509"/>
    </row>
    <row r="302" spans="1:17" ht="14.4">
      <c r="A302" s="371" t="s">
        <v>313</v>
      </c>
      <c r="B302" s="372"/>
      <c r="C302" s="372"/>
      <c r="D302" s="372"/>
      <c r="E302" s="372"/>
      <c r="F302" s="372"/>
      <c r="G302" s="372"/>
      <c r="H302" s="372"/>
      <c r="I302" s="372"/>
      <c r="J302" s="372"/>
      <c r="K302" s="372"/>
      <c r="L302" s="372"/>
      <c r="M302" s="372"/>
      <c r="N302" s="372"/>
      <c r="O302" s="372"/>
      <c r="P302" s="372"/>
      <c r="Q302" s="372"/>
    </row>
    <row r="303" spans="1:17" ht="27">
      <c r="A303" s="376"/>
      <c r="B303" s="304" t="s">
        <v>35</v>
      </c>
      <c r="C303" s="352" t="s">
        <v>407</v>
      </c>
      <c r="D303" s="352" t="s">
        <v>408</v>
      </c>
      <c r="E303" s="352" t="s">
        <v>409</v>
      </c>
      <c r="F303" s="352" t="s">
        <v>410</v>
      </c>
      <c r="G303" s="352" t="s">
        <v>411</v>
      </c>
      <c r="H303" s="352" t="s">
        <v>412</v>
      </c>
      <c r="I303" s="352" t="s">
        <v>413</v>
      </c>
      <c r="J303" s="352" t="s">
        <v>414</v>
      </c>
      <c r="K303" s="352" t="s">
        <v>415</v>
      </c>
      <c r="L303" s="352" t="s">
        <v>416</v>
      </c>
      <c r="M303" s="352" t="s">
        <v>417</v>
      </c>
      <c r="N303" s="352" t="s">
        <v>418</v>
      </c>
      <c r="O303" s="352" t="s">
        <v>419</v>
      </c>
      <c r="P303" s="352" t="s">
        <v>420</v>
      </c>
      <c r="Q303" s="352" t="s">
        <v>421</v>
      </c>
    </row>
    <row r="304" spans="1:17" ht="14.4">
      <c r="A304" s="363" t="s">
        <v>290</v>
      </c>
      <c r="B304" s="365"/>
      <c r="C304" s="367">
        <f>+Baseline_NaturalGas!D10</f>
        <v>219000</v>
      </c>
      <c r="D304" s="367">
        <f>+Baseline_NaturalGas!E10</f>
        <v>219000</v>
      </c>
      <c r="E304" s="367">
        <f>+Baseline_NaturalGas!F10</f>
        <v>219000</v>
      </c>
      <c r="F304" s="367">
        <f>+Baseline_NaturalGas!G10</f>
        <v>219000</v>
      </c>
      <c r="G304" s="367">
        <f>+Baseline_NaturalGas!H10</f>
        <v>219000</v>
      </c>
      <c r="H304" s="367">
        <f>+Baseline_NaturalGas!I10</f>
        <v>219000</v>
      </c>
      <c r="I304" s="367">
        <f>+Baseline_NaturalGas!J10</f>
        <v>219000</v>
      </c>
      <c r="J304" s="367">
        <f>+Baseline_NaturalGas!K10</f>
        <v>219000</v>
      </c>
      <c r="K304" s="367">
        <f>+Baseline_NaturalGas!L10</f>
        <v>219000</v>
      </c>
      <c r="L304" s="367">
        <f>+Baseline_NaturalGas!M10</f>
        <v>219000</v>
      </c>
      <c r="M304" s="367">
        <f>+Baseline_NaturalGas!N10</f>
        <v>219000</v>
      </c>
      <c r="N304" s="367">
        <f>+Baseline_NaturalGas!O10</f>
        <v>219000</v>
      </c>
      <c r="O304" s="367">
        <f>+Baseline_NaturalGas!P10</f>
        <v>219000</v>
      </c>
      <c r="P304" s="367">
        <f>+Baseline_NaturalGas!Q10</f>
        <v>219000</v>
      </c>
      <c r="Q304" s="367">
        <f>+Baseline_NaturalGas!R10</f>
        <v>219000</v>
      </c>
    </row>
    <row r="305" spans="1:17" ht="14.4">
      <c r="A305" s="364" t="s">
        <v>291</v>
      </c>
      <c r="B305" s="365"/>
      <c r="C305" s="367">
        <f>+Baseline_NaturalGas!D11</f>
        <v>70</v>
      </c>
      <c r="D305" s="367">
        <f>+Baseline_NaturalGas!E11</f>
        <v>70</v>
      </c>
      <c r="E305" s="367">
        <f>+Baseline_NaturalGas!F11</f>
        <v>70</v>
      </c>
      <c r="F305" s="367">
        <f>+Baseline_NaturalGas!G11</f>
        <v>70</v>
      </c>
      <c r="G305" s="367">
        <f>+Baseline_NaturalGas!H11</f>
        <v>70</v>
      </c>
      <c r="H305" s="367">
        <f>+Baseline_NaturalGas!I11</f>
        <v>70</v>
      </c>
      <c r="I305" s="367">
        <f>+Baseline_NaturalGas!J11</f>
        <v>70</v>
      </c>
      <c r="J305" s="367">
        <f>+Baseline_NaturalGas!K11</f>
        <v>70</v>
      </c>
      <c r="K305" s="367">
        <f>+Baseline_NaturalGas!L11</f>
        <v>70</v>
      </c>
      <c r="L305" s="367">
        <f>+Baseline_NaturalGas!M11</f>
        <v>70</v>
      </c>
      <c r="M305" s="367">
        <f>+Baseline_NaturalGas!N11</f>
        <v>70</v>
      </c>
      <c r="N305" s="367">
        <f>+Baseline_NaturalGas!O11</f>
        <v>70</v>
      </c>
      <c r="O305" s="367">
        <f>+Baseline_NaturalGas!P11</f>
        <v>70</v>
      </c>
      <c r="P305" s="367">
        <f>+Baseline_NaturalGas!Q11</f>
        <v>70</v>
      </c>
      <c r="Q305" s="367">
        <f>+Baseline_NaturalGas!R11</f>
        <v>70</v>
      </c>
    </row>
    <row r="306" spans="1:17" ht="14.4">
      <c r="A306" s="366" t="s">
        <v>292</v>
      </c>
      <c r="B306" s="365"/>
      <c r="C306" s="375">
        <f>+Baseline_NaturalGas!D12</f>
        <v>6.4285714285714288</v>
      </c>
      <c r="D306" s="375">
        <f>+Baseline_NaturalGas!E12</f>
        <v>6.6008571428571425</v>
      </c>
      <c r="E306" s="375">
        <f>+Baseline_NaturalGas!F12</f>
        <v>6.7777601142857131</v>
      </c>
      <c r="F306" s="375">
        <f>+Baseline_NaturalGas!G12</f>
        <v>6.9594040853485701</v>
      </c>
      <c r="G306" s="375">
        <f>+Baseline_NaturalGas!H12</f>
        <v>7.1459161148359112</v>
      </c>
      <c r="H306" s="375">
        <f>+Baseline_NaturalGas!I12</f>
        <v>7.3374266667135135</v>
      </c>
      <c r="I306" s="375">
        <f>+Baseline_NaturalGas!J12</f>
        <v>7.5340697013814353</v>
      </c>
      <c r="J306" s="375">
        <f>+Baseline_NaturalGas!K12</f>
        <v>7.7359827693784569</v>
      </c>
      <c r="K306" s="375">
        <f>+Baseline_NaturalGas!L12</f>
        <v>7.943307107597799</v>
      </c>
      <c r="L306" s="375">
        <f>+Baseline_NaturalGas!M12</f>
        <v>8.1561877380814192</v>
      </c>
      <c r="M306" s="375">
        <f>+Baseline_NaturalGas!N12</f>
        <v>8.3747735694620005</v>
      </c>
      <c r="N306" s="375">
        <f>+Baseline_NaturalGas!O12</f>
        <v>8.5992175011235812</v>
      </c>
      <c r="O306" s="375">
        <f>+Baseline_NaturalGas!P12</f>
        <v>8.8296765301536926</v>
      </c>
      <c r="P306" s="375">
        <f>+Baseline_NaturalGas!Q12</f>
        <v>9.066311861161811</v>
      </c>
      <c r="Q306" s="375">
        <f>+Baseline_NaturalGas!R12</f>
        <v>9.3092890190409463</v>
      </c>
    </row>
    <row r="307" spans="1:17" ht="14.4">
      <c r="A307" s="366" t="s">
        <v>293</v>
      </c>
      <c r="B307" s="365"/>
      <c r="C307" s="367">
        <f>+Baseline_NaturalGas!D13</f>
        <v>450</v>
      </c>
      <c r="D307" s="367">
        <f>+Baseline_NaturalGas!E13</f>
        <v>462.06</v>
      </c>
      <c r="E307" s="367">
        <f>+Baseline_NaturalGas!F13</f>
        <v>474.44320799999991</v>
      </c>
      <c r="F307" s="367">
        <f>+Baseline_NaturalGas!G13</f>
        <v>487.15828597439992</v>
      </c>
      <c r="G307" s="367">
        <f>+Baseline_NaturalGas!H13</f>
        <v>500.21412803851376</v>
      </c>
      <c r="H307" s="367">
        <f>+Baseline_NaturalGas!I13</f>
        <v>513.61986666994596</v>
      </c>
      <c r="I307" s="367">
        <f>+Baseline_NaturalGas!J13</f>
        <v>527.3848790967005</v>
      </c>
      <c r="J307" s="367">
        <f>+Baseline_NaturalGas!K13</f>
        <v>541.51879385649192</v>
      </c>
      <c r="K307" s="367">
        <f>+Baseline_NaturalGas!L13</f>
        <v>556.03149753184596</v>
      </c>
      <c r="L307" s="367">
        <f>+Baseline_NaturalGas!M13</f>
        <v>570.9331416656994</v>
      </c>
      <c r="M307" s="367">
        <f>+Baseline_NaturalGas!N13</f>
        <v>586.23414986234002</v>
      </c>
      <c r="N307" s="367">
        <f>+Baseline_NaturalGas!O13</f>
        <v>601.94522507865065</v>
      </c>
      <c r="O307" s="367">
        <f>+Baseline_NaturalGas!P13</f>
        <v>618.0773571107585</v>
      </c>
      <c r="P307" s="367">
        <f>+Baseline_NaturalGas!Q13</f>
        <v>634.64183028132675</v>
      </c>
      <c r="Q307" s="367">
        <f>+Baseline_NaturalGas!R13</f>
        <v>651.65023133286627</v>
      </c>
    </row>
    <row r="308" spans="1:17" ht="14.4">
      <c r="A308" s="370"/>
      <c r="B308" s="373"/>
      <c r="C308" s="373"/>
      <c r="D308" s="373"/>
      <c r="E308" s="373"/>
      <c r="F308" s="373"/>
      <c r="G308" s="373"/>
      <c r="H308" s="373"/>
      <c r="I308" s="373"/>
      <c r="J308" s="373"/>
      <c r="K308" s="373"/>
      <c r="L308" s="373"/>
      <c r="M308" s="373"/>
      <c r="N308" s="373"/>
      <c r="O308" s="373"/>
      <c r="P308" s="373"/>
      <c r="Q308" s="373"/>
    </row>
    <row r="309" spans="1:17" ht="14.4">
      <c r="A309" s="366" t="s">
        <v>294</v>
      </c>
      <c r="B309" s="378">
        <f>+SUM(C309:Q309)</f>
        <v>1790524.8581953994</v>
      </c>
      <c r="C309" s="367">
        <f>C304*C307/1000*'Initial Data'!$C$34/'Initial Data'!$C$33</f>
        <v>98550</v>
      </c>
      <c r="D309" s="367">
        <f>D304*D307/1000*'Initial Data'!$C$34/'Initial Data'!$C$33</f>
        <v>101191.14</v>
      </c>
      <c r="E309" s="367">
        <f>E304*E307/1000*'Initial Data'!$C$34/'Initial Data'!$C$33</f>
        <v>103903.06255199999</v>
      </c>
      <c r="F309" s="367">
        <f>F304*F307/1000*'Initial Data'!$C$34/'Initial Data'!$C$33</f>
        <v>106687.66462839357</v>
      </c>
      <c r="G309" s="367">
        <f>G304*G307/1000*'Initial Data'!$C$34/'Initial Data'!$C$33</f>
        <v>109546.8940404345</v>
      </c>
      <c r="H309" s="367">
        <f>H304*H307/1000*'Initial Data'!$C$34/'Initial Data'!$C$33</f>
        <v>112482.75080071818</v>
      </c>
      <c r="I309" s="367">
        <f>I304*I307/1000*'Initial Data'!$C$34/'Initial Data'!$C$33</f>
        <v>115497.28852217742</v>
      </c>
      <c r="J309" s="367">
        <f>J304*J307/1000*'Initial Data'!$C$34/'Initial Data'!$C$33</f>
        <v>118592.61585457173</v>
      </c>
      <c r="K309" s="367">
        <f>K304*K307/1000*'Initial Data'!$C$34/'Initial Data'!$C$33</f>
        <v>121770.89795947427</v>
      </c>
      <c r="L309" s="367">
        <f>L304*L307/1000*'Initial Data'!$C$34/'Initial Data'!$C$33</f>
        <v>125034.35802478818</v>
      </c>
      <c r="M309" s="367">
        <f>M304*M307/1000*'Initial Data'!$C$34/'Initial Data'!$C$33</f>
        <v>128385.27881985246</v>
      </c>
      <c r="N309" s="367">
        <f>N304*N307/1000*'Initial Data'!$C$34/'Initial Data'!$C$33</f>
        <v>131826.0042922245</v>
      </c>
      <c r="O309" s="367">
        <f>O304*O307/1000*'Initial Data'!$C$34/'Initial Data'!$C$33</f>
        <v>135358.94120725611</v>
      </c>
      <c r="P309" s="367">
        <f>P304*P307/1000*'Initial Data'!$C$34/'Initial Data'!$C$33</f>
        <v>138986.56083161055</v>
      </c>
      <c r="Q309" s="367">
        <f>Q304*Q307/1000*'Initial Data'!$C$34/'Initial Data'!$C$33</f>
        <v>142711.40066189773</v>
      </c>
    </row>
    <row r="310" spans="1:17" ht="14.4">
      <c r="A310" s="370"/>
      <c r="B310" s="373"/>
      <c r="C310" s="373"/>
      <c r="D310" s="373"/>
      <c r="E310" s="373"/>
      <c r="F310" s="373"/>
      <c r="G310" s="373"/>
      <c r="H310" s="373"/>
      <c r="I310" s="373"/>
      <c r="J310" s="373"/>
      <c r="K310" s="373"/>
      <c r="L310" s="373"/>
      <c r="M310" s="373"/>
      <c r="N310" s="373"/>
      <c r="O310" s="373"/>
      <c r="P310" s="373"/>
      <c r="Q310" s="373"/>
    </row>
    <row r="311" spans="1:17" ht="14.4">
      <c r="A311" s="366" t="s">
        <v>295</v>
      </c>
      <c r="B311" s="378">
        <f>+SUM(C311:Q311)</f>
        <v>1790524.8581953994</v>
      </c>
      <c r="C311" s="367">
        <f>+C309</f>
        <v>98550</v>
      </c>
      <c r="D311" s="367">
        <f t="shared" ref="D311:Q311" si="72">+D309</f>
        <v>101191.14</v>
      </c>
      <c r="E311" s="367">
        <f t="shared" si="72"/>
        <v>103903.06255199999</v>
      </c>
      <c r="F311" s="367">
        <f t="shared" si="72"/>
        <v>106687.66462839357</v>
      </c>
      <c r="G311" s="367">
        <f t="shared" si="72"/>
        <v>109546.8940404345</v>
      </c>
      <c r="H311" s="367">
        <f t="shared" si="72"/>
        <v>112482.75080071818</v>
      </c>
      <c r="I311" s="367">
        <f t="shared" si="72"/>
        <v>115497.28852217742</v>
      </c>
      <c r="J311" s="367">
        <f t="shared" si="72"/>
        <v>118592.61585457173</v>
      </c>
      <c r="K311" s="367">
        <f t="shared" si="72"/>
        <v>121770.89795947427</v>
      </c>
      <c r="L311" s="367">
        <f t="shared" si="72"/>
        <v>125034.35802478818</v>
      </c>
      <c r="M311" s="367">
        <f t="shared" si="72"/>
        <v>128385.27881985246</v>
      </c>
      <c r="N311" s="367">
        <f t="shared" si="72"/>
        <v>131826.0042922245</v>
      </c>
      <c r="O311" s="367">
        <f t="shared" si="72"/>
        <v>135358.94120725611</v>
      </c>
      <c r="P311" s="367">
        <f t="shared" si="72"/>
        <v>138986.56083161055</v>
      </c>
      <c r="Q311" s="367">
        <f t="shared" si="72"/>
        <v>142711.40066189773</v>
      </c>
    </row>
    <row r="312" spans="1:17" ht="14.4">
      <c r="A312" s="370"/>
      <c r="B312" s="374"/>
      <c r="C312" s="374"/>
      <c r="D312" s="374"/>
      <c r="E312" s="374"/>
      <c r="F312" s="374"/>
      <c r="G312" s="374"/>
      <c r="H312" s="374"/>
      <c r="I312" s="374"/>
      <c r="J312" s="374"/>
      <c r="K312" s="374"/>
      <c r="L312" s="374"/>
      <c r="M312" s="374"/>
      <c r="N312" s="374"/>
      <c r="O312" s="374"/>
      <c r="P312" s="374"/>
      <c r="Q312" s="374"/>
    </row>
    <row r="313" spans="1:17" ht="14.4">
      <c r="A313" s="366" t="s">
        <v>68</v>
      </c>
      <c r="B313" s="368"/>
      <c r="C313" s="368"/>
      <c r="D313" s="368"/>
      <c r="E313" s="368"/>
      <c r="F313" s="368"/>
      <c r="G313" s="368"/>
      <c r="H313" s="368"/>
      <c r="I313" s="368"/>
      <c r="J313" s="368"/>
      <c r="K313" s="368"/>
      <c r="L313" s="368"/>
      <c r="M313" s="368"/>
      <c r="N313" s="368"/>
      <c r="O313" s="368"/>
      <c r="P313" s="368"/>
      <c r="Q313" s="368"/>
    </row>
    <row r="314" spans="1:17" ht="14.4">
      <c r="A314" s="366" t="s">
        <v>330</v>
      </c>
      <c r="B314" s="378">
        <f>+SUM(C314:Q314)</f>
        <v>18276.291097242829</v>
      </c>
      <c r="C314" s="381">
        <f>+Baseline_NaturalGas!D20*(1+$E$7)</f>
        <v>1005.922078875</v>
      </c>
      <c r="D314" s="381">
        <f>+Baseline_NaturalGas!E20*(1+$E$7)</f>
        <v>1032.88079058885</v>
      </c>
      <c r="E314" s="381">
        <f>+Baseline_NaturalGas!F20*(1+$E$7)</f>
        <v>1060.561995776631</v>
      </c>
      <c r="F314" s="381">
        <f>+Baseline_NaturalGas!G20*(1+$E$7)</f>
        <v>1088.9850572634448</v>
      </c>
      <c r="G314" s="381">
        <f>+Baseline_NaturalGas!H20*(1+$E$7)</f>
        <v>1118.169856798105</v>
      </c>
      <c r="H314" s="381">
        <f>+Baseline_NaturalGas!I20*(1+$E$7)</f>
        <v>1148.136808960294</v>
      </c>
      <c r="I314" s="381">
        <f>+Baseline_NaturalGas!J20*(1+$E$7)</f>
        <v>1178.90687544043</v>
      </c>
      <c r="J314" s="381">
        <f>+Baseline_NaturalGas!K20*(1+$E$7)</f>
        <v>1210.5015797022334</v>
      </c>
      <c r="K314" s="381">
        <f>+Baseline_NaturalGas!L20*(1+$E$7)</f>
        <v>1242.943022038253</v>
      </c>
      <c r="L314" s="381">
        <f>+Baseline_NaturalGas!M20*(1+$E$7)</f>
        <v>1276.2538950288781</v>
      </c>
      <c r="M314" s="381">
        <f>+Baseline_NaturalGas!N20*(1+$E$7)</f>
        <v>1310.4574994156519</v>
      </c>
      <c r="N314" s="381">
        <f>+Baseline_NaturalGas!O20*(1+$E$7)</f>
        <v>1345.5777603999916</v>
      </c>
      <c r="O314" s="381">
        <f>+Baseline_NaturalGas!P20*(1+$E$7)</f>
        <v>1381.6392443787113</v>
      </c>
      <c r="P314" s="381">
        <f>+Baseline_NaturalGas!Q20*(1+$E$7)</f>
        <v>1418.6671761280606</v>
      </c>
      <c r="Q314" s="381">
        <f>+Baseline_NaturalGas!R20*(1+$E$7)</f>
        <v>1456.6874564482926</v>
      </c>
    </row>
    <row r="315" spans="1:17" ht="14.4">
      <c r="A315" s="370"/>
      <c r="B315" s="369"/>
      <c r="C315" s="369"/>
      <c r="D315" s="369"/>
      <c r="E315" s="369"/>
      <c r="F315" s="369"/>
      <c r="G315" s="369"/>
      <c r="H315" s="369"/>
      <c r="I315" s="369"/>
      <c r="J315" s="369"/>
      <c r="K315" s="369"/>
      <c r="L315" s="369"/>
      <c r="M315" s="369"/>
      <c r="N315" s="369"/>
      <c r="O315" s="369"/>
      <c r="P315" s="369"/>
      <c r="Q315" s="369"/>
    </row>
    <row r="316" spans="1:17" ht="14.4">
      <c r="A316" s="366" t="s">
        <v>71</v>
      </c>
      <c r="B316" s="379"/>
      <c r="C316" s="379"/>
      <c r="D316" s="379"/>
      <c r="E316" s="379"/>
      <c r="F316" s="379"/>
      <c r="G316" s="379"/>
      <c r="H316" s="379"/>
      <c r="I316" s="379"/>
      <c r="J316" s="379"/>
      <c r="K316" s="379"/>
      <c r="L316" s="379"/>
      <c r="M316" s="379"/>
      <c r="N316" s="379"/>
      <c r="O316" s="379"/>
      <c r="P316" s="379"/>
      <c r="Q316" s="379"/>
    </row>
    <row r="317" spans="1:17" ht="14.4">
      <c r="A317" s="370"/>
      <c r="B317" s="379"/>
      <c r="C317" s="379"/>
      <c r="D317" s="379"/>
      <c r="E317" s="379"/>
      <c r="F317" s="379"/>
      <c r="G317" s="379"/>
      <c r="H317" s="379"/>
      <c r="I317" s="379"/>
      <c r="J317" s="379"/>
      <c r="K317" s="379"/>
      <c r="L317" s="379"/>
      <c r="M317" s="379"/>
      <c r="N317" s="379"/>
      <c r="O317" s="379"/>
      <c r="P317" s="379"/>
      <c r="Q317" s="379"/>
    </row>
    <row r="318" spans="1:17" ht="14.4">
      <c r="A318" s="366" t="s">
        <v>64</v>
      </c>
      <c r="B318" s="373"/>
      <c r="C318" s="367">
        <f>+Baseline_NaturalGas!D24</f>
        <v>1656.5089715892002</v>
      </c>
      <c r="D318" s="367">
        <f>+Baseline_NaturalGas!E24</f>
        <v>1656.5089715892002</v>
      </c>
      <c r="E318" s="367">
        <f>+Baseline_NaturalGas!F24</f>
        <v>1656.5089715892002</v>
      </c>
      <c r="F318" s="367">
        <f>+Baseline_NaturalGas!G24</f>
        <v>1656.5089715892002</v>
      </c>
      <c r="G318" s="367">
        <f>+Baseline_NaturalGas!H24</f>
        <v>1656.5089715892002</v>
      </c>
      <c r="H318" s="367">
        <f>+Baseline_NaturalGas!I24</f>
        <v>1656.5089715892002</v>
      </c>
      <c r="I318" s="367">
        <f>+Baseline_NaturalGas!J24</f>
        <v>1656.5089715892002</v>
      </c>
      <c r="J318" s="367">
        <f>+Baseline_NaturalGas!K24</f>
        <v>1656.5089715892002</v>
      </c>
      <c r="K318" s="367">
        <f>+Baseline_NaturalGas!L24</f>
        <v>1656.5089715892002</v>
      </c>
      <c r="L318" s="367">
        <f>+Baseline_NaturalGas!M24</f>
        <v>1656.5089715892002</v>
      </c>
      <c r="M318" s="367">
        <f>+Baseline_NaturalGas!N24</f>
        <v>1656.5089715892002</v>
      </c>
      <c r="N318" s="367">
        <f>+Baseline_NaturalGas!O24</f>
        <v>1656.5089715892002</v>
      </c>
      <c r="O318" s="367">
        <f>+Baseline_NaturalGas!P24</f>
        <v>1656.5089715892002</v>
      </c>
      <c r="P318" s="367">
        <f>+Baseline_NaturalGas!Q24</f>
        <v>1656.5089715892002</v>
      </c>
      <c r="Q318" s="367">
        <f>+Baseline_NaturalGas!R24</f>
        <v>1656.5089715892002</v>
      </c>
    </row>
    <row r="319" spans="1:17" ht="14.4">
      <c r="A319" s="366" t="s">
        <v>108</v>
      </c>
      <c r="B319" s="387">
        <f>+Baseline_NaturalGas!C25</f>
        <v>0.90200000000000002</v>
      </c>
      <c r="C319" s="373"/>
      <c r="D319" s="373"/>
      <c r="E319" s="373"/>
      <c r="F319" s="373"/>
      <c r="G319" s="373"/>
      <c r="H319" s="373"/>
      <c r="I319" s="373"/>
      <c r="J319" s="373"/>
      <c r="K319" s="373"/>
      <c r="L319" s="373"/>
      <c r="M319" s="373"/>
      <c r="N319" s="373"/>
      <c r="O319" s="373"/>
      <c r="P319" s="373"/>
      <c r="Q319" s="373"/>
    </row>
    <row r="320" spans="1:17" ht="14.4">
      <c r="A320" s="366" t="s">
        <v>346</v>
      </c>
      <c r="B320" s="373"/>
      <c r="C320" s="367">
        <f>+Baseline_NaturalGas!D26</f>
        <v>1741816.7092883086</v>
      </c>
      <c r="D320" s="367">
        <f>+Baseline_NaturalGas!E26</f>
        <v>1741816.7092883086</v>
      </c>
      <c r="E320" s="367">
        <f>+Baseline_NaturalGas!F26</f>
        <v>1741816.7092883086</v>
      </c>
      <c r="F320" s="367">
        <f>+Baseline_NaturalGas!G26</f>
        <v>1741816.7092883086</v>
      </c>
      <c r="G320" s="367">
        <f>+Baseline_NaturalGas!H26</f>
        <v>1741816.7092883086</v>
      </c>
      <c r="H320" s="367">
        <f>+Baseline_NaturalGas!I26</f>
        <v>1741816.7092883086</v>
      </c>
      <c r="I320" s="367">
        <f>+Baseline_NaturalGas!J26</f>
        <v>1741816.7092883086</v>
      </c>
      <c r="J320" s="367">
        <f>+Baseline_NaturalGas!K26</f>
        <v>1741816.7092883086</v>
      </c>
      <c r="K320" s="367">
        <f>+Baseline_NaturalGas!L26</f>
        <v>1741816.7092883086</v>
      </c>
      <c r="L320" s="367">
        <f>+Baseline_NaturalGas!M26</f>
        <v>1741816.7092883086</v>
      </c>
      <c r="M320" s="367">
        <f>+Baseline_NaturalGas!N26</f>
        <v>1741816.7092883086</v>
      </c>
      <c r="N320" s="367">
        <f>+Baseline_NaturalGas!O26</f>
        <v>1741816.7092883086</v>
      </c>
      <c r="O320" s="367">
        <f>+Baseline_NaturalGas!P26</f>
        <v>1741816.7092883086</v>
      </c>
      <c r="P320" s="367">
        <f>+Baseline_NaturalGas!Q26</f>
        <v>1741816.7092883086</v>
      </c>
      <c r="Q320" s="367">
        <f>+Baseline_NaturalGas!R26</f>
        <v>1741816.7092883086</v>
      </c>
    </row>
    <row r="321" spans="1:17" ht="14.4">
      <c r="A321" s="366" t="s">
        <v>66</v>
      </c>
      <c r="B321" s="373"/>
      <c r="C321" s="386">
        <f>+Baseline_NaturalGas!D27</f>
        <v>5.6086944825694198</v>
      </c>
      <c r="D321" s="386">
        <f>+Baseline_NaturalGas!E27</f>
        <v>5.5051083831058802</v>
      </c>
      <c r="E321" s="386">
        <f>+Baseline_NaturalGas!F27</f>
        <v>5.61862622286578</v>
      </c>
      <c r="F321" s="386">
        <f>+Baseline_NaturalGas!G27</f>
        <v>5.8406487933251103</v>
      </c>
      <c r="G321" s="386">
        <f>+Baseline_NaturalGas!H27</f>
        <v>5.8453745748678001</v>
      </c>
      <c r="H321" s="386">
        <f>+Baseline_NaturalGas!I27</f>
        <v>6.0672099673130804</v>
      </c>
      <c r="I321" s="386">
        <f>+Baseline_NaturalGas!J27</f>
        <v>6.39755565092754</v>
      </c>
      <c r="J321" s="386">
        <f>+Baseline_NaturalGas!K27</f>
        <v>6.39755565092754</v>
      </c>
      <c r="K321" s="386">
        <f>+Baseline_NaturalGas!L27</f>
        <v>6.39755565092754</v>
      </c>
      <c r="L321" s="386">
        <f>+Baseline_NaturalGas!M27</f>
        <v>6.39755565092754</v>
      </c>
      <c r="M321" s="386">
        <f>+Baseline_NaturalGas!N27</f>
        <v>6.39755565092754</v>
      </c>
      <c r="N321" s="386">
        <f>+Baseline_NaturalGas!O27</f>
        <v>6.39755565092754</v>
      </c>
      <c r="O321" s="386">
        <f>+Baseline_NaturalGas!P27</f>
        <v>6.39755565092754</v>
      </c>
      <c r="P321" s="386">
        <f>+Baseline_NaturalGas!Q27</f>
        <v>6.39755565092754</v>
      </c>
      <c r="Q321" s="386">
        <f>+Baseline_NaturalGas!R27</f>
        <v>6.39755565092754</v>
      </c>
    </row>
    <row r="322" spans="1:17" ht="14.4">
      <c r="A322" s="370"/>
      <c r="B322" s="379"/>
      <c r="C322" s="379"/>
      <c r="D322" s="379"/>
      <c r="E322" s="379"/>
      <c r="F322" s="379"/>
      <c r="G322" s="379"/>
      <c r="H322" s="379"/>
      <c r="I322" s="379"/>
      <c r="J322" s="379"/>
      <c r="K322" s="379"/>
      <c r="L322" s="379"/>
      <c r="M322" s="379"/>
      <c r="N322" s="379"/>
      <c r="O322" s="379"/>
      <c r="P322" s="379"/>
      <c r="Q322" s="379"/>
    </row>
    <row r="323" spans="1:17" ht="14.4">
      <c r="A323" s="366" t="s">
        <v>102</v>
      </c>
      <c r="B323" s="378">
        <f t="shared" ref="B323" si="73">+SUM(C323:Q323)</f>
        <v>160358.02702356796</v>
      </c>
      <c r="C323" s="375">
        <f>+C320*C321/1000</f>
        <v>9769.3177670325604</v>
      </c>
      <c r="D323" s="375">
        <f>+D320*D321/1000</f>
        <v>9588.8897681369654</v>
      </c>
      <c r="E323" s="375">
        <f t="shared" ref="E323:Q323" si="74">+E320*E321/1000</f>
        <v>9786.6170382330711</v>
      </c>
      <c r="F323" s="375">
        <f t="shared" si="74"/>
        <v>10173.339661298274</v>
      </c>
      <c r="G323" s="375">
        <f t="shared" si="74"/>
        <v>10181.571106553778</v>
      </c>
      <c r="H323" s="375">
        <f t="shared" si="74"/>
        <v>10567.967699826495</v>
      </c>
      <c r="I323" s="375">
        <f t="shared" si="74"/>
        <v>11143.36933138743</v>
      </c>
      <c r="J323" s="375">
        <f t="shared" si="74"/>
        <v>11143.36933138743</v>
      </c>
      <c r="K323" s="375">
        <f t="shared" si="74"/>
        <v>11143.36933138743</v>
      </c>
      <c r="L323" s="375">
        <f t="shared" si="74"/>
        <v>11143.36933138743</v>
      </c>
      <c r="M323" s="375">
        <f t="shared" si="74"/>
        <v>11143.36933138743</v>
      </c>
      <c r="N323" s="375">
        <f t="shared" si="74"/>
        <v>11143.36933138743</v>
      </c>
      <c r="O323" s="375">
        <f t="shared" si="74"/>
        <v>11143.36933138743</v>
      </c>
      <c r="P323" s="375">
        <f t="shared" si="74"/>
        <v>11143.36933138743</v>
      </c>
      <c r="Q323" s="375">
        <f t="shared" si="74"/>
        <v>11143.36933138743</v>
      </c>
    </row>
    <row r="324" spans="1:17" ht="14.4">
      <c r="A324" s="370"/>
      <c r="B324" s="373"/>
      <c r="C324" s="373"/>
      <c r="D324" s="373"/>
      <c r="E324" s="373"/>
      <c r="F324" s="373"/>
      <c r="G324" s="373"/>
      <c r="H324" s="373"/>
      <c r="I324" s="373"/>
      <c r="J324" s="373"/>
      <c r="K324" s="373"/>
      <c r="L324" s="373"/>
      <c r="M324" s="373"/>
      <c r="N324" s="373"/>
      <c r="O324" s="373"/>
      <c r="P324" s="373"/>
      <c r="Q324" s="373"/>
    </row>
    <row r="325" spans="1:17" ht="14.4">
      <c r="A325" s="370"/>
      <c r="B325" s="379"/>
      <c r="C325" s="379"/>
      <c r="D325" s="379"/>
      <c r="E325" s="379"/>
      <c r="F325" s="379"/>
      <c r="G325" s="379"/>
      <c r="H325" s="379"/>
      <c r="I325" s="379"/>
      <c r="J325" s="379"/>
      <c r="K325" s="379"/>
      <c r="L325" s="379"/>
      <c r="M325" s="379"/>
      <c r="N325" s="379"/>
      <c r="O325" s="379"/>
      <c r="P325" s="379"/>
      <c r="Q325" s="379"/>
    </row>
    <row r="326" spans="1:17" ht="14.4">
      <c r="A326" s="366" t="s">
        <v>101</v>
      </c>
      <c r="B326" s="373"/>
      <c r="C326" s="375">
        <f>+C323+C314</f>
        <v>10775.239845907561</v>
      </c>
      <c r="D326" s="375">
        <f t="shared" ref="D326:Q326" si="75">+D323+D314</f>
        <v>10621.770558725815</v>
      </c>
      <c r="E326" s="375">
        <f t="shared" si="75"/>
        <v>10847.179034009701</v>
      </c>
      <c r="F326" s="375">
        <f t="shared" si="75"/>
        <v>11262.324718561718</v>
      </c>
      <c r="G326" s="375">
        <f t="shared" si="75"/>
        <v>11299.740963351884</v>
      </c>
      <c r="H326" s="375">
        <f t="shared" si="75"/>
        <v>11716.10450878679</v>
      </c>
      <c r="I326" s="375">
        <f t="shared" si="75"/>
        <v>12322.276206827861</v>
      </c>
      <c r="J326" s="375">
        <f t="shared" si="75"/>
        <v>12353.870911089663</v>
      </c>
      <c r="K326" s="375">
        <f t="shared" si="75"/>
        <v>12386.312353425683</v>
      </c>
      <c r="L326" s="375">
        <f t="shared" si="75"/>
        <v>12419.623226416308</v>
      </c>
      <c r="M326" s="375">
        <f t="shared" si="75"/>
        <v>12453.826830803082</v>
      </c>
      <c r="N326" s="375">
        <f t="shared" si="75"/>
        <v>12488.947091787422</v>
      </c>
      <c r="O326" s="375">
        <f t="shared" si="75"/>
        <v>12525.008575766142</v>
      </c>
      <c r="P326" s="375">
        <f t="shared" si="75"/>
        <v>12562.036507515491</v>
      </c>
      <c r="Q326" s="375">
        <f t="shared" si="75"/>
        <v>12600.056787835723</v>
      </c>
    </row>
    <row r="327" spans="1:17" ht="14.4">
      <c r="A327" s="370"/>
      <c r="B327" s="379"/>
      <c r="C327" s="379"/>
      <c r="D327" s="379"/>
      <c r="E327" s="379"/>
      <c r="F327" s="379"/>
      <c r="G327" s="379"/>
      <c r="H327" s="379"/>
      <c r="I327" s="379"/>
      <c r="J327" s="379"/>
      <c r="K327" s="379"/>
      <c r="L327" s="379"/>
      <c r="M327" s="379"/>
      <c r="N327" s="379"/>
      <c r="O327" s="379"/>
      <c r="P327" s="379"/>
      <c r="Q327" s="379"/>
    </row>
    <row r="328" spans="1:17" ht="14.4">
      <c r="A328" s="366" t="s">
        <v>73</v>
      </c>
      <c r="B328" s="378">
        <f>+SUM(C328:Q328)</f>
        <v>11487.524395535713</v>
      </c>
      <c r="C328" s="367">
        <f>+Baseline_NaturalGas!$D$5/'Initial Data'!$C$19</f>
        <v>1148.7524395535715</v>
      </c>
      <c r="D328" s="367">
        <f>+Baseline_NaturalGas!$D$5/'Initial Data'!$C$19</f>
        <v>1148.7524395535715</v>
      </c>
      <c r="E328" s="367">
        <f>+Baseline_NaturalGas!$D$5/'Initial Data'!$C$19</f>
        <v>1148.7524395535715</v>
      </c>
      <c r="F328" s="367">
        <f>+Baseline_NaturalGas!$D$5/'Initial Data'!$C$19</f>
        <v>1148.7524395535715</v>
      </c>
      <c r="G328" s="367">
        <f>+Baseline_NaturalGas!$D$5/'Initial Data'!$C$19</f>
        <v>1148.7524395535715</v>
      </c>
      <c r="H328" s="367">
        <f>+Baseline_NaturalGas!$D$5/'Initial Data'!$C$19</f>
        <v>1148.7524395535715</v>
      </c>
      <c r="I328" s="367">
        <f>+Baseline_NaturalGas!$D$5/'Initial Data'!$C$19</f>
        <v>1148.7524395535715</v>
      </c>
      <c r="J328" s="367">
        <f>+Baseline_NaturalGas!$D$5/'Initial Data'!$C$19</f>
        <v>1148.7524395535715</v>
      </c>
      <c r="K328" s="367">
        <f>+Baseline_NaturalGas!$D$5/'Initial Data'!$C$19</f>
        <v>1148.7524395535715</v>
      </c>
      <c r="L328" s="367">
        <f>+Baseline_NaturalGas!$D$5/'Initial Data'!$C$19</f>
        <v>1148.7524395535715</v>
      </c>
      <c r="M328" s="367">
        <v>0</v>
      </c>
      <c r="N328" s="367">
        <v>0</v>
      </c>
      <c r="O328" s="367">
        <v>0</v>
      </c>
      <c r="P328" s="367">
        <v>0</v>
      </c>
      <c r="Q328" s="367">
        <v>0</v>
      </c>
    </row>
    <row r="329" spans="1:17" ht="14.4">
      <c r="A329" s="366" t="s">
        <v>74</v>
      </c>
      <c r="B329" s="378">
        <f>+SUM(C329:Q329)</f>
        <v>11487.524395535713</v>
      </c>
      <c r="C329" s="367">
        <f>SUM(C328:C328)</f>
        <v>1148.7524395535715</v>
      </c>
      <c r="D329" s="367">
        <f t="shared" ref="D329:Q329" si="76">SUM(D328:D328)</f>
        <v>1148.7524395535715</v>
      </c>
      <c r="E329" s="367">
        <f t="shared" si="76"/>
        <v>1148.7524395535715</v>
      </c>
      <c r="F329" s="367">
        <f t="shared" si="76"/>
        <v>1148.7524395535715</v>
      </c>
      <c r="G329" s="367">
        <f t="shared" si="76"/>
        <v>1148.7524395535715</v>
      </c>
      <c r="H329" s="367">
        <f t="shared" si="76"/>
        <v>1148.7524395535715</v>
      </c>
      <c r="I329" s="367">
        <f t="shared" si="76"/>
        <v>1148.7524395535715</v>
      </c>
      <c r="J329" s="367">
        <f t="shared" si="76"/>
        <v>1148.7524395535715</v>
      </c>
      <c r="K329" s="367">
        <f t="shared" si="76"/>
        <v>1148.7524395535715</v>
      </c>
      <c r="L329" s="367">
        <f t="shared" si="76"/>
        <v>1148.7524395535715</v>
      </c>
      <c r="M329" s="367">
        <f t="shared" si="76"/>
        <v>0</v>
      </c>
      <c r="N329" s="367">
        <f t="shared" si="76"/>
        <v>0</v>
      </c>
      <c r="O329" s="367">
        <f t="shared" si="76"/>
        <v>0</v>
      </c>
      <c r="P329" s="367">
        <f t="shared" si="76"/>
        <v>0</v>
      </c>
      <c r="Q329" s="367">
        <f t="shared" si="76"/>
        <v>0</v>
      </c>
    </row>
    <row r="330" spans="1:17" ht="14.4">
      <c r="A330" s="90"/>
      <c r="B330" s="388"/>
      <c r="C330" s="373"/>
      <c r="D330" s="373"/>
      <c r="E330" s="373"/>
      <c r="F330" s="373"/>
      <c r="G330" s="373"/>
      <c r="H330" s="373"/>
      <c r="I330" s="373"/>
      <c r="J330" s="373"/>
      <c r="K330" s="373"/>
      <c r="L330" s="373"/>
      <c r="M330" s="373"/>
      <c r="N330" s="373"/>
      <c r="O330" s="373"/>
      <c r="P330" s="373"/>
      <c r="Q330" s="373"/>
    </row>
    <row r="331" spans="1:17" ht="14.4">
      <c r="A331" s="366" t="s">
        <v>75</v>
      </c>
      <c r="B331" s="378">
        <f>+SUM(C331:Q331)</f>
        <v>190121.84251634654</v>
      </c>
      <c r="C331" s="367">
        <f>+C326+C329</f>
        <v>11923.992285461132</v>
      </c>
      <c r="D331" s="367">
        <f t="shared" ref="D331:Q331" si="77">+D326+D329</f>
        <v>11770.522998279386</v>
      </c>
      <c r="E331" s="367">
        <f t="shared" si="77"/>
        <v>11995.931473563272</v>
      </c>
      <c r="F331" s="367">
        <f t="shared" si="77"/>
        <v>12411.077158115289</v>
      </c>
      <c r="G331" s="367">
        <f t="shared" si="77"/>
        <v>12448.493402905455</v>
      </c>
      <c r="H331" s="367">
        <f t="shared" si="77"/>
        <v>12864.856948340361</v>
      </c>
      <c r="I331" s="367">
        <f t="shared" si="77"/>
        <v>13471.028646381432</v>
      </c>
      <c r="J331" s="367">
        <f t="shared" si="77"/>
        <v>13502.623350643235</v>
      </c>
      <c r="K331" s="367">
        <f t="shared" si="77"/>
        <v>13535.064792979254</v>
      </c>
      <c r="L331" s="367">
        <f t="shared" si="77"/>
        <v>13568.375665969879</v>
      </c>
      <c r="M331" s="367">
        <f t="shared" si="77"/>
        <v>12453.826830803082</v>
      </c>
      <c r="N331" s="367">
        <f t="shared" si="77"/>
        <v>12488.947091787422</v>
      </c>
      <c r="O331" s="367">
        <f t="shared" si="77"/>
        <v>12525.008575766142</v>
      </c>
      <c r="P331" s="367">
        <f t="shared" si="77"/>
        <v>12562.036507515491</v>
      </c>
      <c r="Q331" s="367">
        <f t="shared" si="77"/>
        <v>12600.056787835723</v>
      </c>
    </row>
    <row r="332" spans="1:17">
      <c r="A332" s="74"/>
    </row>
    <row r="333" spans="1:17" ht="14.4">
      <c r="A333" s="366" t="s">
        <v>76</v>
      </c>
      <c r="B333" s="378">
        <f>+SUM(C333:Q333)</f>
        <v>1600403.0156790528</v>
      </c>
      <c r="C333" s="367">
        <f>+C311-C331</f>
        <v>86626.007714538864</v>
      </c>
      <c r="D333" s="367">
        <f t="shared" ref="D333:Q333" si="78">+D311-D331</f>
        <v>89420.617001720617</v>
      </c>
      <c r="E333" s="367">
        <f t="shared" si="78"/>
        <v>91907.131078436709</v>
      </c>
      <c r="F333" s="367">
        <f t="shared" si="78"/>
        <v>94276.587470278275</v>
      </c>
      <c r="G333" s="367">
        <f t="shared" si="78"/>
        <v>97098.400637529048</v>
      </c>
      <c r="H333" s="367">
        <f t="shared" si="78"/>
        <v>99617.89385237782</v>
      </c>
      <c r="I333" s="367">
        <f t="shared" si="78"/>
        <v>102026.25987579599</v>
      </c>
      <c r="J333" s="367">
        <f t="shared" si="78"/>
        <v>105089.9925039285</v>
      </c>
      <c r="K333" s="367">
        <f t="shared" si="78"/>
        <v>108235.83316649502</v>
      </c>
      <c r="L333" s="367">
        <f t="shared" si="78"/>
        <v>111465.98235881829</v>
      </c>
      <c r="M333" s="367">
        <f t="shared" si="78"/>
        <v>115931.45198904938</v>
      </c>
      <c r="N333" s="367">
        <f t="shared" si="78"/>
        <v>119337.05720043708</v>
      </c>
      <c r="O333" s="367">
        <f t="shared" si="78"/>
        <v>122833.93263148997</v>
      </c>
      <c r="P333" s="367">
        <f t="shared" si="78"/>
        <v>126424.52432409505</v>
      </c>
      <c r="Q333" s="367">
        <f t="shared" si="78"/>
        <v>130111.343874062</v>
      </c>
    </row>
    <row r="334" spans="1:17" ht="14.4">
      <c r="A334" s="369"/>
      <c r="B334" s="373"/>
      <c r="C334" s="373"/>
      <c r="D334" s="373"/>
      <c r="E334" s="373"/>
      <c r="F334" s="373"/>
      <c r="G334" s="373"/>
      <c r="H334" s="373"/>
      <c r="I334" s="373"/>
      <c r="J334" s="373"/>
      <c r="K334" s="373"/>
      <c r="L334" s="373"/>
      <c r="M334" s="373"/>
      <c r="N334" s="373"/>
      <c r="O334" s="373"/>
      <c r="P334" s="373"/>
      <c r="Q334" s="373"/>
    </row>
    <row r="335" spans="1:17" ht="14.4">
      <c r="A335" s="366" t="s">
        <v>222</v>
      </c>
      <c r="B335" s="380">
        <f>+Baseline_NaturalGas!C43</f>
        <v>0.7</v>
      </c>
      <c r="C335" s="367">
        <f>IF((+$B$335*C333)&lt;0,"0",(+$B$335*C333))</f>
        <v>60638.205400177198</v>
      </c>
      <c r="D335" s="367">
        <f t="shared" ref="D335:Q335" si="79">IF((+$B$335*D333)&lt;0,"0",(+$B$335*D333))</f>
        <v>62594.431901204429</v>
      </c>
      <c r="E335" s="367">
        <f t="shared" si="79"/>
        <v>64334.991754905692</v>
      </c>
      <c r="F335" s="367">
        <f t="shared" si="79"/>
        <v>65993.611229194794</v>
      </c>
      <c r="G335" s="367">
        <f t="shared" si="79"/>
        <v>67968.880446270327</v>
      </c>
      <c r="H335" s="367">
        <f t="shared" si="79"/>
        <v>69732.525696664467</v>
      </c>
      <c r="I335" s="367">
        <f t="shared" si="79"/>
        <v>71418.381913057194</v>
      </c>
      <c r="J335" s="367">
        <f t="shared" si="79"/>
        <v>73562.994752749946</v>
      </c>
      <c r="K335" s="367">
        <f t="shared" si="79"/>
        <v>75765.083216546511</v>
      </c>
      <c r="L335" s="367">
        <f t="shared" si="79"/>
        <v>78026.187651172804</v>
      </c>
      <c r="M335" s="367">
        <f t="shared" si="79"/>
        <v>81152.016392334568</v>
      </c>
      <c r="N335" s="367">
        <f t="shared" si="79"/>
        <v>83535.940040305955</v>
      </c>
      <c r="O335" s="367">
        <f t="shared" si="79"/>
        <v>85983.752842042973</v>
      </c>
      <c r="P335" s="367">
        <f t="shared" si="79"/>
        <v>88497.167026866533</v>
      </c>
      <c r="Q335" s="367">
        <f t="shared" si="79"/>
        <v>91077.940711843403</v>
      </c>
    </row>
    <row r="336" spans="1:17" ht="14.4">
      <c r="A336" s="366" t="s">
        <v>77</v>
      </c>
      <c r="B336" s="378">
        <f>+SUM(C336:Q336)</f>
        <v>1120282.1109753367</v>
      </c>
      <c r="C336" s="367">
        <f>SUM(C335:C335)</f>
        <v>60638.205400177198</v>
      </c>
      <c r="D336" s="367">
        <f t="shared" ref="D336:Q336" si="80">SUM(D335:D335)</f>
        <v>62594.431901204429</v>
      </c>
      <c r="E336" s="367">
        <f t="shared" si="80"/>
        <v>64334.991754905692</v>
      </c>
      <c r="F336" s="367">
        <f t="shared" si="80"/>
        <v>65993.611229194794</v>
      </c>
      <c r="G336" s="367">
        <f t="shared" si="80"/>
        <v>67968.880446270327</v>
      </c>
      <c r="H336" s="367">
        <f t="shared" si="80"/>
        <v>69732.525696664467</v>
      </c>
      <c r="I336" s="367">
        <f t="shared" si="80"/>
        <v>71418.381913057194</v>
      </c>
      <c r="J336" s="367">
        <f t="shared" si="80"/>
        <v>73562.994752749946</v>
      </c>
      <c r="K336" s="367">
        <f t="shared" si="80"/>
        <v>75765.083216546511</v>
      </c>
      <c r="L336" s="367">
        <f t="shared" si="80"/>
        <v>78026.187651172804</v>
      </c>
      <c r="M336" s="367">
        <f t="shared" si="80"/>
        <v>81152.016392334568</v>
      </c>
      <c r="N336" s="367">
        <f t="shared" si="80"/>
        <v>83535.940040305955</v>
      </c>
      <c r="O336" s="367">
        <f t="shared" si="80"/>
        <v>85983.752842042973</v>
      </c>
      <c r="P336" s="367">
        <f t="shared" si="80"/>
        <v>88497.167026866533</v>
      </c>
      <c r="Q336" s="367">
        <f t="shared" si="80"/>
        <v>91077.940711843403</v>
      </c>
    </row>
    <row r="337" spans="1:17" ht="14.4">
      <c r="A337" s="369"/>
      <c r="B337" s="373"/>
      <c r="C337" s="373"/>
      <c r="D337" s="373"/>
      <c r="E337" s="373"/>
      <c r="F337" s="373"/>
      <c r="G337" s="373"/>
      <c r="H337" s="373"/>
      <c r="I337" s="373"/>
      <c r="J337" s="373"/>
      <c r="K337" s="373"/>
      <c r="L337" s="373"/>
      <c r="M337" s="373"/>
      <c r="N337" s="373"/>
      <c r="O337" s="373"/>
      <c r="P337" s="373"/>
      <c r="Q337" s="373"/>
    </row>
    <row r="338" spans="1:17" ht="14.4">
      <c r="A338" s="366" t="s">
        <v>78</v>
      </c>
      <c r="B338" s="378">
        <f>+SUM(C338:Q338)</f>
        <v>480120.90470371593</v>
      </c>
      <c r="C338" s="367">
        <f>+C333-C336</f>
        <v>25987.802314361667</v>
      </c>
      <c r="D338" s="367">
        <f t="shared" ref="D338:Q338" si="81">+D333-D336</f>
        <v>26826.185100516188</v>
      </c>
      <c r="E338" s="367">
        <f t="shared" si="81"/>
        <v>27572.139323531017</v>
      </c>
      <c r="F338" s="367">
        <f t="shared" si="81"/>
        <v>28282.976241083481</v>
      </c>
      <c r="G338" s="367">
        <f t="shared" si="81"/>
        <v>29129.520191258722</v>
      </c>
      <c r="H338" s="367">
        <f t="shared" si="81"/>
        <v>29885.368155713353</v>
      </c>
      <c r="I338" s="367">
        <f t="shared" si="81"/>
        <v>30607.877962738799</v>
      </c>
      <c r="J338" s="367">
        <f t="shared" si="81"/>
        <v>31526.997751178555</v>
      </c>
      <c r="K338" s="367">
        <f t="shared" si="81"/>
        <v>32470.749949948513</v>
      </c>
      <c r="L338" s="367">
        <f t="shared" si="81"/>
        <v>33439.794707645488</v>
      </c>
      <c r="M338" s="367">
        <f t="shared" si="81"/>
        <v>34779.435596714815</v>
      </c>
      <c r="N338" s="367">
        <f t="shared" si="81"/>
        <v>35801.117160131122</v>
      </c>
      <c r="O338" s="367">
        <f t="shared" si="81"/>
        <v>36850.179789446993</v>
      </c>
      <c r="P338" s="367">
        <f t="shared" si="81"/>
        <v>37927.357297228518</v>
      </c>
      <c r="Q338" s="367">
        <f t="shared" si="81"/>
        <v>39033.403162218601</v>
      </c>
    </row>
    <row r="339" spans="1:17" ht="14.4">
      <c r="A339" s="395" t="s">
        <v>331</v>
      </c>
      <c r="B339" s="378">
        <f>+SUM(C339:Q339)</f>
        <v>11487.524395535713</v>
      </c>
      <c r="C339" s="377">
        <f>+C328</f>
        <v>1148.7524395535715</v>
      </c>
      <c r="D339" s="377">
        <f t="shared" ref="D339:Q339" si="82">+D328</f>
        <v>1148.7524395535715</v>
      </c>
      <c r="E339" s="377">
        <f t="shared" si="82"/>
        <v>1148.7524395535715</v>
      </c>
      <c r="F339" s="377">
        <f t="shared" si="82"/>
        <v>1148.7524395535715</v>
      </c>
      <c r="G339" s="377">
        <f t="shared" si="82"/>
        <v>1148.7524395535715</v>
      </c>
      <c r="H339" s="377">
        <f t="shared" si="82"/>
        <v>1148.7524395535715</v>
      </c>
      <c r="I339" s="377">
        <f t="shared" si="82"/>
        <v>1148.7524395535715</v>
      </c>
      <c r="J339" s="377">
        <f t="shared" si="82"/>
        <v>1148.7524395535715</v>
      </c>
      <c r="K339" s="377">
        <f t="shared" si="82"/>
        <v>1148.7524395535715</v>
      </c>
      <c r="L339" s="377">
        <f t="shared" si="82"/>
        <v>1148.7524395535715</v>
      </c>
      <c r="M339" s="377">
        <f t="shared" si="82"/>
        <v>0</v>
      </c>
      <c r="N339" s="377">
        <f t="shared" si="82"/>
        <v>0</v>
      </c>
      <c r="O339" s="377">
        <f t="shared" si="82"/>
        <v>0</v>
      </c>
      <c r="P339" s="377">
        <f t="shared" si="82"/>
        <v>0</v>
      </c>
      <c r="Q339" s="377">
        <f t="shared" si="82"/>
        <v>0</v>
      </c>
    </row>
    <row r="340" spans="1:17" ht="14.4">
      <c r="A340" s="395" t="s">
        <v>332</v>
      </c>
      <c r="B340" s="378">
        <f>+Baseline_NaturalGas!C318</f>
        <v>0</v>
      </c>
      <c r="C340" s="367">
        <f>+Baseline_NaturalGas!D318</f>
        <v>0</v>
      </c>
      <c r="D340" s="367">
        <f>+Baseline_NaturalGas!E318</f>
        <v>0</v>
      </c>
      <c r="E340" s="367">
        <f>+Baseline_NaturalGas!F318</f>
        <v>0</v>
      </c>
      <c r="F340" s="367">
        <f>+Baseline_NaturalGas!G318</f>
        <v>0</v>
      </c>
      <c r="G340" s="367">
        <f>+Baseline_NaturalGas!H318</f>
        <v>0</v>
      </c>
      <c r="H340" s="367">
        <f>+Baseline_NaturalGas!I318</f>
        <v>0</v>
      </c>
      <c r="I340" s="367">
        <f>+Baseline_NaturalGas!J318</f>
        <v>0</v>
      </c>
      <c r="J340" s="367">
        <f>+Baseline_NaturalGas!K318</f>
        <v>0</v>
      </c>
      <c r="K340" s="367">
        <f>+Baseline_NaturalGas!L318</f>
        <v>0</v>
      </c>
      <c r="L340" s="367">
        <f>+Baseline_NaturalGas!M318</f>
        <v>0</v>
      </c>
      <c r="M340" s="367">
        <f>+Baseline_NaturalGas!N318</f>
        <v>0</v>
      </c>
      <c r="N340" s="367">
        <f>+Baseline_NaturalGas!O318</f>
        <v>0</v>
      </c>
      <c r="O340" s="367">
        <f>+Baseline_NaturalGas!P318</f>
        <v>0</v>
      </c>
      <c r="P340" s="367">
        <f>+Baseline_NaturalGas!Q318</f>
        <v>0</v>
      </c>
      <c r="Q340" s="367">
        <f>+Baseline_NaturalGas!R318</f>
        <v>0</v>
      </c>
    </row>
    <row r="341" spans="1:17" ht="14.4">
      <c r="A341" s="510"/>
      <c r="B341" s="511"/>
      <c r="C341" s="511"/>
      <c r="D341" s="511"/>
      <c r="E341" s="511"/>
      <c r="F341" s="511"/>
      <c r="G341" s="511"/>
      <c r="H341" s="511"/>
      <c r="I341" s="511"/>
      <c r="J341" s="511"/>
      <c r="K341" s="511"/>
      <c r="L341" s="511"/>
      <c r="M341" s="511"/>
      <c r="N341" s="511"/>
      <c r="O341" s="511"/>
      <c r="P341" s="511"/>
      <c r="Q341" s="511"/>
    </row>
    <row r="342" spans="1:17" ht="14.4">
      <c r="A342" s="366" t="s">
        <v>110</v>
      </c>
      <c r="B342" s="378">
        <f>-Baseline_NaturalGas!$D$5</f>
        <v>-11487.524395535715</v>
      </c>
      <c r="C342" s="367">
        <f>+C338+C339+C340</f>
        <v>27136.554753915239</v>
      </c>
      <c r="D342" s="367">
        <f t="shared" ref="D342:Q342" si="83">+D338+D339+D340</f>
        <v>27974.937540069761</v>
      </c>
      <c r="E342" s="367">
        <f t="shared" si="83"/>
        <v>28720.89176308459</v>
      </c>
      <c r="F342" s="367">
        <f t="shared" si="83"/>
        <v>29431.728680637054</v>
      </c>
      <c r="G342" s="367">
        <f t="shared" si="83"/>
        <v>30278.272630812295</v>
      </c>
      <c r="H342" s="367">
        <f t="shared" si="83"/>
        <v>31034.120595266926</v>
      </c>
      <c r="I342" s="367">
        <f t="shared" si="83"/>
        <v>31756.630402292372</v>
      </c>
      <c r="J342" s="367">
        <f t="shared" si="83"/>
        <v>32675.750190732128</v>
      </c>
      <c r="K342" s="367">
        <f t="shared" si="83"/>
        <v>33619.502389502086</v>
      </c>
      <c r="L342" s="367">
        <f t="shared" si="83"/>
        <v>34588.54714719906</v>
      </c>
      <c r="M342" s="367">
        <f t="shared" si="83"/>
        <v>34779.435596714815</v>
      </c>
      <c r="N342" s="367">
        <f t="shared" si="83"/>
        <v>35801.117160131122</v>
      </c>
      <c r="O342" s="367">
        <f t="shared" si="83"/>
        <v>36850.179789446993</v>
      </c>
      <c r="P342" s="367">
        <f t="shared" si="83"/>
        <v>37927.357297228518</v>
      </c>
      <c r="Q342" s="367">
        <f t="shared" si="83"/>
        <v>39033.403162218601</v>
      </c>
    </row>
    <row r="343" spans="1:17" ht="15.6">
      <c r="A343" s="366" t="s">
        <v>51</v>
      </c>
      <c r="B343" s="132">
        <f>IRR(B342:Q342)</f>
        <v>2.3917773801745033</v>
      </c>
      <c r="C343" s="390"/>
      <c r="D343" s="390"/>
      <c r="E343" s="390"/>
      <c r="F343" s="390"/>
      <c r="G343" s="390"/>
      <c r="H343" s="390"/>
      <c r="I343" s="390"/>
      <c r="J343" s="390"/>
      <c r="K343" s="390"/>
      <c r="L343" s="390"/>
      <c r="M343" s="390"/>
      <c r="N343" s="390"/>
      <c r="O343" s="390"/>
      <c r="P343" s="390"/>
      <c r="Q343" s="390"/>
    </row>
    <row r="344" spans="1:17" ht="15.6">
      <c r="A344" s="366" t="s">
        <v>267</v>
      </c>
      <c r="B344" s="303">
        <f>NPV('Initial Data'!$C$21/100,B342:Q342)</f>
        <v>178965.05760349552</v>
      </c>
      <c r="C344" s="373"/>
      <c r="D344" s="373"/>
      <c r="E344" s="373"/>
      <c r="F344" s="373"/>
      <c r="G344" s="373"/>
      <c r="H344" s="373"/>
      <c r="I344" s="373"/>
      <c r="J344" s="373"/>
      <c r="K344" s="373"/>
      <c r="L344" s="373"/>
      <c r="M344" s="373"/>
      <c r="N344" s="373"/>
      <c r="O344" s="373"/>
      <c r="P344" s="373"/>
      <c r="Q344" s="373"/>
    </row>
    <row r="345" spans="1:17" ht="14.4">
      <c r="A345" s="370"/>
      <c r="B345" s="373"/>
      <c r="C345" s="373"/>
      <c r="D345" s="373"/>
      <c r="E345" s="373"/>
      <c r="F345" s="373"/>
      <c r="G345" s="373"/>
      <c r="H345" s="373"/>
      <c r="I345" s="373"/>
      <c r="J345" s="373"/>
      <c r="K345" s="373"/>
      <c r="L345" s="373"/>
      <c r="M345" s="373"/>
      <c r="N345" s="373"/>
      <c r="O345" s="373"/>
      <c r="P345" s="373"/>
      <c r="Q345" s="373"/>
    </row>
    <row r="346" spans="1:17" ht="14.4">
      <c r="A346" s="508" t="s">
        <v>335</v>
      </c>
      <c r="B346" s="509"/>
      <c r="C346" s="509"/>
      <c r="D346" s="509"/>
      <c r="E346" s="509"/>
      <c r="F346" s="509"/>
      <c r="G346" s="509"/>
      <c r="H346" s="509"/>
      <c r="I346" s="509"/>
      <c r="J346" s="509"/>
      <c r="K346" s="509"/>
      <c r="L346" s="509"/>
      <c r="M346" s="509"/>
      <c r="N346" s="509"/>
      <c r="O346" s="509"/>
      <c r="P346" s="509"/>
      <c r="Q346" s="509"/>
    </row>
    <row r="347" spans="1:17" ht="14.4">
      <c r="A347" s="371" t="s">
        <v>314</v>
      </c>
      <c r="B347" s="372"/>
      <c r="C347" s="372"/>
      <c r="D347" s="372"/>
      <c r="E347" s="372"/>
      <c r="F347" s="372"/>
      <c r="G347" s="372"/>
      <c r="H347" s="372"/>
      <c r="I347" s="372"/>
      <c r="J347" s="372"/>
      <c r="K347" s="372"/>
      <c r="L347" s="372"/>
      <c r="M347" s="372"/>
      <c r="N347" s="372"/>
      <c r="O347" s="372"/>
      <c r="P347" s="372"/>
      <c r="Q347" s="372"/>
    </row>
    <row r="348" spans="1:17" ht="27">
      <c r="A348" s="376"/>
      <c r="B348" s="304" t="s">
        <v>35</v>
      </c>
      <c r="C348" s="352" t="s">
        <v>407</v>
      </c>
      <c r="D348" s="352" t="s">
        <v>408</v>
      </c>
      <c r="E348" s="352" t="s">
        <v>409</v>
      </c>
      <c r="F348" s="352" t="s">
        <v>410</v>
      </c>
      <c r="G348" s="352" t="s">
        <v>411</v>
      </c>
      <c r="H348" s="352" t="s">
        <v>412</v>
      </c>
      <c r="I348" s="352" t="s">
        <v>413</v>
      </c>
      <c r="J348" s="352" t="s">
        <v>414</v>
      </c>
      <c r="K348" s="352" t="s">
        <v>415</v>
      </c>
      <c r="L348" s="352" t="s">
        <v>416</v>
      </c>
      <c r="M348" s="352" t="s">
        <v>417</v>
      </c>
      <c r="N348" s="352" t="s">
        <v>418</v>
      </c>
      <c r="O348" s="352" t="s">
        <v>419</v>
      </c>
      <c r="P348" s="352" t="s">
        <v>420</v>
      </c>
      <c r="Q348" s="352" t="s">
        <v>421</v>
      </c>
    </row>
    <row r="349" spans="1:17" ht="14.4">
      <c r="A349" s="363" t="s">
        <v>290</v>
      </c>
      <c r="B349" s="365"/>
      <c r="C349" s="367">
        <f>+Baseline_NaturalGas!D10</f>
        <v>219000</v>
      </c>
      <c r="D349" s="367">
        <f>+Baseline_NaturalGas!E10</f>
        <v>219000</v>
      </c>
      <c r="E349" s="367">
        <f>+Baseline_NaturalGas!F10</f>
        <v>219000</v>
      </c>
      <c r="F349" s="367">
        <f>+Baseline_NaturalGas!G10</f>
        <v>219000</v>
      </c>
      <c r="G349" s="367">
        <f>+Baseline_NaturalGas!H10</f>
        <v>219000</v>
      </c>
      <c r="H349" s="367">
        <f>+Baseline_NaturalGas!I10</f>
        <v>219000</v>
      </c>
      <c r="I349" s="367">
        <f>+Baseline_NaturalGas!J10</f>
        <v>219000</v>
      </c>
      <c r="J349" s="367">
        <f>+Baseline_NaturalGas!K10</f>
        <v>219000</v>
      </c>
      <c r="K349" s="367">
        <f>+Baseline_NaturalGas!L10</f>
        <v>219000</v>
      </c>
      <c r="L349" s="367">
        <f>+Baseline_NaturalGas!M10</f>
        <v>219000</v>
      </c>
      <c r="M349" s="367">
        <f>+Baseline_NaturalGas!N10</f>
        <v>219000</v>
      </c>
      <c r="N349" s="367">
        <f>+Baseline_NaturalGas!O10</f>
        <v>219000</v>
      </c>
      <c r="O349" s="367">
        <f>+Baseline_NaturalGas!P10</f>
        <v>219000</v>
      </c>
      <c r="P349" s="367">
        <f>+Baseline_NaturalGas!Q10</f>
        <v>219000</v>
      </c>
      <c r="Q349" s="367">
        <f>+Baseline_NaturalGas!R10</f>
        <v>219000</v>
      </c>
    </row>
    <row r="350" spans="1:17" ht="14.4">
      <c r="A350" s="364" t="s">
        <v>291</v>
      </c>
      <c r="B350" s="365"/>
      <c r="C350" s="367">
        <f>+Baseline_NaturalGas!D11</f>
        <v>70</v>
      </c>
      <c r="D350" s="367">
        <f>+Baseline_NaturalGas!E11</f>
        <v>70</v>
      </c>
      <c r="E350" s="367">
        <f>+Baseline_NaturalGas!F11</f>
        <v>70</v>
      </c>
      <c r="F350" s="367">
        <f>+Baseline_NaturalGas!G11</f>
        <v>70</v>
      </c>
      <c r="G350" s="367">
        <f>+Baseline_NaturalGas!H11</f>
        <v>70</v>
      </c>
      <c r="H350" s="367">
        <f>+Baseline_NaturalGas!I11</f>
        <v>70</v>
      </c>
      <c r="I350" s="367">
        <f>+Baseline_NaturalGas!J11</f>
        <v>70</v>
      </c>
      <c r="J350" s="367">
        <f>+Baseline_NaturalGas!K11</f>
        <v>70</v>
      </c>
      <c r="K350" s="367">
        <f>+Baseline_NaturalGas!L11</f>
        <v>70</v>
      </c>
      <c r="L350" s="367">
        <f>+Baseline_NaturalGas!M11</f>
        <v>70</v>
      </c>
      <c r="M350" s="367">
        <f>+Baseline_NaturalGas!N11</f>
        <v>70</v>
      </c>
      <c r="N350" s="367">
        <f>+Baseline_NaturalGas!O11</f>
        <v>70</v>
      </c>
      <c r="O350" s="367">
        <f>+Baseline_NaturalGas!P11</f>
        <v>70</v>
      </c>
      <c r="P350" s="367">
        <f>+Baseline_NaturalGas!Q11</f>
        <v>70</v>
      </c>
      <c r="Q350" s="367">
        <f>+Baseline_NaturalGas!R11</f>
        <v>70</v>
      </c>
    </row>
    <row r="351" spans="1:17" ht="14.4">
      <c r="A351" s="366" t="s">
        <v>292</v>
      </c>
      <c r="B351" s="365"/>
      <c r="C351" s="375">
        <f>+Baseline_NaturalGas!D12</f>
        <v>6.4285714285714288</v>
      </c>
      <c r="D351" s="375">
        <f>+Baseline_NaturalGas!E12</f>
        <v>6.6008571428571425</v>
      </c>
      <c r="E351" s="375">
        <f>+Baseline_NaturalGas!F12</f>
        <v>6.7777601142857131</v>
      </c>
      <c r="F351" s="375">
        <f>+Baseline_NaturalGas!G12</f>
        <v>6.9594040853485701</v>
      </c>
      <c r="G351" s="375">
        <f>+Baseline_NaturalGas!H12</f>
        <v>7.1459161148359112</v>
      </c>
      <c r="H351" s="375">
        <f>+Baseline_NaturalGas!I12</f>
        <v>7.3374266667135135</v>
      </c>
      <c r="I351" s="375">
        <f>+Baseline_NaturalGas!J12</f>
        <v>7.5340697013814353</v>
      </c>
      <c r="J351" s="375">
        <f>+Baseline_NaturalGas!K12</f>
        <v>7.7359827693784569</v>
      </c>
      <c r="K351" s="375">
        <f>+Baseline_NaturalGas!L12</f>
        <v>7.943307107597799</v>
      </c>
      <c r="L351" s="375">
        <f>+Baseline_NaturalGas!M12</f>
        <v>8.1561877380814192</v>
      </c>
      <c r="M351" s="375">
        <f>+Baseline_NaturalGas!N12</f>
        <v>8.3747735694620005</v>
      </c>
      <c r="N351" s="375">
        <f>+Baseline_NaturalGas!O12</f>
        <v>8.5992175011235812</v>
      </c>
      <c r="O351" s="375">
        <f>+Baseline_NaturalGas!P12</f>
        <v>8.8296765301536926</v>
      </c>
      <c r="P351" s="375">
        <f>+Baseline_NaturalGas!Q12</f>
        <v>9.066311861161811</v>
      </c>
      <c r="Q351" s="375">
        <f>+Baseline_NaturalGas!R12</f>
        <v>9.3092890190409463</v>
      </c>
    </row>
    <row r="352" spans="1:17" ht="14.4">
      <c r="A352" s="366" t="s">
        <v>293</v>
      </c>
      <c r="B352" s="365"/>
      <c r="C352" s="367">
        <f>+Baseline_NaturalGas!D13</f>
        <v>450</v>
      </c>
      <c r="D352" s="367">
        <f>+Baseline_NaturalGas!E13</f>
        <v>462.06</v>
      </c>
      <c r="E352" s="367">
        <f>+Baseline_NaturalGas!F13</f>
        <v>474.44320799999991</v>
      </c>
      <c r="F352" s="367">
        <f>+Baseline_NaturalGas!G13</f>
        <v>487.15828597439992</v>
      </c>
      <c r="G352" s="367">
        <f>+Baseline_NaturalGas!H13</f>
        <v>500.21412803851376</v>
      </c>
      <c r="H352" s="367">
        <f>+Baseline_NaturalGas!I13</f>
        <v>513.61986666994596</v>
      </c>
      <c r="I352" s="367">
        <f>+Baseline_NaturalGas!J13</f>
        <v>527.3848790967005</v>
      </c>
      <c r="J352" s="367">
        <f>+Baseline_NaturalGas!K13</f>
        <v>541.51879385649192</v>
      </c>
      <c r="K352" s="367">
        <f>+Baseline_NaturalGas!L13</f>
        <v>556.03149753184596</v>
      </c>
      <c r="L352" s="367">
        <f>+Baseline_NaturalGas!M13</f>
        <v>570.9331416656994</v>
      </c>
      <c r="M352" s="367">
        <f>+Baseline_NaturalGas!N13</f>
        <v>586.23414986234002</v>
      </c>
      <c r="N352" s="367">
        <f>+Baseline_NaturalGas!O13</f>
        <v>601.94522507865065</v>
      </c>
      <c r="O352" s="367">
        <f>+Baseline_NaturalGas!P13</f>
        <v>618.0773571107585</v>
      </c>
      <c r="P352" s="367">
        <f>+Baseline_NaturalGas!Q13</f>
        <v>634.64183028132675</v>
      </c>
      <c r="Q352" s="367">
        <f>+Baseline_NaturalGas!R13</f>
        <v>651.65023133286627</v>
      </c>
    </row>
    <row r="353" spans="1:17" ht="14.4">
      <c r="A353" s="370"/>
      <c r="B353" s="373"/>
      <c r="C353" s="373"/>
      <c r="D353" s="373"/>
      <c r="E353" s="373"/>
      <c r="F353" s="373"/>
      <c r="G353" s="373"/>
      <c r="H353" s="373"/>
      <c r="I353" s="373"/>
      <c r="J353" s="373"/>
      <c r="K353" s="373"/>
      <c r="L353" s="373"/>
      <c r="M353" s="373"/>
      <c r="N353" s="373"/>
      <c r="O353" s="373"/>
      <c r="P353" s="373"/>
      <c r="Q353" s="373"/>
    </row>
    <row r="354" spans="1:17" ht="14.4">
      <c r="A354" s="366" t="s">
        <v>294</v>
      </c>
      <c r="B354" s="378">
        <f>+SUM(C354:Q354)</f>
        <v>1790524.8581953994</v>
      </c>
      <c r="C354" s="367">
        <f>C349*C352/1000*'Initial Data'!$C$34/'Initial Data'!$C$33</f>
        <v>98550</v>
      </c>
      <c r="D354" s="367">
        <f>D349*D352/1000*'Initial Data'!$C$34/'Initial Data'!$C$33</f>
        <v>101191.14</v>
      </c>
      <c r="E354" s="367">
        <f>E349*E352/1000*'Initial Data'!$C$34/'Initial Data'!$C$33</f>
        <v>103903.06255199999</v>
      </c>
      <c r="F354" s="367">
        <f>F349*F352/1000*'Initial Data'!$C$34/'Initial Data'!$C$33</f>
        <v>106687.66462839357</v>
      </c>
      <c r="G354" s="367">
        <f>G349*G352/1000*'Initial Data'!$C$34/'Initial Data'!$C$33</f>
        <v>109546.8940404345</v>
      </c>
      <c r="H354" s="367">
        <f>H349*H352/1000*'Initial Data'!$C$34/'Initial Data'!$C$33</f>
        <v>112482.75080071818</v>
      </c>
      <c r="I354" s="367">
        <f>I349*I352/1000*'Initial Data'!$C$34/'Initial Data'!$C$33</f>
        <v>115497.28852217742</v>
      </c>
      <c r="J354" s="367">
        <f>J349*J352/1000*'Initial Data'!$C$34/'Initial Data'!$C$33</f>
        <v>118592.61585457173</v>
      </c>
      <c r="K354" s="367">
        <f>K349*K352/1000*'Initial Data'!$C$34/'Initial Data'!$C$33</f>
        <v>121770.89795947427</v>
      </c>
      <c r="L354" s="367">
        <f>L349*L352/1000*'Initial Data'!$C$34/'Initial Data'!$C$33</f>
        <v>125034.35802478818</v>
      </c>
      <c r="M354" s="367">
        <f>M349*M352/1000*'Initial Data'!$C$34/'Initial Data'!$C$33</f>
        <v>128385.27881985246</v>
      </c>
      <c r="N354" s="367">
        <f>N349*N352/1000*'Initial Data'!$C$34/'Initial Data'!$C$33</f>
        <v>131826.0042922245</v>
      </c>
      <c r="O354" s="367">
        <f>O349*O352/1000*'Initial Data'!$C$34/'Initial Data'!$C$33</f>
        <v>135358.94120725611</v>
      </c>
      <c r="P354" s="367">
        <f>P349*P352/1000*'Initial Data'!$C$34/'Initial Data'!$C$33</f>
        <v>138986.56083161055</v>
      </c>
      <c r="Q354" s="367">
        <f>Q349*Q352/1000*'Initial Data'!$C$34/'Initial Data'!$C$33</f>
        <v>142711.40066189773</v>
      </c>
    </row>
    <row r="355" spans="1:17" ht="14.4">
      <c r="A355" s="370"/>
      <c r="B355" s="373"/>
      <c r="C355" s="373"/>
      <c r="D355" s="373"/>
      <c r="E355" s="373"/>
      <c r="F355" s="373"/>
      <c r="G355" s="373"/>
      <c r="H355" s="373"/>
      <c r="I355" s="373"/>
      <c r="J355" s="373"/>
      <c r="K355" s="373"/>
      <c r="L355" s="373"/>
      <c r="M355" s="373"/>
      <c r="N355" s="373"/>
      <c r="O355" s="373"/>
      <c r="P355" s="373"/>
      <c r="Q355" s="373"/>
    </row>
    <row r="356" spans="1:17" ht="14.4">
      <c r="A356" s="366" t="s">
        <v>295</v>
      </c>
      <c r="B356" s="378">
        <f>+SUM(C356:Q356)</f>
        <v>1790524.8581953994</v>
      </c>
      <c r="C356" s="367">
        <f>+C354</f>
        <v>98550</v>
      </c>
      <c r="D356" s="367">
        <f t="shared" ref="D356:Q356" si="84">+D354</f>
        <v>101191.14</v>
      </c>
      <c r="E356" s="367">
        <f t="shared" si="84"/>
        <v>103903.06255199999</v>
      </c>
      <c r="F356" s="367">
        <f t="shared" si="84"/>
        <v>106687.66462839357</v>
      </c>
      <c r="G356" s="367">
        <f t="shared" si="84"/>
        <v>109546.8940404345</v>
      </c>
      <c r="H356" s="367">
        <f t="shared" si="84"/>
        <v>112482.75080071818</v>
      </c>
      <c r="I356" s="367">
        <f t="shared" si="84"/>
        <v>115497.28852217742</v>
      </c>
      <c r="J356" s="367">
        <f t="shared" si="84"/>
        <v>118592.61585457173</v>
      </c>
      <c r="K356" s="367">
        <f t="shared" si="84"/>
        <v>121770.89795947427</v>
      </c>
      <c r="L356" s="367">
        <f t="shared" si="84"/>
        <v>125034.35802478818</v>
      </c>
      <c r="M356" s="367">
        <f t="shared" si="84"/>
        <v>128385.27881985246</v>
      </c>
      <c r="N356" s="367">
        <f t="shared" si="84"/>
        <v>131826.0042922245</v>
      </c>
      <c r="O356" s="367">
        <f t="shared" si="84"/>
        <v>135358.94120725611</v>
      </c>
      <c r="P356" s="367">
        <f t="shared" si="84"/>
        <v>138986.56083161055</v>
      </c>
      <c r="Q356" s="367">
        <f t="shared" si="84"/>
        <v>142711.40066189773</v>
      </c>
    </row>
    <row r="357" spans="1:17" ht="14.4">
      <c r="A357" s="370"/>
      <c r="B357" s="374"/>
      <c r="C357" s="374"/>
      <c r="D357" s="374"/>
      <c r="E357" s="374"/>
      <c r="F357" s="374"/>
      <c r="G357" s="374"/>
      <c r="H357" s="374"/>
      <c r="I357" s="374"/>
      <c r="J357" s="374"/>
      <c r="K357" s="374"/>
      <c r="L357" s="374"/>
      <c r="M357" s="374"/>
      <c r="N357" s="374"/>
      <c r="O357" s="374"/>
      <c r="P357" s="374"/>
      <c r="Q357" s="374"/>
    </row>
    <row r="358" spans="1:17" ht="14.4">
      <c r="A358" s="366" t="s">
        <v>68</v>
      </c>
      <c r="B358" s="368"/>
      <c r="C358" s="368"/>
      <c r="D358" s="368"/>
      <c r="E358" s="368"/>
      <c r="F358" s="368"/>
      <c r="G358" s="368"/>
      <c r="H358" s="368"/>
      <c r="I358" s="368"/>
      <c r="J358" s="368"/>
      <c r="K358" s="368"/>
      <c r="L358" s="368"/>
      <c r="M358" s="368"/>
      <c r="N358" s="368"/>
      <c r="O358" s="368"/>
      <c r="P358" s="368"/>
      <c r="Q358" s="368"/>
    </row>
    <row r="359" spans="1:17" ht="14.4">
      <c r="A359" s="366" t="s">
        <v>330</v>
      </c>
      <c r="B359" s="378">
        <f>+SUM(C359:Q359)</f>
        <v>19146.590673302009</v>
      </c>
      <c r="C359" s="381">
        <f>+Baseline_NaturalGas!D20*(1+$F$7)</f>
        <v>1053.8231302500001</v>
      </c>
      <c r="D359" s="381">
        <f>+Baseline_NaturalGas!E20*(1+$F$7)</f>
        <v>1082.0655901406999</v>
      </c>
      <c r="E359" s="381">
        <f>+Baseline_NaturalGas!F20*(1+$F$7)</f>
        <v>1111.0649479564706</v>
      </c>
      <c r="F359" s="381">
        <f>+Baseline_NaturalGas!G20*(1+$F$7)</f>
        <v>1140.841488561704</v>
      </c>
      <c r="G359" s="381">
        <f>+Baseline_NaturalGas!H20*(1+$F$7)</f>
        <v>1171.4160404551578</v>
      </c>
      <c r="H359" s="381">
        <f>+Baseline_NaturalGas!I20*(1+$F$7)</f>
        <v>1202.8099903393559</v>
      </c>
      <c r="I359" s="381">
        <f>+Baseline_NaturalGas!J20*(1+$F$7)</f>
        <v>1235.0452980804505</v>
      </c>
      <c r="J359" s="381">
        <f>+Baseline_NaturalGas!K20*(1+$F$7)</f>
        <v>1268.1445120690064</v>
      </c>
      <c r="K359" s="381">
        <f>+Baseline_NaturalGas!L20*(1+$F$7)</f>
        <v>1302.1307849924556</v>
      </c>
      <c r="L359" s="381">
        <f>+Baseline_NaturalGas!M20*(1+$F$7)</f>
        <v>1337.0278900302533</v>
      </c>
      <c r="M359" s="381">
        <f>+Baseline_NaturalGas!N20*(1+$F$7)</f>
        <v>1372.8602374830641</v>
      </c>
      <c r="N359" s="381">
        <f>+Baseline_NaturalGas!O20*(1+$F$7)</f>
        <v>1409.6528918476101</v>
      </c>
      <c r="O359" s="381">
        <f>+Baseline_NaturalGas!P20*(1+$F$7)</f>
        <v>1447.4315893491262</v>
      </c>
      <c r="P359" s="381">
        <f>+Baseline_NaturalGas!Q20*(1+$F$7)</f>
        <v>1486.2227559436826</v>
      </c>
      <c r="Q359" s="381">
        <f>+Baseline_NaturalGas!R20*(1+$F$7)</f>
        <v>1526.0535258029734</v>
      </c>
    </row>
    <row r="360" spans="1:17" ht="14.4">
      <c r="A360" s="370"/>
      <c r="B360" s="369"/>
      <c r="C360" s="369"/>
      <c r="D360" s="369"/>
      <c r="E360" s="369"/>
      <c r="F360" s="369"/>
      <c r="G360" s="369"/>
      <c r="H360" s="369"/>
      <c r="I360" s="369"/>
      <c r="J360" s="369"/>
      <c r="K360" s="369"/>
      <c r="L360" s="369"/>
      <c r="M360" s="369"/>
      <c r="N360" s="369"/>
      <c r="O360" s="369"/>
      <c r="P360" s="369"/>
      <c r="Q360" s="369"/>
    </row>
    <row r="361" spans="1:17" ht="14.4">
      <c r="A361" s="366" t="s">
        <v>71</v>
      </c>
      <c r="B361" s="379"/>
      <c r="C361" s="379"/>
      <c r="D361" s="379"/>
      <c r="E361" s="379"/>
      <c r="F361" s="379"/>
      <c r="G361" s="379"/>
      <c r="H361" s="379"/>
      <c r="I361" s="379"/>
      <c r="J361" s="379"/>
      <c r="K361" s="379"/>
      <c r="L361" s="379"/>
      <c r="M361" s="379"/>
      <c r="N361" s="379"/>
      <c r="O361" s="379"/>
      <c r="P361" s="379"/>
      <c r="Q361" s="379"/>
    </row>
    <row r="362" spans="1:17" ht="14.4">
      <c r="A362" s="370"/>
      <c r="B362" s="379"/>
      <c r="C362" s="379"/>
      <c r="D362" s="379"/>
      <c r="E362" s="379"/>
      <c r="F362" s="379"/>
      <c r="G362" s="379"/>
      <c r="H362" s="379"/>
      <c r="I362" s="379"/>
      <c r="J362" s="379"/>
      <c r="K362" s="379"/>
      <c r="L362" s="379"/>
      <c r="M362" s="379"/>
      <c r="N362" s="379"/>
      <c r="O362" s="379"/>
      <c r="P362" s="379"/>
      <c r="Q362" s="379"/>
    </row>
    <row r="363" spans="1:17" ht="14.4">
      <c r="A363" s="366" t="s">
        <v>64</v>
      </c>
      <c r="B363" s="373"/>
      <c r="C363" s="367">
        <f>+Baseline_NaturalGas!D24</f>
        <v>1656.5089715892002</v>
      </c>
      <c r="D363" s="367">
        <f>+Baseline_NaturalGas!E24</f>
        <v>1656.5089715892002</v>
      </c>
      <c r="E363" s="367">
        <f>+Baseline_NaturalGas!F24</f>
        <v>1656.5089715892002</v>
      </c>
      <c r="F363" s="367">
        <f>+Baseline_NaturalGas!G24</f>
        <v>1656.5089715892002</v>
      </c>
      <c r="G363" s="367">
        <f>+Baseline_NaturalGas!H24</f>
        <v>1656.5089715892002</v>
      </c>
      <c r="H363" s="367">
        <f>+Baseline_NaturalGas!I24</f>
        <v>1656.5089715892002</v>
      </c>
      <c r="I363" s="367">
        <f>+Baseline_NaturalGas!J24</f>
        <v>1656.5089715892002</v>
      </c>
      <c r="J363" s="367">
        <f>+Baseline_NaturalGas!K24</f>
        <v>1656.5089715892002</v>
      </c>
      <c r="K363" s="367">
        <f>+Baseline_NaturalGas!L24</f>
        <v>1656.5089715892002</v>
      </c>
      <c r="L363" s="367">
        <f>+Baseline_NaturalGas!M24</f>
        <v>1656.5089715892002</v>
      </c>
      <c r="M363" s="367">
        <f>+Baseline_NaturalGas!N24</f>
        <v>1656.5089715892002</v>
      </c>
      <c r="N363" s="367">
        <f>+Baseline_NaturalGas!O24</f>
        <v>1656.5089715892002</v>
      </c>
      <c r="O363" s="367">
        <f>+Baseline_NaturalGas!P24</f>
        <v>1656.5089715892002</v>
      </c>
      <c r="P363" s="367">
        <f>+Baseline_NaturalGas!Q24</f>
        <v>1656.5089715892002</v>
      </c>
      <c r="Q363" s="367">
        <f>+Baseline_NaturalGas!R24</f>
        <v>1656.5089715892002</v>
      </c>
    </row>
    <row r="364" spans="1:17" ht="14.4">
      <c r="A364" s="366" t="s">
        <v>108</v>
      </c>
      <c r="B364" s="387">
        <f>+Baseline_NaturalGas!C25</f>
        <v>0.90200000000000002</v>
      </c>
      <c r="C364" s="373"/>
      <c r="D364" s="373"/>
      <c r="E364" s="373"/>
      <c r="F364" s="373"/>
      <c r="G364" s="373"/>
      <c r="H364" s="373"/>
      <c r="I364" s="373"/>
      <c r="J364" s="373"/>
      <c r="K364" s="373"/>
      <c r="L364" s="373"/>
      <c r="M364" s="373"/>
      <c r="N364" s="373"/>
      <c r="O364" s="373"/>
      <c r="P364" s="373"/>
      <c r="Q364" s="373"/>
    </row>
    <row r="365" spans="1:17" ht="14.4">
      <c r="A365" s="366" t="s">
        <v>346</v>
      </c>
      <c r="B365" s="373"/>
      <c r="C365" s="367">
        <f>+Baseline_NaturalGas!D26</f>
        <v>1741816.7092883086</v>
      </c>
      <c r="D365" s="367">
        <f>+Baseline_NaturalGas!E26</f>
        <v>1741816.7092883086</v>
      </c>
      <c r="E365" s="367">
        <f>+Baseline_NaturalGas!F26</f>
        <v>1741816.7092883086</v>
      </c>
      <c r="F365" s="367">
        <f>+Baseline_NaturalGas!G26</f>
        <v>1741816.7092883086</v>
      </c>
      <c r="G365" s="367">
        <f>+Baseline_NaturalGas!H26</f>
        <v>1741816.7092883086</v>
      </c>
      <c r="H365" s="367">
        <f>+Baseline_NaturalGas!I26</f>
        <v>1741816.7092883086</v>
      </c>
      <c r="I365" s="367">
        <f>+Baseline_NaturalGas!J26</f>
        <v>1741816.7092883086</v>
      </c>
      <c r="J365" s="367">
        <f>+Baseline_NaturalGas!K26</f>
        <v>1741816.7092883086</v>
      </c>
      <c r="K365" s="367">
        <f>+Baseline_NaturalGas!L26</f>
        <v>1741816.7092883086</v>
      </c>
      <c r="L365" s="367">
        <f>+Baseline_NaturalGas!M26</f>
        <v>1741816.7092883086</v>
      </c>
      <c r="M365" s="367">
        <f>+Baseline_NaturalGas!N26</f>
        <v>1741816.7092883086</v>
      </c>
      <c r="N365" s="367">
        <f>+Baseline_NaturalGas!O26</f>
        <v>1741816.7092883086</v>
      </c>
      <c r="O365" s="367">
        <f>+Baseline_NaturalGas!P26</f>
        <v>1741816.7092883086</v>
      </c>
      <c r="P365" s="367">
        <f>+Baseline_NaturalGas!Q26</f>
        <v>1741816.7092883086</v>
      </c>
      <c r="Q365" s="367">
        <f>+Baseline_NaturalGas!R26</f>
        <v>1741816.7092883086</v>
      </c>
    </row>
    <row r="366" spans="1:17" ht="14.4">
      <c r="A366" s="366" t="s">
        <v>66</v>
      </c>
      <c r="B366" s="373"/>
      <c r="C366" s="367">
        <f>+Baseline_NaturalGas!D27</f>
        <v>5.6086944825694198</v>
      </c>
      <c r="D366" s="367">
        <f>+Baseline_NaturalGas!E27</f>
        <v>5.5051083831058802</v>
      </c>
      <c r="E366" s="367">
        <f>+Baseline_NaturalGas!F27</f>
        <v>5.61862622286578</v>
      </c>
      <c r="F366" s="367">
        <f>+Baseline_NaturalGas!G27</f>
        <v>5.8406487933251103</v>
      </c>
      <c r="G366" s="367">
        <f>+Baseline_NaturalGas!H27</f>
        <v>5.8453745748678001</v>
      </c>
      <c r="H366" s="367">
        <f>+Baseline_NaturalGas!I27</f>
        <v>6.0672099673130804</v>
      </c>
      <c r="I366" s="367">
        <f>+Baseline_NaturalGas!J27</f>
        <v>6.39755565092754</v>
      </c>
      <c r="J366" s="367">
        <f>+Baseline_NaturalGas!K27</f>
        <v>6.39755565092754</v>
      </c>
      <c r="K366" s="367">
        <f>+Baseline_NaturalGas!L27</f>
        <v>6.39755565092754</v>
      </c>
      <c r="L366" s="367">
        <f>+Baseline_NaturalGas!M27</f>
        <v>6.39755565092754</v>
      </c>
      <c r="M366" s="367">
        <f>+Baseline_NaturalGas!N27</f>
        <v>6.39755565092754</v>
      </c>
      <c r="N366" s="367">
        <f>+Baseline_NaturalGas!O27</f>
        <v>6.39755565092754</v>
      </c>
      <c r="O366" s="367">
        <f>+Baseline_NaturalGas!P27</f>
        <v>6.39755565092754</v>
      </c>
      <c r="P366" s="367">
        <f>+Baseline_NaturalGas!Q27</f>
        <v>6.39755565092754</v>
      </c>
      <c r="Q366" s="367">
        <f>+Baseline_NaturalGas!R27</f>
        <v>6.39755565092754</v>
      </c>
    </row>
    <row r="367" spans="1:17" ht="14.4">
      <c r="A367" s="370"/>
      <c r="B367" s="379"/>
      <c r="C367" s="379"/>
      <c r="D367" s="379"/>
      <c r="E367" s="379"/>
      <c r="F367" s="379"/>
      <c r="G367" s="379"/>
      <c r="H367" s="379"/>
      <c r="I367" s="379"/>
      <c r="J367" s="379"/>
      <c r="K367" s="379"/>
      <c r="L367" s="379"/>
      <c r="M367" s="379"/>
      <c r="N367" s="379"/>
      <c r="O367" s="379"/>
      <c r="P367" s="379"/>
      <c r="Q367" s="379"/>
    </row>
    <row r="368" spans="1:17" ht="14.4">
      <c r="A368" s="366" t="s">
        <v>102</v>
      </c>
      <c r="B368" s="378">
        <f t="shared" ref="B368" si="85">+SUM(C368:Q368)</f>
        <v>160358.02702356796</v>
      </c>
      <c r="C368" s="375">
        <f>+C365*C366/1000</f>
        <v>9769.3177670325604</v>
      </c>
      <c r="D368" s="375">
        <f>+D365*D366/1000</f>
        <v>9588.8897681369654</v>
      </c>
      <c r="E368" s="375">
        <f t="shared" ref="E368:Q368" si="86">+E365*E366/1000</f>
        <v>9786.6170382330711</v>
      </c>
      <c r="F368" s="375">
        <f t="shared" si="86"/>
        <v>10173.339661298274</v>
      </c>
      <c r="G368" s="375">
        <f t="shared" si="86"/>
        <v>10181.571106553778</v>
      </c>
      <c r="H368" s="375">
        <f t="shared" si="86"/>
        <v>10567.967699826495</v>
      </c>
      <c r="I368" s="375">
        <f t="shared" si="86"/>
        <v>11143.36933138743</v>
      </c>
      <c r="J368" s="375">
        <f t="shared" si="86"/>
        <v>11143.36933138743</v>
      </c>
      <c r="K368" s="375">
        <f t="shared" si="86"/>
        <v>11143.36933138743</v>
      </c>
      <c r="L368" s="375">
        <f t="shared" si="86"/>
        <v>11143.36933138743</v>
      </c>
      <c r="M368" s="375">
        <f t="shared" si="86"/>
        <v>11143.36933138743</v>
      </c>
      <c r="N368" s="375">
        <f t="shared" si="86"/>
        <v>11143.36933138743</v>
      </c>
      <c r="O368" s="375">
        <f t="shared" si="86"/>
        <v>11143.36933138743</v>
      </c>
      <c r="P368" s="375">
        <f t="shared" si="86"/>
        <v>11143.36933138743</v>
      </c>
      <c r="Q368" s="375">
        <f t="shared" si="86"/>
        <v>11143.36933138743</v>
      </c>
    </row>
    <row r="369" spans="1:17" ht="14.4">
      <c r="A369" s="370"/>
      <c r="B369" s="373"/>
      <c r="C369" s="373"/>
      <c r="D369" s="373"/>
      <c r="E369" s="373"/>
      <c r="F369" s="373"/>
      <c r="G369" s="373"/>
      <c r="H369" s="373"/>
      <c r="I369" s="373"/>
      <c r="J369" s="373"/>
      <c r="K369" s="373"/>
      <c r="L369" s="373"/>
      <c r="M369" s="373"/>
      <c r="N369" s="373"/>
      <c r="O369" s="373"/>
      <c r="P369" s="373"/>
      <c r="Q369" s="373"/>
    </row>
    <row r="370" spans="1:17" ht="14.4">
      <c r="A370" s="370"/>
      <c r="B370" s="379"/>
      <c r="C370" s="379"/>
      <c r="D370" s="379"/>
      <c r="E370" s="379"/>
      <c r="F370" s="379"/>
      <c r="G370" s="379"/>
      <c r="H370" s="379"/>
      <c r="I370" s="379"/>
      <c r="J370" s="379"/>
      <c r="K370" s="379"/>
      <c r="L370" s="379"/>
      <c r="M370" s="379"/>
      <c r="N370" s="379"/>
      <c r="O370" s="379"/>
      <c r="P370" s="379"/>
      <c r="Q370" s="379"/>
    </row>
    <row r="371" spans="1:17" ht="14.4">
      <c r="A371" s="366" t="s">
        <v>101</v>
      </c>
      <c r="B371" s="373"/>
      <c r="C371" s="375">
        <f>+C368+C359</f>
        <v>10823.140897282561</v>
      </c>
      <c r="D371" s="375">
        <f t="shared" ref="D371:Q371" si="87">+D368+D359</f>
        <v>10670.955358277664</v>
      </c>
      <c r="E371" s="375">
        <f t="shared" si="87"/>
        <v>10897.681986189542</v>
      </c>
      <c r="F371" s="375">
        <f t="shared" si="87"/>
        <v>11314.181149859978</v>
      </c>
      <c r="G371" s="375">
        <f t="shared" si="87"/>
        <v>11352.987147008937</v>
      </c>
      <c r="H371" s="375">
        <f t="shared" si="87"/>
        <v>11770.777690165851</v>
      </c>
      <c r="I371" s="375">
        <f t="shared" si="87"/>
        <v>12378.414629467881</v>
      </c>
      <c r="J371" s="375">
        <f t="shared" si="87"/>
        <v>12411.513843456436</v>
      </c>
      <c r="K371" s="375">
        <f t="shared" si="87"/>
        <v>12445.500116379886</v>
      </c>
      <c r="L371" s="375">
        <f t="shared" si="87"/>
        <v>12480.397221417683</v>
      </c>
      <c r="M371" s="375">
        <f t="shared" si="87"/>
        <v>12516.229568870494</v>
      </c>
      <c r="N371" s="375">
        <f t="shared" si="87"/>
        <v>12553.022223235041</v>
      </c>
      <c r="O371" s="375">
        <f t="shared" si="87"/>
        <v>12590.800920736556</v>
      </c>
      <c r="P371" s="375">
        <f t="shared" si="87"/>
        <v>12629.592087331113</v>
      </c>
      <c r="Q371" s="375">
        <f t="shared" si="87"/>
        <v>12669.422857190404</v>
      </c>
    </row>
    <row r="372" spans="1:17" ht="14.4">
      <c r="A372" s="370"/>
      <c r="B372" s="379"/>
      <c r="C372" s="379"/>
      <c r="D372" s="379"/>
      <c r="E372" s="379"/>
      <c r="F372" s="379"/>
      <c r="G372" s="379"/>
      <c r="H372" s="379"/>
      <c r="I372" s="379"/>
      <c r="J372" s="379"/>
      <c r="K372" s="379"/>
      <c r="L372" s="379"/>
      <c r="M372" s="379"/>
      <c r="N372" s="379"/>
      <c r="O372" s="379"/>
      <c r="P372" s="379"/>
      <c r="Q372" s="379"/>
    </row>
    <row r="373" spans="1:17" ht="14.4">
      <c r="A373" s="366" t="s">
        <v>73</v>
      </c>
      <c r="B373" s="378">
        <f>+SUM(C373:Q373)</f>
        <v>11487.524395535713</v>
      </c>
      <c r="C373" s="367">
        <f>+Baseline_NaturalGas!$D$5/'Initial Data'!$C$19</f>
        <v>1148.7524395535715</v>
      </c>
      <c r="D373" s="367">
        <f>+Baseline_NaturalGas!$D$5/'Initial Data'!$C$19</f>
        <v>1148.7524395535715</v>
      </c>
      <c r="E373" s="367">
        <f>+Baseline_NaturalGas!$D$5/'Initial Data'!$C$19</f>
        <v>1148.7524395535715</v>
      </c>
      <c r="F373" s="367">
        <f>+Baseline_NaturalGas!$D$5/'Initial Data'!$C$19</f>
        <v>1148.7524395535715</v>
      </c>
      <c r="G373" s="367">
        <f>+Baseline_NaturalGas!$D$5/'Initial Data'!$C$19</f>
        <v>1148.7524395535715</v>
      </c>
      <c r="H373" s="367">
        <f>+Baseline_NaturalGas!$D$5/'Initial Data'!$C$19</f>
        <v>1148.7524395535715</v>
      </c>
      <c r="I373" s="367">
        <f>+Baseline_NaturalGas!$D$5/'Initial Data'!$C$19</f>
        <v>1148.7524395535715</v>
      </c>
      <c r="J373" s="367">
        <f>+Baseline_NaturalGas!$D$5/'Initial Data'!$C$19</f>
        <v>1148.7524395535715</v>
      </c>
      <c r="K373" s="367">
        <f>+Baseline_NaturalGas!$D$5/'Initial Data'!$C$19</f>
        <v>1148.7524395535715</v>
      </c>
      <c r="L373" s="367">
        <f>+Baseline_NaturalGas!$D$5/'Initial Data'!$C$19</f>
        <v>1148.7524395535715</v>
      </c>
      <c r="M373" s="367">
        <v>0</v>
      </c>
      <c r="N373" s="367">
        <v>0</v>
      </c>
      <c r="O373" s="367">
        <v>0</v>
      </c>
      <c r="P373" s="367">
        <v>0</v>
      </c>
      <c r="Q373" s="367">
        <v>0</v>
      </c>
    </row>
    <row r="374" spans="1:17" ht="14.4">
      <c r="A374" s="366" t="s">
        <v>74</v>
      </c>
      <c r="B374" s="378">
        <f>+SUM(C374:Q374)</f>
        <v>11487.524395535713</v>
      </c>
      <c r="C374" s="367">
        <f>SUM(C373:C373)</f>
        <v>1148.7524395535715</v>
      </c>
      <c r="D374" s="367">
        <f t="shared" ref="D374:Q374" si="88">SUM(D373:D373)</f>
        <v>1148.7524395535715</v>
      </c>
      <c r="E374" s="367">
        <f t="shared" si="88"/>
        <v>1148.7524395535715</v>
      </c>
      <c r="F374" s="367">
        <f t="shared" si="88"/>
        <v>1148.7524395535715</v>
      </c>
      <c r="G374" s="367">
        <f t="shared" si="88"/>
        <v>1148.7524395535715</v>
      </c>
      <c r="H374" s="367">
        <f t="shared" si="88"/>
        <v>1148.7524395535715</v>
      </c>
      <c r="I374" s="367">
        <f t="shared" si="88"/>
        <v>1148.7524395535715</v>
      </c>
      <c r="J374" s="367">
        <f t="shared" si="88"/>
        <v>1148.7524395535715</v>
      </c>
      <c r="K374" s="367">
        <f t="shared" si="88"/>
        <v>1148.7524395535715</v>
      </c>
      <c r="L374" s="367">
        <f t="shared" si="88"/>
        <v>1148.7524395535715</v>
      </c>
      <c r="M374" s="367">
        <f t="shared" si="88"/>
        <v>0</v>
      </c>
      <c r="N374" s="367">
        <f t="shared" si="88"/>
        <v>0</v>
      </c>
      <c r="O374" s="367">
        <f t="shared" si="88"/>
        <v>0</v>
      </c>
      <c r="P374" s="367">
        <f t="shared" si="88"/>
        <v>0</v>
      </c>
      <c r="Q374" s="367">
        <f t="shared" si="88"/>
        <v>0</v>
      </c>
    </row>
    <row r="375" spans="1:17" ht="14.4">
      <c r="A375" s="90"/>
      <c r="B375" s="388"/>
      <c r="C375" s="373"/>
      <c r="D375" s="373"/>
      <c r="E375" s="373"/>
      <c r="F375" s="373"/>
      <c r="G375" s="373"/>
      <c r="H375" s="373"/>
      <c r="I375" s="373"/>
      <c r="J375" s="373"/>
      <c r="K375" s="373"/>
      <c r="L375" s="373"/>
      <c r="M375" s="373"/>
      <c r="N375" s="373"/>
      <c r="O375" s="373"/>
      <c r="P375" s="373"/>
      <c r="Q375" s="373"/>
    </row>
    <row r="376" spans="1:17" ht="14.4">
      <c r="A376" s="366" t="s">
        <v>75</v>
      </c>
      <c r="B376" s="378">
        <f>+SUM(C376:Q376)</f>
        <v>190992.14209240576</v>
      </c>
      <c r="C376" s="367">
        <f>+C371+C374</f>
        <v>11971.893336836132</v>
      </c>
      <c r="D376" s="367">
        <f t="shared" ref="D376:Q376" si="89">+D371+D374</f>
        <v>11819.707797831235</v>
      </c>
      <c r="E376" s="367">
        <f t="shared" si="89"/>
        <v>12046.434425743113</v>
      </c>
      <c r="F376" s="367">
        <f t="shared" si="89"/>
        <v>12462.933589413549</v>
      </c>
      <c r="G376" s="367">
        <f t="shared" si="89"/>
        <v>12501.739586562508</v>
      </c>
      <c r="H376" s="367">
        <f t="shared" si="89"/>
        <v>12919.530129719422</v>
      </c>
      <c r="I376" s="367">
        <f t="shared" si="89"/>
        <v>13527.167069021452</v>
      </c>
      <c r="J376" s="367">
        <f t="shared" si="89"/>
        <v>13560.266283010007</v>
      </c>
      <c r="K376" s="367">
        <f t="shared" si="89"/>
        <v>13594.252555933457</v>
      </c>
      <c r="L376" s="367">
        <f t="shared" si="89"/>
        <v>13629.149660971254</v>
      </c>
      <c r="M376" s="367">
        <f t="shared" si="89"/>
        <v>12516.229568870494</v>
      </c>
      <c r="N376" s="367">
        <f t="shared" si="89"/>
        <v>12553.022223235041</v>
      </c>
      <c r="O376" s="367">
        <f t="shared" si="89"/>
        <v>12590.800920736556</v>
      </c>
      <c r="P376" s="367">
        <f t="shared" si="89"/>
        <v>12629.592087331113</v>
      </c>
      <c r="Q376" s="367">
        <f t="shared" si="89"/>
        <v>12669.422857190404</v>
      </c>
    </row>
    <row r="377" spans="1:17">
      <c r="A377" s="74"/>
    </row>
    <row r="378" spans="1:17" ht="14.4">
      <c r="A378" s="366" t="s">
        <v>76</v>
      </c>
      <c r="B378" s="378">
        <f>+SUM(C378:Q378)</f>
        <v>1599532.7161029936</v>
      </c>
      <c r="C378" s="367">
        <f>+C356-C376</f>
        <v>86578.106663163868</v>
      </c>
      <c r="D378" s="367">
        <f t="shared" ref="D378:Q378" si="90">+D356-D376</f>
        <v>89371.432202168769</v>
      </c>
      <c r="E378" s="367">
        <f t="shared" si="90"/>
        <v>91856.628126256881</v>
      </c>
      <c r="F378" s="367">
        <f t="shared" si="90"/>
        <v>94224.731038980026</v>
      </c>
      <c r="G378" s="367">
        <f t="shared" si="90"/>
        <v>97045.154453872005</v>
      </c>
      <c r="H378" s="367">
        <f t="shared" si="90"/>
        <v>99563.220670998751</v>
      </c>
      <c r="I378" s="367">
        <f t="shared" si="90"/>
        <v>101970.12145315597</v>
      </c>
      <c r="J378" s="367">
        <f t="shared" si="90"/>
        <v>105032.34957156173</v>
      </c>
      <c r="K378" s="367">
        <f t="shared" si="90"/>
        <v>108176.64540354081</v>
      </c>
      <c r="L378" s="367">
        <f t="shared" si="90"/>
        <v>111405.20836381693</v>
      </c>
      <c r="M378" s="367">
        <f t="shared" si="90"/>
        <v>115869.04925098197</v>
      </c>
      <c r="N378" s="367">
        <f t="shared" si="90"/>
        <v>119272.98206898947</v>
      </c>
      <c r="O378" s="367">
        <f t="shared" si="90"/>
        <v>122768.14028651956</v>
      </c>
      <c r="P378" s="367">
        <f t="shared" si="90"/>
        <v>126356.96874427944</v>
      </c>
      <c r="Q378" s="367">
        <f t="shared" si="90"/>
        <v>130041.97780470732</v>
      </c>
    </row>
    <row r="379" spans="1:17" ht="14.4">
      <c r="A379" s="369"/>
      <c r="B379" s="373"/>
      <c r="C379" s="373"/>
      <c r="D379" s="373"/>
      <c r="E379" s="373"/>
      <c r="F379" s="373"/>
      <c r="G379" s="373"/>
      <c r="H379" s="373"/>
      <c r="I379" s="373"/>
      <c r="J379" s="373"/>
      <c r="K379" s="373"/>
      <c r="L379" s="373"/>
      <c r="M379" s="373"/>
      <c r="N379" s="373"/>
      <c r="O379" s="373"/>
      <c r="P379" s="373"/>
      <c r="Q379" s="373"/>
    </row>
    <row r="380" spans="1:17" ht="14.4">
      <c r="A380" s="366" t="s">
        <v>222</v>
      </c>
      <c r="B380" s="380">
        <f>+Baseline_NaturalGas!C43</f>
        <v>0.7</v>
      </c>
      <c r="C380" s="367">
        <f>IF((+$B$380*C378)&lt;0,"0",(+$B$380*C378))</f>
        <v>60604.674664214705</v>
      </c>
      <c r="D380" s="367">
        <f>IF((+$B$380*D378)&lt;0,"0",(+$B$380*D378))</f>
        <v>62560.002541518137</v>
      </c>
      <c r="E380" s="367">
        <f t="shared" ref="E380:Q380" si="91">IF((+$B$380*E378)&lt;0,"0",(+$B$380*E378))</f>
        <v>64299.639688379815</v>
      </c>
      <c r="F380" s="367">
        <f t="shared" si="91"/>
        <v>65957.311727286011</v>
      </c>
      <c r="G380" s="367">
        <f t="shared" si="91"/>
        <v>67931.608117710406</v>
      </c>
      <c r="H380" s="367">
        <f t="shared" si="91"/>
        <v>69694.254469699124</v>
      </c>
      <c r="I380" s="367">
        <f t="shared" si="91"/>
        <v>71379.085017209174</v>
      </c>
      <c r="J380" s="367">
        <f t="shared" si="91"/>
        <v>73522.644700093209</v>
      </c>
      <c r="K380" s="367">
        <f t="shared" si="91"/>
        <v>75723.651782478555</v>
      </c>
      <c r="L380" s="367">
        <f t="shared" si="91"/>
        <v>77983.64585467185</v>
      </c>
      <c r="M380" s="367">
        <f t="shared" si="91"/>
        <v>81108.33447568737</v>
      </c>
      <c r="N380" s="367">
        <f t="shared" si="91"/>
        <v>83491.08744829263</v>
      </c>
      <c r="O380" s="367">
        <f t="shared" si="91"/>
        <v>85937.698200563682</v>
      </c>
      <c r="P380" s="367">
        <f t="shared" si="91"/>
        <v>88449.878120995607</v>
      </c>
      <c r="Q380" s="367">
        <f t="shared" si="91"/>
        <v>91029.384463295122</v>
      </c>
    </row>
    <row r="381" spans="1:17" ht="14.4">
      <c r="A381" s="366" t="s">
        <v>77</v>
      </c>
      <c r="B381" s="378">
        <f>+SUM(C381:Q381)</f>
        <v>1119672.9012720955</v>
      </c>
      <c r="C381" s="367">
        <f>SUM(C380:C380)</f>
        <v>60604.674664214705</v>
      </c>
      <c r="D381" s="367">
        <f t="shared" ref="D381:Q381" si="92">SUM(D380:D380)</f>
        <v>62560.002541518137</v>
      </c>
      <c r="E381" s="367">
        <f t="shared" si="92"/>
        <v>64299.639688379815</v>
      </c>
      <c r="F381" s="367">
        <f t="shared" si="92"/>
        <v>65957.311727286011</v>
      </c>
      <c r="G381" s="367">
        <f t="shared" si="92"/>
        <v>67931.608117710406</v>
      </c>
      <c r="H381" s="367">
        <f t="shared" si="92"/>
        <v>69694.254469699124</v>
      </c>
      <c r="I381" s="367">
        <f t="shared" si="92"/>
        <v>71379.085017209174</v>
      </c>
      <c r="J381" s="367">
        <f t="shared" si="92"/>
        <v>73522.644700093209</v>
      </c>
      <c r="K381" s="367">
        <f t="shared" si="92"/>
        <v>75723.651782478555</v>
      </c>
      <c r="L381" s="367">
        <f t="shared" si="92"/>
        <v>77983.64585467185</v>
      </c>
      <c r="M381" s="367">
        <f t="shared" si="92"/>
        <v>81108.33447568737</v>
      </c>
      <c r="N381" s="367">
        <f t="shared" si="92"/>
        <v>83491.08744829263</v>
      </c>
      <c r="O381" s="367">
        <f t="shared" si="92"/>
        <v>85937.698200563682</v>
      </c>
      <c r="P381" s="367">
        <f t="shared" si="92"/>
        <v>88449.878120995607</v>
      </c>
      <c r="Q381" s="367">
        <f t="shared" si="92"/>
        <v>91029.384463295122</v>
      </c>
    </row>
    <row r="382" spans="1:17" ht="14.4">
      <c r="A382" s="369"/>
      <c r="B382" s="373"/>
      <c r="C382" s="373"/>
      <c r="D382" s="373"/>
      <c r="E382" s="373"/>
      <c r="F382" s="373"/>
      <c r="G382" s="373"/>
      <c r="H382" s="373"/>
      <c r="I382" s="373"/>
      <c r="J382" s="373"/>
      <c r="K382" s="373"/>
      <c r="L382" s="373"/>
      <c r="M382" s="373"/>
      <c r="N382" s="373"/>
      <c r="O382" s="373"/>
      <c r="P382" s="373"/>
      <c r="Q382" s="373"/>
    </row>
    <row r="383" spans="1:17" ht="14.4">
      <c r="A383" s="366" t="s">
        <v>78</v>
      </c>
      <c r="B383" s="378">
        <f>+SUM(C383:Q383)</f>
        <v>479859.81483089802</v>
      </c>
      <c r="C383" s="367">
        <f>+C378-C381</f>
        <v>25973.431998949163</v>
      </c>
      <c r="D383" s="367">
        <f t="shared" ref="D383:Q383" si="93">+D378-D381</f>
        <v>26811.429660650632</v>
      </c>
      <c r="E383" s="367">
        <f t="shared" si="93"/>
        <v>27556.988437877066</v>
      </c>
      <c r="F383" s="367">
        <f t="shared" si="93"/>
        <v>28267.419311694015</v>
      </c>
      <c r="G383" s="367">
        <f t="shared" si="93"/>
        <v>29113.546336161598</v>
      </c>
      <c r="H383" s="367">
        <f t="shared" si="93"/>
        <v>29868.966201299627</v>
      </c>
      <c r="I383" s="367">
        <f t="shared" si="93"/>
        <v>30591.036435946793</v>
      </c>
      <c r="J383" s="367">
        <f t="shared" si="93"/>
        <v>31509.704871468522</v>
      </c>
      <c r="K383" s="367">
        <f t="shared" si="93"/>
        <v>32452.993621062255</v>
      </c>
      <c r="L383" s="367">
        <f t="shared" si="93"/>
        <v>33421.562509145078</v>
      </c>
      <c r="M383" s="367">
        <f t="shared" si="93"/>
        <v>34760.714775294604</v>
      </c>
      <c r="N383" s="367">
        <f t="shared" si="93"/>
        <v>35781.894620696839</v>
      </c>
      <c r="O383" s="367">
        <f t="shared" si="93"/>
        <v>36830.442085955874</v>
      </c>
      <c r="P383" s="367">
        <f t="shared" si="93"/>
        <v>37907.090623283832</v>
      </c>
      <c r="Q383" s="367">
        <f t="shared" si="93"/>
        <v>39012.593341412197</v>
      </c>
    </row>
    <row r="384" spans="1:17" ht="14.4">
      <c r="A384" s="395" t="s">
        <v>331</v>
      </c>
      <c r="B384" s="378">
        <f>+SUM(C384:Q384)</f>
        <v>11487.524395535713</v>
      </c>
      <c r="C384" s="377">
        <f>+C373</f>
        <v>1148.7524395535715</v>
      </c>
      <c r="D384" s="377">
        <f t="shared" ref="D384:Q384" si="94">+D373</f>
        <v>1148.7524395535715</v>
      </c>
      <c r="E384" s="377">
        <f t="shared" si="94"/>
        <v>1148.7524395535715</v>
      </c>
      <c r="F384" s="377">
        <f t="shared" si="94"/>
        <v>1148.7524395535715</v>
      </c>
      <c r="G384" s="377">
        <f t="shared" si="94"/>
        <v>1148.7524395535715</v>
      </c>
      <c r="H384" s="377">
        <f t="shared" si="94"/>
        <v>1148.7524395535715</v>
      </c>
      <c r="I384" s="377">
        <f t="shared" si="94"/>
        <v>1148.7524395535715</v>
      </c>
      <c r="J384" s="377">
        <f t="shared" si="94"/>
        <v>1148.7524395535715</v>
      </c>
      <c r="K384" s="377">
        <f t="shared" si="94"/>
        <v>1148.7524395535715</v>
      </c>
      <c r="L384" s="377">
        <f t="shared" si="94"/>
        <v>1148.7524395535715</v>
      </c>
      <c r="M384" s="377">
        <f t="shared" si="94"/>
        <v>0</v>
      </c>
      <c r="N384" s="377">
        <f t="shared" si="94"/>
        <v>0</v>
      </c>
      <c r="O384" s="377">
        <f t="shared" si="94"/>
        <v>0</v>
      </c>
      <c r="P384" s="377">
        <f t="shared" si="94"/>
        <v>0</v>
      </c>
      <c r="Q384" s="377">
        <f t="shared" si="94"/>
        <v>0</v>
      </c>
    </row>
    <row r="385" spans="1:17" ht="14.4">
      <c r="A385" s="395" t="s">
        <v>332</v>
      </c>
      <c r="B385" s="378">
        <f>+Baseline_NaturalGas!C363</f>
        <v>0</v>
      </c>
      <c r="C385" s="367">
        <f>+Baseline_NaturalGas!D363</f>
        <v>0</v>
      </c>
      <c r="D385" s="367">
        <f>+Baseline_NaturalGas!E363</f>
        <v>0</v>
      </c>
      <c r="E385" s="367">
        <f>+Baseline_NaturalGas!F363</f>
        <v>0</v>
      </c>
      <c r="F385" s="367">
        <f>+Baseline_NaturalGas!G363</f>
        <v>0</v>
      </c>
      <c r="G385" s="367">
        <f>+Baseline_NaturalGas!H363</f>
        <v>0</v>
      </c>
      <c r="H385" s="367">
        <f>+Baseline_NaturalGas!I363</f>
        <v>0</v>
      </c>
      <c r="I385" s="367">
        <f>+Baseline_NaturalGas!J363</f>
        <v>0</v>
      </c>
      <c r="J385" s="367">
        <f>+Baseline_NaturalGas!K363</f>
        <v>0</v>
      </c>
      <c r="K385" s="367">
        <f>+Baseline_NaturalGas!L363</f>
        <v>0</v>
      </c>
      <c r="L385" s="367">
        <f>+Baseline_NaturalGas!M363</f>
        <v>0</v>
      </c>
      <c r="M385" s="367">
        <f>+Baseline_NaturalGas!N363</f>
        <v>0</v>
      </c>
      <c r="N385" s="367">
        <f>+Baseline_NaturalGas!O363</f>
        <v>0</v>
      </c>
      <c r="O385" s="367">
        <f>+Baseline_NaturalGas!P363</f>
        <v>0</v>
      </c>
      <c r="P385" s="367">
        <f>+Baseline_NaturalGas!Q363</f>
        <v>0</v>
      </c>
      <c r="Q385" s="367">
        <f>+Baseline_NaturalGas!R363</f>
        <v>0</v>
      </c>
    </row>
    <row r="386" spans="1:17" ht="14.4">
      <c r="A386" s="510"/>
      <c r="B386" s="511"/>
      <c r="C386" s="511"/>
      <c r="D386" s="511"/>
      <c r="E386" s="511"/>
      <c r="F386" s="511"/>
      <c r="G386" s="511"/>
      <c r="H386" s="511"/>
      <c r="I386" s="511"/>
      <c r="J386" s="511"/>
      <c r="K386" s="511"/>
      <c r="L386" s="511"/>
      <c r="M386" s="511"/>
      <c r="N386" s="511"/>
      <c r="O386" s="511"/>
      <c r="P386" s="511"/>
      <c r="Q386" s="511"/>
    </row>
    <row r="387" spans="1:17" ht="14.4">
      <c r="A387" s="366" t="s">
        <v>110</v>
      </c>
      <c r="B387" s="378">
        <f>-Baseline_NaturalGas!$D$5</f>
        <v>-11487.524395535715</v>
      </c>
      <c r="C387" s="367">
        <f>+C383+C384+C385</f>
        <v>27122.184438502736</v>
      </c>
      <c r="D387" s="367">
        <f t="shared" ref="D387:Q387" si="95">+D383+D384+D385</f>
        <v>27960.182100204205</v>
      </c>
      <c r="E387" s="367">
        <f t="shared" si="95"/>
        <v>28705.740877430639</v>
      </c>
      <c r="F387" s="367">
        <f t="shared" si="95"/>
        <v>29416.171751247588</v>
      </c>
      <c r="G387" s="367">
        <f t="shared" si="95"/>
        <v>30262.298775715171</v>
      </c>
      <c r="H387" s="367">
        <f t="shared" si="95"/>
        <v>31017.7186408532</v>
      </c>
      <c r="I387" s="367">
        <f t="shared" si="95"/>
        <v>31739.788875500366</v>
      </c>
      <c r="J387" s="367">
        <f t="shared" si="95"/>
        <v>32658.457311022095</v>
      </c>
      <c r="K387" s="367">
        <f t="shared" si="95"/>
        <v>33601.746060615827</v>
      </c>
      <c r="L387" s="367">
        <f t="shared" si="95"/>
        <v>34570.314948698651</v>
      </c>
      <c r="M387" s="367">
        <f t="shared" si="95"/>
        <v>34760.714775294604</v>
      </c>
      <c r="N387" s="367">
        <f t="shared" si="95"/>
        <v>35781.894620696839</v>
      </c>
      <c r="O387" s="367">
        <f t="shared" si="95"/>
        <v>36830.442085955874</v>
      </c>
      <c r="P387" s="367">
        <f t="shared" si="95"/>
        <v>37907.090623283832</v>
      </c>
      <c r="Q387" s="367">
        <f t="shared" si="95"/>
        <v>39012.593341412197</v>
      </c>
    </row>
    <row r="388" spans="1:17" ht="15.6">
      <c r="A388" s="366" t="s">
        <v>51</v>
      </c>
      <c r="B388" s="132">
        <f>IRR(B387:Q387)</f>
        <v>2.3905273408836125</v>
      </c>
      <c r="C388" s="390"/>
      <c r="D388" s="390"/>
      <c r="E388" s="390"/>
      <c r="F388" s="390"/>
      <c r="G388" s="390"/>
      <c r="H388" s="390"/>
      <c r="I388" s="390"/>
      <c r="J388" s="390"/>
      <c r="K388" s="390"/>
      <c r="L388" s="390"/>
      <c r="M388" s="390"/>
      <c r="N388" s="390"/>
      <c r="O388" s="390"/>
      <c r="P388" s="390"/>
      <c r="Q388" s="390"/>
    </row>
    <row r="389" spans="1:17" ht="15.6">
      <c r="A389" s="366" t="s">
        <v>267</v>
      </c>
      <c r="B389" s="303">
        <f>NPV('Initial Data'!$C$21/100,B387:Q387)</f>
        <v>178864.78793894453</v>
      </c>
      <c r="C389" s="373"/>
      <c r="D389" s="373"/>
      <c r="E389" s="373"/>
      <c r="F389" s="373"/>
      <c r="G389" s="373"/>
      <c r="H389" s="373"/>
      <c r="I389" s="373"/>
      <c r="J389" s="373"/>
      <c r="K389" s="373"/>
      <c r="L389" s="373"/>
      <c r="M389" s="373"/>
      <c r="N389" s="373"/>
      <c r="O389" s="373"/>
      <c r="P389" s="373"/>
      <c r="Q389" s="373"/>
    </row>
    <row r="390" spans="1:17" ht="14.4">
      <c r="A390" s="370"/>
      <c r="B390" s="369"/>
      <c r="C390" s="382"/>
      <c r="D390" s="369"/>
      <c r="E390" s="369"/>
      <c r="F390" s="369"/>
      <c r="G390" s="369"/>
      <c r="H390" s="369"/>
      <c r="I390" s="369"/>
      <c r="J390" s="369"/>
      <c r="K390" s="369"/>
      <c r="L390" s="369"/>
      <c r="M390" s="369"/>
      <c r="N390" s="369"/>
      <c r="O390" s="369"/>
      <c r="P390" s="369"/>
      <c r="Q390" s="369"/>
    </row>
    <row r="391" spans="1:17" ht="14.4">
      <c r="A391" s="508" t="s">
        <v>336</v>
      </c>
      <c r="B391" s="509"/>
      <c r="C391" s="509"/>
      <c r="D391" s="509"/>
      <c r="E391" s="509"/>
      <c r="F391" s="509"/>
      <c r="G391" s="509"/>
      <c r="H391" s="509"/>
      <c r="I391" s="509"/>
      <c r="J391" s="509"/>
      <c r="K391" s="509"/>
      <c r="L391" s="509"/>
      <c r="M391" s="509"/>
      <c r="N391" s="509"/>
      <c r="O391" s="509"/>
      <c r="P391" s="509"/>
      <c r="Q391" s="509"/>
    </row>
    <row r="392" spans="1:17" ht="14.4">
      <c r="A392" s="371" t="s">
        <v>316</v>
      </c>
      <c r="B392" s="372"/>
      <c r="C392" s="372"/>
      <c r="D392" s="372"/>
      <c r="E392" s="372"/>
      <c r="F392" s="372"/>
      <c r="G392" s="372"/>
      <c r="H392" s="372"/>
      <c r="I392" s="372"/>
      <c r="J392" s="372"/>
      <c r="K392" s="372"/>
      <c r="L392" s="372"/>
      <c r="M392" s="372"/>
      <c r="N392" s="372"/>
      <c r="O392" s="372"/>
      <c r="P392" s="372"/>
      <c r="Q392" s="372"/>
    </row>
    <row r="393" spans="1:17" ht="27">
      <c r="A393" s="376"/>
      <c r="B393" s="304" t="s">
        <v>35</v>
      </c>
      <c r="C393" s="352" t="s">
        <v>407</v>
      </c>
      <c r="D393" s="352" t="s">
        <v>408</v>
      </c>
      <c r="E393" s="352" t="s">
        <v>409</v>
      </c>
      <c r="F393" s="352" t="s">
        <v>410</v>
      </c>
      <c r="G393" s="352" t="s">
        <v>411</v>
      </c>
      <c r="H393" s="352" t="s">
        <v>412</v>
      </c>
      <c r="I393" s="352" t="s">
        <v>413</v>
      </c>
      <c r="J393" s="352" t="s">
        <v>414</v>
      </c>
      <c r="K393" s="352" t="s">
        <v>415</v>
      </c>
      <c r="L393" s="352" t="s">
        <v>416</v>
      </c>
      <c r="M393" s="352" t="s">
        <v>417</v>
      </c>
      <c r="N393" s="352" t="s">
        <v>418</v>
      </c>
      <c r="O393" s="352" t="s">
        <v>419</v>
      </c>
      <c r="P393" s="352" t="s">
        <v>420</v>
      </c>
      <c r="Q393" s="352" t="s">
        <v>421</v>
      </c>
    </row>
    <row r="394" spans="1:17" ht="14.4">
      <c r="A394" s="363" t="s">
        <v>290</v>
      </c>
      <c r="B394" s="365"/>
      <c r="C394" s="367">
        <f>+Baseline_NaturalGas!D10</f>
        <v>219000</v>
      </c>
      <c r="D394" s="367">
        <f>+Baseline_NaturalGas!E10</f>
        <v>219000</v>
      </c>
      <c r="E394" s="367">
        <f>+Baseline_NaturalGas!F10</f>
        <v>219000</v>
      </c>
      <c r="F394" s="367">
        <f>+Baseline_NaturalGas!G10</f>
        <v>219000</v>
      </c>
      <c r="G394" s="367">
        <f>+Baseline_NaturalGas!H10</f>
        <v>219000</v>
      </c>
      <c r="H394" s="367">
        <f>+Baseline_NaturalGas!I10</f>
        <v>219000</v>
      </c>
      <c r="I394" s="367">
        <f>+Baseline_NaturalGas!J10</f>
        <v>219000</v>
      </c>
      <c r="J394" s="367">
        <f>+Baseline_NaturalGas!K10</f>
        <v>219000</v>
      </c>
      <c r="K394" s="367">
        <f>+Baseline_NaturalGas!L10</f>
        <v>219000</v>
      </c>
      <c r="L394" s="367">
        <f>+Baseline_NaturalGas!M10</f>
        <v>219000</v>
      </c>
      <c r="M394" s="367">
        <f>+Baseline_NaturalGas!N10</f>
        <v>219000</v>
      </c>
      <c r="N394" s="367">
        <f>+Baseline_NaturalGas!O10</f>
        <v>219000</v>
      </c>
      <c r="O394" s="367">
        <f>+Baseline_NaturalGas!P10</f>
        <v>219000</v>
      </c>
      <c r="P394" s="367">
        <f>+Baseline_NaturalGas!Q10</f>
        <v>219000</v>
      </c>
      <c r="Q394" s="367">
        <f>+Baseline_NaturalGas!R10</f>
        <v>219000</v>
      </c>
    </row>
    <row r="395" spans="1:17" ht="14.4">
      <c r="A395" s="364" t="s">
        <v>291</v>
      </c>
      <c r="B395" s="365"/>
      <c r="C395" s="367">
        <f>+Baseline_NaturalGas!D11</f>
        <v>70</v>
      </c>
      <c r="D395" s="367">
        <f>+Baseline_NaturalGas!E11</f>
        <v>70</v>
      </c>
      <c r="E395" s="367">
        <f>+Baseline_NaturalGas!F11</f>
        <v>70</v>
      </c>
      <c r="F395" s="367">
        <f>+Baseline_NaturalGas!G11</f>
        <v>70</v>
      </c>
      <c r="G395" s="367">
        <f>+Baseline_NaturalGas!H11</f>
        <v>70</v>
      </c>
      <c r="H395" s="367">
        <f>+Baseline_NaturalGas!I11</f>
        <v>70</v>
      </c>
      <c r="I395" s="367">
        <f>+Baseline_NaturalGas!J11</f>
        <v>70</v>
      </c>
      <c r="J395" s="367">
        <f>+Baseline_NaturalGas!K11</f>
        <v>70</v>
      </c>
      <c r="K395" s="367">
        <f>+Baseline_NaturalGas!L11</f>
        <v>70</v>
      </c>
      <c r="L395" s="367">
        <f>+Baseline_NaturalGas!M11</f>
        <v>70</v>
      </c>
      <c r="M395" s="367">
        <f>+Baseline_NaturalGas!N11</f>
        <v>70</v>
      </c>
      <c r="N395" s="367">
        <f>+Baseline_NaturalGas!O11</f>
        <v>70</v>
      </c>
      <c r="O395" s="367">
        <f>+Baseline_NaturalGas!P11</f>
        <v>70</v>
      </c>
      <c r="P395" s="367">
        <f>+Baseline_NaturalGas!Q11</f>
        <v>70</v>
      </c>
      <c r="Q395" s="367">
        <f>+Baseline_NaturalGas!R11</f>
        <v>70</v>
      </c>
    </row>
    <row r="396" spans="1:17" ht="14.4">
      <c r="A396" s="366" t="s">
        <v>292</v>
      </c>
      <c r="B396" s="365"/>
      <c r="C396" s="383">
        <f>+Baseline_NaturalGas!D12*(1+$B$7)</f>
        <v>5.7857142857142865</v>
      </c>
      <c r="D396" s="383">
        <f>+Baseline_NaturalGas!E12*(1+$B$7)</f>
        <v>5.9407714285714288</v>
      </c>
      <c r="E396" s="383">
        <f>+Baseline_NaturalGas!F12*(1+$B$7)</f>
        <v>6.0999841028571415</v>
      </c>
      <c r="F396" s="383">
        <f>+Baseline_NaturalGas!G12*(1+$B$7)</f>
        <v>6.2634636768137133</v>
      </c>
      <c r="G396" s="383">
        <f>+Baseline_NaturalGas!H12*(1+$B$7)</f>
        <v>6.4313245033523199</v>
      </c>
      <c r="H396" s="383">
        <f>+Baseline_NaturalGas!I12*(1+$B$7)</f>
        <v>6.6036840000421622</v>
      </c>
      <c r="I396" s="383">
        <f>+Baseline_NaturalGas!J12*(1+$B$7)</f>
        <v>6.7806627312432921</v>
      </c>
      <c r="J396" s="383">
        <f>+Baseline_NaturalGas!K12*(1+$B$7)</f>
        <v>6.9623844924406111</v>
      </c>
      <c r="K396" s="383">
        <f>+Baseline_NaturalGas!L12*(1+$B$7)</f>
        <v>7.1489763968380196</v>
      </c>
      <c r="L396" s="383">
        <f>+Baseline_NaturalGas!M12*(1+$B$7)</f>
        <v>7.3405689642732774</v>
      </c>
      <c r="M396" s="383">
        <f>+Baseline_NaturalGas!N12*(1+$B$7)</f>
        <v>7.537296212515801</v>
      </c>
      <c r="N396" s="383">
        <f>+Baseline_NaturalGas!O12*(1+$B$7)</f>
        <v>7.7392957510112232</v>
      </c>
      <c r="O396" s="383">
        <f>+Baseline_NaturalGas!P12*(1+$B$7)</f>
        <v>7.9467088771383239</v>
      </c>
      <c r="P396" s="383">
        <f>+Baseline_NaturalGas!Q12*(1+$B$7)</f>
        <v>8.1596806750456299</v>
      </c>
      <c r="Q396" s="383">
        <f>+Baseline_NaturalGas!R12*(1+$B$7)</f>
        <v>8.378360117136852</v>
      </c>
    </row>
    <row r="397" spans="1:17" ht="14.4">
      <c r="A397" s="366" t="s">
        <v>293</v>
      </c>
      <c r="B397" s="365"/>
      <c r="C397" s="381">
        <f>C395*C396</f>
        <v>405.00000000000006</v>
      </c>
      <c r="D397" s="381">
        <f t="shared" ref="D397:Q397" si="96">D395*D396</f>
        <v>415.85400000000004</v>
      </c>
      <c r="E397" s="381">
        <f t="shared" si="96"/>
        <v>426.9988871999999</v>
      </c>
      <c r="F397" s="381">
        <f t="shared" si="96"/>
        <v>438.44245737695991</v>
      </c>
      <c r="G397" s="381">
        <f t="shared" si="96"/>
        <v>450.19271523466239</v>
      </c>
      <c r="H397" s="381">
        <f t="shared" si="96"/>
        <v>462.25788000295137</v>
      </c>
      <c r="I397" s="381">
        <f t="shared" si="96"/>
        <v>474.64639118703047</v>
      </c>
      <c r="J397" s="381">
        <f t="shared" si="96"/>
        <v>487.3669144708428</v>
      </c>
      <c r="K397" s="381">
        <f t="shared" si="96"/>
        <v>500.42834777866136</v>
      </c>
      <c r="L397" s="381">
        <f t="shared" si="96"/>
        <v>513.83982749912946</v>
      </c>
      <c r="M397" s="381">
        <f t="shared" si="96"/>
        <v>527.61073487610611</v>
      </c>
      <c r="N397" s="381">
        <f t="shared" si="96"/>
        <v>541.75070257078562</v>
      </c>
      <c r="O397" s="381">
        <f t="shared" si="96"/>
        <v>556.26962139968271</v>
      </c>
      <c r="P397" s="381">
        <f t="shared" si="96"/>
        <v>571.1776472531941</v>
      </c>
      <c r="Q397" s="381">
        <f t="shared" si="96"/>
        <v>586.48520819957969</v>
      </c>
    </row>
    <row r="398" spans="1:17" ht="14.4">
      <c r="A398" s="370"/>
      <c r="B398" s="373"/>
      <c r="C398" s="373"/>
      <c r="D398" s="373"/>
      <c r="E398" s="373"/>
      <c r="F398" s="373"/>
      <c r="G398" s="373"/>
      <c r="H398" s="373"/>
      <c r="I398" s="373"/>
      <c r="J398" s="373"/>
      <c r="K398" s="373"/>
      <c r="L398" s="373"/>
      <c r="M398" s="373"/>
      <c r="N398" s="373"/>
      <c r="O398" s="373"/>
      <c r="P398" s="373"/>
      <c r="Q398" s="373"/>
    </row>
    <row r="399" spans="1:17" ht="14.4">
      <c r="A399" s="366" t="s">
        <v>294</v>
      </c>
      <c r="B399" s="378">
        <f>+SUM(C399:Q399)</f>
        <v>1611472.3723758596</v>
      </c>
      <c r="C399" s="381">
        <f>C394*C397/1000*'Initial Data'!$C$34/'Initial Data'!$C$33</f>
        <v>88695.000000000015</v>
      </c>
      <c r="D399" s="381">
        <f>D394*D397/1000*'Initial Data'!$C$34/'Initial Data'!$C$33</f>
        <v>91072.026000000013</v>
      </c>
      <c r="E399" s="381">
        <f>E394*E397/1000*'Initial Data'!$C$34/'Initial Data'!$C$33</f>
        <v>93512.756296799969</v>
      </c>
      <c r="F399" s="381">
        <f>F394*F397/1000*'Initial Data'!$C$34/'Initial Data'!$C$33</f>
        <v>96018.89816555423</v>
      </c>
      <c r="G399" s="381">
        <f>G394*G397/1000*'Initial Data'!$C$34/'Initial Data'!$C$33</f>
        <v>98592.204636391063</v>
      </c>
      <c r="H399" s="381">
        <f>H394*H397/1000*'Initial Data'!$C$34/'Initial Data'!$C$33</f>
        <v>101234.47572064635</v>
      </c>
      <c r="I399" s="381">
        <f>I394*I397/1000*'Initial Data'!$C$34/'Initial Data'!$C$33</f>
        <v>103947.55966995968</v>
      </c>
      <c r="J399" s="381">
        <f>J394*J397/1000*'Initial Data'!$C$34/'Initial Data'!$C$33</f>
        <v>106733.35426911457</v>
      </c>
      <c r="K399" s="381">
        <f>K394*K397/1000*'Initial Data'!$C$34/'Initial Data'!$C$33</f>
        <v>109593.80816352683</v>
      </c>
      <c r="L399" s="381">
        <f>L394*L397/1000*'Initial Data'!$C$34/'Initial Data'!$C$33</f>
        <v>112530.92222230935</v>
      </c>
      <c r="M399" s="381">
        <f>M394*M397/1000*'Initial Data'!$C$34/'Initial Data'!$C$33</f>
        <v>115546.75093786724</v>
      </c>
      <c r="N399" s="381">
        <f>N394*N397/1000*'Initial Data'!$C$34/'Initial Data'!$C$33</f>
        <v>118643.40386300205</v>
      </c>
      <c r="O399" s="381">
        <f>O394*O397/1000*'Initial Data'!$C$34/'Initial Data'!$C$33</f>
        <v>121823.04708653051</v>
      </c>
      <c r="P399" s="381">
        <f>P394*P397/1000*'Initial Data'!$C$34/'Initial Data'!$C$33</f>
        <v>125087.90474844951</v>
      </c>
      <c r="Q399" s="381">
        <f>Q394*Q397/1000*'Initial Data'!$C$34/'Initial Data'!$C$33</f>
        <v>128440.26059570794</v>
      </c>
    </row>
    <row r="400" spans="1:17" ht="14.4">
      <c r="A400" s="370"/>
      <c r="B400" s="373"/>
      <c r="C400" s="373"/>
      <c r="D400" s="373"/>
      <c r="E400" s="373"/>
      <c r="F400" s="373"/>
      <c r="G400" s="373"/>
      <c r="H400" s="373"/>
      <c r="I400" s="373"/>
      <c r="J400" s="373"/>
      <c r="K400" s="373"/>
      <c r="L400" s="373"/>
      <c r="M400" s="373"/>
      <c r="N400" s="373"/>
      <c r="O400" s="373"/>
      <c r="P400" s="373"/>
      <c r="Q400" s="373"/>
    </row>
    <row r="401" spans="1:17" ht="14.4">
      <c r="A401" s="366" t="s">
        <v>295</v>
      </c>
      <c r="B401" s="378">
        <f>+SUM(C401:Q401)</f>
        <v>1611472.3723758596</v>
      </c>
      <c r="C401" s="367">
        <f>+C399</f>
        <v>88695.000000000015</v>
      </c>
      <c r="D401" s="367">
        <f t="shared" ref="D401:Q401" si="97">+D399</f>
        <v>91072.026000000013</v>
      </c>
      <c r="E401" s="367">
        <f t="shared" si="97"/>
        <v>93512.756296799969</v>
      </c>
      <c r="F401" s="367">
        <f t="shared" si="97"/>
        <v>96018.89816555423</v>
      </c>
      <c r="G401" s="367">
        <f t="shared" si="97"/>
        <v>98592.204636391063</v>
      </c>
      <c r="H401" s="367">
        <f t="shared" si="97"/>
        <v>101234.47572064635</v>
      </c>
      <c r="I401" s="367">
        <f t="shared" si="97"/>
        <v>103947.55966995968</v>
      </c>
      <c r="J401" s="367">
        <f t="shared" si="97"/>
        <v>106733.35426911457</v>
      </c>
      <c r="K401" s="367">
        <f t="shared" si="97"/>
        <v>109593.80816352683</v>
      </c>
      <c r="L401" s="367">
        <f t="shared" si="97"/>
        <v>112530.92222230935</v>
      </c>
      <c r="M401" s="367">
        <f t="shared" si="97"/>
        <v>115546.75093786724</v>
      </c>
      <c r="N401" s="367">
        <f t="shared" si="97"/>
        <v>118643.40386300205</v>
      </c>
      <c r="O401" s="367">
        <f t="shared" si="97"/>
        <v>121823.04708653051</v>
      </c>
      <c r="P401" s="367">
        <f t="shared" si="97"/>
        <v>125087.90474844951</v>
      </c>
      <c r="Q401" s="367">
        <f t="shared" si="97"/>
        <v>128440.26059570794</v>
      </c>
    </row>
    <row r="402" spans="1:17" ht="14.4">
      <c r="A402" s="370"/>
      <c r="B402" s="374"/>
      <c r="C402" s="374"/>
      <c r="D402" s="374"/>
      <c r="E402" s="374"/>
      <c r="F402" s="374"/>
      <c r="G402" s="374"/>
      <c r="H402" s="374"/>
      <c r="I402" s="374"/>
      <c r="J402" s="374"/>
      <c r="K402" s="374"/>
      <c r="L402" s="374"/>
      <c r="M402" s="374"/>
      <c r="N402" s="374"/>
      <c r="O402" s="374"/>
      <c r="P402" s="374"/>
      <c r="Q402" s="374"/>
    </row>
    <row r="403" spans="1:17" ht="14.4">
      <c r="A403" s="366" t="s">
        <v>68</v>
      </c>
      <c r="B403" s="368"/>
      <c r="C403" s="368"/>
      <c r="D403" s="368"/>
      <c r="E403" s="368"/>
      <c r="F403" s="368"/>
      <c r="G403" s="368"/>
      <c r="H403" s="368"/>
      <c r="I403" s="368"/>
      <c r="J403" s="368"/>
      <c r="K403" s="368"/>
      <c r="L403" s="368"/>
      <c r="M403" s="368"/>
      <c r="N403" s="368"/>
      <c r="O403" s="368"/>
      <c r="P403" s="368"/>
      <c r="Q403" s="368"/>
    </row>
    <row r="404" spans="1:17" ht="14.4">
      <c r="A404" s="366" t="s">
        <v>330</v>
      </c>
      <c r="B404" s="378">
        <f>+SUM(C404:Q404)</f>
        <v>17405.991521183645</v>
      </c>
      <c r="C404" s="377">
        <f>+Baseline_NaturalGas!D20</f>
        <v>958.02102749999995</v>
      </c>
      <c r="D404" s="377">
        <f>+Baseline_NaturalGas!E20</f>
        <v>983.69599103699989</v>
      </c>
      <c r="E404" s="377">
        <f>+Baseline_NaturalGas!F20</f>
        <v>1010.0590435967914</v>
      </c>
      <c r="F404" s="377">
        <f>+Baseline_NaturalGas!G20</f>
        <v>1037.1286259651854</v>
      </c>
      <c r="G404" s="377">
        <f>+Baseline_NaturalGas!H20</f>
        <v>1064.9236731410524</v>
      </c>
      <c r="H404" s="377">
        <f>+Baseline_NaturalGas!I20</f>
        <v>1093.4636275812325</v>
      </c>
      <c r="I404" s="377">
        <f>+Baseline_NaturalGas!J20</f>
        <v>1122.7684528004095</v>
      </c>
      <c r="J404" s="377">
        <f>+Baseline_NaturalGas!K20</f>
        <v>1152.8586473354603</v>
      </c>
      <c r="K404" s="377">
        <f>+Baseline_NaturalGas!L20</f>
        <v>1183.7552590840505</v>
      </c>
      <c r="L404" s="377">
        <f>+Baseline_NaturalGas!M20</f>
        <v>1215.4799000275029</v>
      </c>
      <c r="M404" s="377">
        <f>+Baseline_NaturalGas!N20</f>
        <v>1248.0547613482399</v>
      </c>
      <c r="N404" s="377">
        <f>+Baseline_NaturalGas!O20</f>
        <v>1281.5026289523728</v>
      </c>
      <c r="O404" s="377">
        <f>+Baseline_NaturalGas!P20</f>
        <v>1315.8468994082964</v>
      </c>
      <c r="P404" s="377">
        <f>+Baseline_NaturalGas!Q20</f>
        <v>1351.1115963124387</v>
      </c>
      <c r="Q404" s="377">
        <f>+Baseline_NaturalGas!R20</f>
        <v>1387.321387093612</v>
      </c>
    </row>
    <row r="405" spans="1:17" ht="14.4">
      <c r="A405" s="370"/>
      <c r="B405" s="369"/>
      <c r="C405" s="369"/>
      <c r="D405" s="369"/>
      <c r="E405" s="369"/>
      <c r="F405" s="369"/>
      <c r="G405" s="369"/>
      <c r="H405" s="369"/>
      <c r="I405" s="369"/>
      <c r="J405" s="369"/>
      <c r="K405" s="369"/>
      <c r="L405" s="369"/>
      <c r="M405" s="369"/>
      <c r="N405" s="369"/>
      <c r="O405" s="369"/>
      <c r="P405" s="369"/>
      <c r="Q405" s="369"/>
    </row>
    <row r="406" spans="1:17" ht="14.4">
      <c r="A406" s="366" t="s">
        <v>71</v>
      </c>
      <c r="B406" s="379"/>
      <c r="C406" s="379"/>
      <c r="D406" s="379"/>
      <c r="E406" s="379"/>
      <c r="F406" s="379"/>
      <c r="G406" s="379"/>
      <c r="H406" s="379"/>
      <c r="I406" s="379"/>
      <c r="J406" s="379"/>
      <c r="K406" s="379"/>
      <c r="L406" s="379"/>
      <c r="M406" s="379"/>
      <c r="N406" s="379"/>
      <c r="O406" s="379"/>
      <c r="P406" s="379"/>
      <c r="Q406" s="379"/>
    </row>
    <row r="407" spans="1:17" ht="14.4">
      <c r="A407" s="370"/>
      <c r="B407" s="379"/>
      <c r="C407" s="379"/>
      <c r="D407" s="379"/>
      <c r="E407" s="379"/>
      <c r="F407" s="379"/>
      <c r="G407" s="379"/>
      <c r="H407" s="379"/>
      <c r="I407" s="379"/>
      <c r="J407" s="379"/>
      <c r="K407" s="379"/>
      <c r="L407" s="379"/>
      <c r="M407" s="379"/>
      <c r="N407" s="379"/>
      <c r="O407" s="379"/>
      <c r="P407" s="379"/>
      <c r="Q407" s="379"/>
    </row>
    <row r="408" spans="1:17" ht="14.4">
      <c r="A408" s="366" t="s">
        <v>64</v>
      </c>
      <c r="B408" s="373"/>
      <c r="C408" s="367">
        <f>+Baseline_NaturalGas!D24</f>
        <v>1656.5089715892002</v>
      </c>
      <c r="D408" s="367">
        <f>+Baseline_NaturalGas!E24</f>
        <v>1656.5089715892002</v>
      </c>
      <c r="E408" s="367">
        <f>+Baseline_NaturalGas!F24</f>
        <v>1656.5089715892002</v>
      </c>
      <c r="F408" s="367">
        <f>+Baseline_NaturalGas!G24</f>
        <v>1656.5089715892002</v>
      </c>
      <c r="G408" s="367">
        <f>+Baseline_NaturalGas!H24</f>
        <v>1656.5089715892002</v>
      </c>
      <c r="H408" s="367">
        <f>+Baseline_NaturalGas!I24</f>
        <v>1656.5089715892002</v>
      </c>
      <c r="I408" s="367">
        <f>+Baseline_NaturalGas!J24</f>
        <v>1656.5089715892002</v>
      </c>
      <c r="J408" s="367">
        <f>+Baseline_NaturalGas!K24</f>
        <v>1656.5089715892002</v>
      </c>
      <c r="K408" s="367">
        <f>+Baseline_NaturalGas!L24</f>
        <v>1656.5089715892002</v>
      </c>
      <c r="L408" s="367">
        <f>+Baseline_NaturalGas!M24</f>
        <v>1656.5089715892002</v>
      </c>
      <c r="M408" s="367">
        <f>+Baseline_NaturalGas!N24</f>
        <v>1656.5089715892002</v>
      </c>
      <c r="N408" s="367">
        <f>+Baseline_NaturalGas!O24</f>
        <v>1656.5089715892002</v>
      </c>
      <c r="O408" s="367">
        <f>+Baseline_NaturalGas!P24</f>
        <v>1656.5089715892002</v>
      </c>
      <c r="P408" s="367">
        <f>+Baseline_NaturalGas!Q24</f>
        <v>1656.5089715892002</v>
      </c>
      <c r="Q408" s="367">
        <f>+Baseline_NaturalGas!R24</f>
        <v>1656.5089715892002</v>
      </c>
    </row>
    <row r="409" spans="1:17" ht="14.4">
      <c r="A409" s="366" t="s">
        <v>108</v>
      </c>
      <c r="B409" s="387">
        <f>+Baseline_NaturalGas!C25</f>
        <v>0.90200000000000002</v>
      </c>
      <c r="C409" s="373"/>
      <c r="D409" s="373"/>
      <c r="E409" s="373"/>
      <c r="F409" s="373"/>
      <c r="G409" s="373"/>
      <c r="H409" s="373"/>
      <c r="I409" s="373"/>
      <c r="J409" s="373"/>
      <c r="K409" s="373"/>
      <c r="L409" s="373"/>
      <c r="M409" s="373"/>
      <c r="N409" s="373"/>
      <c r="O409" s="373"/>
      <c r="P409" s="373"/>
      <c r="Q409" s="373"/>
    </row>
    <row r="410" spans="1:17" ht="14.4">
      <c r="A410" s="366" t="s">
        <v>346</v>
      </c>
      <c r="B410" s="373"/>
      <c r="C410" s="367">
        <f>+Baseline_NaturalGas!D26</f>
        <v>1741816.7092883086</v>
      </c>
      <c r="D410" s="367">
        <f>+Baseline_NaturalGas!E26</f>
        <v>1741816.7092883086</v>
      </c>
      <c r="E410" s="367">
        <f>+Baseline_NaturalGas!F26</f>
        <v>1741816.7092883086</v>
      </c>
      <c r="F410" s="367">
        <f>+Baseline_NaturalGas!G26</f>
        <v>1741816.7092883086</v>
      </c>
      <c r="G410" s="367">
        <f>+Baseline_NaturalGas!H26</f>
        <v>1741816.7092883086</v>
      </c>
      <c r="H410" s="367">
        <f>+Baseline_NaturalGas!I26</f>
        <v>1741816.7092883086</v>
      </c>
      <c r="I410" s="367">
        <f>+Baseline_NaturalGas!J26</f>
        <v>1741816.7092883086</v>
      </c>
      <c r="J410" s="367">
        <f>+Baseline_NaturalGas!K26</f>
        <v>1741816.7092883086</v>
      </c>
      <c r="K410" s="367">
        <f>+Baseline_NaturalGas!L26</f>
        <v>1741816.7092883086</v>
      </c>
      <c r="L410" s="367">
        <f>+Baseline_NaturalGas!M26</f>
        <v>1741816.7092883086</v>
      </c>
      <c r="M410" s="367">
        <f>+Baseline_NaturalGas!N26</f>
        <v>1741816.7092883086</v>
      </c>
      <c r="N410" s="367">
        <f>+Baseline_NaturalGas!O26</f>
        <v>1741816.7092883086</v>
      </c>
      <c r="O410" s="367">
        <f>+Baseline_NaturalGas!P26</f>
        <v>1741816.7092883086</v>
      </c>
      <c r="P410" s="367">
        <f>+Baseline_NaturalGas!Q26</f>
        <v>1741816.7092883086</v>
      </c>
      <c r="Q410" s="367">
        <f>+Baseline_NaturalGas!R26</f>
        <v>1741816.7092883086</v>
      </c>
    </row>
    <row r="411" spans="1:17" ht="14.4">
      <c r="A411" s="366" t="s">
        <v>66</v>
      </c>
      <c r="B411" s="373"/>
      <c r="C411" s="386">
        <f>+Baseline_NaturalGas!D27</f>
        <v>5.6086944825694198</v>
      </c>
      <c r="D411" s="386">
        <f>+Baseline_NaturalGas!E27</f>
        <v>5.5051083831058802</v>
      </c>
      <c r="E411" s="386">
        <f>+Baseline_NaturalGas!F27</f>
        <v>5.61862622286578</v>
      </c>
      <c r="F411" s="386">
        <f>+Baseline_NaturalGas!G27</f>
        <v>5.8406487933251103</v>
      </c>
      <c r="G411" s="386">
        <f>+Baseline_NaturalGas!H27</f>
        <v>5.8453745748678001</v>
      </c>
      <c r="H411" s="386">
        <f>+Baseline_NaturalGas!I27</f>
        <v>6.0672099673130804</v>
      </c>
      <c r="I411" s="386">
        <f>+Baseline_NaturalGas!J27</f>
        <v>6.39755565092754</v>
      </c>
      <c r="J411" s="386">
        <f>+Baseline_NaturalGas!K27</f>
        <v>6.39755565092754</v>
      </c>
      <c r="K411" s="386">
        <f>+Baseline_NaturalGas!L27</f>
        <v>6.39755565092754</v>
      </c>
      <c r="L411" s="386">
        <f>+Baseline_NaturalGas!M27</f>
        <v>6.39755565092754</v>
      </c>
      <c r="M411" s="386">
        <f>+Baseline_NaturalGas!N27</f>
        <v>6.39755565092754</v>
      </c>
      <c r="N411" s="386">
        <f>+Baseline_NaturalGas!O27</f>
        <v>6.39755565092754</v>
      </c>
      <c r="O411" s="386">
        <f>+Baseline_NaturalGas!P27</f>
        <v>6.39755565092754</v>
      </c>
      <c r="P411" s="386">
        <f>+Baseline_NaturalGas!Q27</f>
        <v>6.39755565092754</v>
      </c>
      <c r="Q411" s="386">
        <f>+Baseline_NaturalGas!R27</f>
        <v>6.39755565092754</v>
      </c>
    </row>
    <row r="412" spans="1:17" ht="14.4">
      <c r="A412" s="370"/>
      <c r="B412" s="379"/>
      <c r="C412" s="379"/>
      <c r="D412" s="379"/>
      <c r="E412" s="379"/>
      <c r="F412" s="379"/>
      <c r="G412" s="379"/>
      <c r="H412" s="379"/>
      <c r="I412" s="379"/>
      <c r="J412" s="379"/>
      <c r="K412" s="379"/>
      <c r="L412" s="379"/>
      <c r="M412" s="379"/>
      <c r="N412" s="379"/>
      <c r="O412" s="379"/>
      <c r="P412" s="379"/>
      <c r="Q412" s="379"/>
    </row>
    <row r="413" spans="1:17" ht="14.4">
      <c r="A413" s="366" t="s">
        <v>102</v>
      </c>
      <c r="B413" s="378">
        <f t="shared" ref="B413" si="98">+SUM(C413:Q413)</f>
        <v>160358.02702356796</v>
      </c>
      <c r="C413" s="375">
        <f>+C410*C411/1000</f>
        <v>9769.3177670325604</v>
      </c>
      <c r="D413" s="375">
        <f>+D410*D411/1000</f>
        <v>9588.8897681369654</v>
      </c>
      <c r="E413" s="375">
        <f t="shared" ref="E413:Q413" si="99">+E410*E411/1000</f>
        <v>9786.6170382330711</v>
      </c>
      <c r="F413" s="375">
        <f t="shared" si="99"/>
        <v>10173.339661298274</v>
      </c>
      <c r="G413" s="375">
        <f t="shared" si="99"/>
        <v>10181.571106553778</v>
      </c>
      <c r="H413" s="375">
        <f t="shared" si="99"/>
        <v>10567.967699826495</v>
      </c>
      <c r="I413" s="375">
        <f t="shared" si="99"/>
        <v>11143.36933138743</v>
      </c>
      <c r="J413" s="375">
        <f t="shared" si="99"/>
        <v>11143.36933138743</v>
      </c>
      <c r="K413" s="375">
        <f t="shared" si="99"/>
        <v>11143.36933138743</v>
      </c>
      <c r="L413" s="375">
        <f t="shared" si="99"/>
        <v>11143.36933138743</v>
      </c>
      <c r="M413" s="375">
        <f t="shared" si="99"/>
        <v>11143.36933138743</v>
      </c>
      <c r="N413" s="375">
        <f t="shared" si="99"/>
        <v>11143.36933138743</v>
      </c>
      <c r="O413" s="375">
        <f t="shared" si="99"/>
        <v>11143.36933138743</v>
      </c>
      <c r="P413" s="375">
        <f t="shared" si="99"/>
        <v>11143.36933138743</v>
      </c>
      <c r="Q413" s="375">
        <f t="shared" si="99"/>
        <v>11143.36933138743</v>
      </c>
    </row>
    <row r="414" spans="1:17" ht="14.4">
      <c r="A414" s="370"/>
      <c r="B414" s="373"/>
      <c r="C414" s="373"/>
      <c r="D414" s="373"/>
      <c r="E414" s="373"/>
      <c r="F414" s="373"/>
      <c r="G414" s="373"/>
      <c r="H414" s="373"/>
      <c r="I414" s="373"/>
      <c r="J414" s="373"/>
      <c r="K414" s="373"/>
      <c r="L414" s="373"/>
      <c r="M414" s="373"/>
      <c r="N414" s="373"/>
      <c r="O414" s="373"/>
      <c r="P414" s="373"/>
      <c r="Q414" s="373"/>
    </row>
    <row r="415" spans="1:17" ht="14.4">
      <c r="A415" s="370"/>
      <c r="B415" s="379"/>
      <c r="C415" s="379"/>
      <c r="D415" s="379"/>
      <c r="E415" s="379"/>
      <c r="F415" s="379"/>
      <c r="G415" s="379"/>
      <c r="H415" s="379"/>
      <c r="I415" s="379"/>
      <c r="J415" s="379"/>
      <c r="K415" s="379"/>
      <c r="L415" s="379"/>
      <c r="M415" s="379"/>
      <c r="N415" s="379"/>
      <c r="O415" s="379"/>
      <c r="P415" s="379"/>
      <c r="Q415" s="379"/>
    </row>
    <row r="416" spans="1:17" ht="14.4">
      <c r="A416" s="366" t="s">
        <v>101</v>
      </c>
      <c r="B416" s="373"/>
      <c r="C416" s="375">
        <f>+C413+C404</f>
        <v>10727.338794532559</v>
      </c>
      <c r="D416" s="375">
        <f t="shared" ref="D416:Q416" si="100">+D413+D404</f>
        <v>10572.585759173966</v>
      </c>
      <c r="E416" s="375">
        <f t="shared" si="100"/>
        <v>10796.676081829863</v>
      </c>
      <c r="F416" s="375">
        <f t="shared" si="100"/>
        <v>11210.46828726346</v>
      </c>
      <c r="G416" s="375">
        <f t="shared" si="100"/>
        <v>11246.494779694831</v>
      </c>
      <c r="H416" s="375">
        <f t="shared" si="100"/>
        <v>11661.431327407727</v>
      </c>
      <c r="I416" s="375">
        <f t="shared" si="100"/>
        <v>12266.13778418784</v>
      </c>
      <c r="J416" s="375">
        <f t="shared" si="100"/>
        <v>12296.227978722891</v>
      </c>
      <c r="K416" s="375">
        <f t="shared" si="100"/>
        <v>12327.124590471481</v>
      </c>
      <c r="L416" s="375">
        <f t="shared" si="100"/>
        <v>12358.849231414933</v>
      </c>
      <c r="M416" s="375">
        <f t="shared" si="100"/>
        <v>12391.42409273567</v>
      </c>
      <c r="N416" s="375">
        <f t="shared" si="100"/>
        <v>12424.871960339802</v>
      </c>
      <c r="O416" s="375">
        <f t="shared" si="100"/>
        <v>12459.216230795726</v>
      </c>
      <c r="P416" s="375">
        <f t="shared" si="100"/>
        <v>12494.480927699869</v>
      </c>
      <c r="Q416" s="375">
        <f t="shared" si="100"/>
        <v>12530.690718481042</v>
      </c>
    </row>
    <row r="417" spans="1:17" ht="14.4">
      <c r="A417" s="370"/>
      <c r="B417" s="379"/>
      <c r="C417" s="379"/>
      <c r="D417" s="379"/>
      <c r="E417" s="379"/>
      <c r="F417" s="379"/>
      <c r="G417" s="379"/>
      <c r="H417" s="379"/>
      <c r="I417" s="379"/>
      <c r="J417" s="379"/>
      <c r="K417" s="379"/>
      <c r="L417" s="379"/>
      <c r="M417" s="379"/>
      <c r="N417" s="379"/>
      <c r="O417" s="379"/>
      <c r="P417" s="379"/>
      <c r="Q417" s="379"/>
    </row>
    <row r="418" spans="1:17" ht="14.4">
      <c r="A418" s="366" t="s">
        <v>73</v>
      </c>
      <c r="B418" s="378">
        <f>+SUM(C418:Q418)</f>
        <v>11487.524395535713</v>
      </c>
      <c r="C418" s="367">
        <f>+Baseline_NaturalGas!$D$5/'Initial Data'!$C$19</f>
        <v>1148.7524395535715</v>
      </c>
      <c r="D418" s="367">
        <f>+Baseline_NaturalGas!$D$5/'Initial Data'!$C$19</f>
        <v>1148.7524395535715</v>
      </c>
      <c r="E418" s="367">
        <f>+Baseline_NaturalGas!$D$5/'Initial Data'!$C$19</f>
        <v>1148.7524395535715</v>
      </c>
      <c r="F418" s="367">
        <f>+Baseline_NaturalGas!$D$5/'Initial Data'!$C$19</f>
        <v>1148.7524395535715</v>
      </c>
      <c r="G418" s="367">
        <f>+Baseline_NaturalGas!$D$5/'Initial Data'!$C$19</f>
        <v>1148.7524395535715</v>
      </c>
      <c r="H418" s="367">
        <f>+Baseline_NaturalGas!$D$5/'Initial Data'!$C$19</f>
        <v>1148.7524395535715</v>
      </c>
      <c r="I418" s="367">
        <f>+Baseline_NaturalGas!$D$5/'Initial Data'!$C$19</f>
        <v>1148.7524395535715</v>
      </c>
      <c r="J418" s="367">
        <f>+Baseline_NaturalGas!$D$5/'Initial Data'!$C$19</f>
        <v>1148.7524395535715</v>
      </c>
      <c r="K418" s="367">
        <f>+Baseline_NaturalGas!$D$5/'Initial Data'!$C$19</f>
        <v>1148.7524395535715</v>
      </c>
      <c r="L418" s="367">
        <f>+Baseline_NaturalGas!$D$5/'Initial Data'!$C$19</f>
        <v>1148.7524395535715</v>
      </c>
      <c r="M418" s="367">
        <v>0</v>
      </c>
      <c r="N418" s="367">
        <v>0</v>
      </c>
      <c r="O418" s="367">
        <v>0</v>
      </c>
      <c r="P418" s="367">
        <v>0</v>
      </c>
      <c r="Q418" s="367">
        <v>0</v>
      </c>
    </row>
    <row r="419" spans="1:17" ht="14.4">
      <c r="A419" s="366" t="s">
        <v>74</v>
      </c>
      <c r="B419" s="378">
        <f>+SUM(C419:Q419)</f>
        <v>11487.524395535713</v>
      </c>
      <c r="C419" s="367">
        <f>SUM(C418:C418)</f>
        <v>1148.7524395535715</v>
      </c>
      <c r="D419" s="367">
        <f t="shared" ref="D419:Q419" si="101">SUM(D418:D418)</f>
        <v>1148.7524395535715</v>
      </c>
      <c r="E419" s="367">
        <f t="shared" si="101"/>
        <v>1148.7524395535715</v>
      </c>
      <c r="F419" s="367">
        <f t="shared" si="101"/>
        <v>1148.7524395535715</v>
      </c>
      <c r="G419" s="367">
        <f t="shared" si="101"/>
        <v>1148.7524395535715</v>
      </c>
      <c r="H419" s="367">
        <f t="shared" si="101"/>
        <v>1148.7524395535715</v>
      </c>
      <c r="I419" s="367">
        <f t="shared" si="101"/>
        <v>1148.7524395535715</v>
      </c>
      <c r="J419" s="367">
        <f t="shared" si="101"/>
        <v>1148.7524395535715</v>
      </c>
      <c r="K419" s="367">
        <f t="shared" si="101"/>
        <v>1148.7524395535715</v>
      </c>
      <c r="L419" s="367">
        <f t="shared" si="101"/>
        <v>1148.7524395535715</v>
      </c>
      <c r="M419" s="367">
        <f t="shared" si="101"/>
        <v>0</v>
      </c>
      <c r="N419" s="367">
        <f t="shared" si="101"/>
        <v>0</v>
      </c>
      <c r="O419" s="367">
        <f t="shared" si="101"/>
        <v>0</v>
      </c>
      <c r="P419" s="367">
        <f t="shared" si="101"/>
        <v>0</v>
      </c>
      <c r="Q419" s="367">
        <f t="shared" si="101"/>
        <v>0</v>
      </c>
    </row>
    <row r="420" spans="1:17" ht="14.4">
      <c r="A420" s="90"/>
      <c r="B420" s="388"/>
      <c r="C420" s="373"/>
      <c r="D420" s="373"/>
      <c r="E420" s="373"/>
      <c r="F420" s="373"/>
      <c r="G420" s="373"/>
      <c r="H420" s="373"/>
      <c r="I420" s="373"/>
      <c r="J420" s="373"/>
      <c r="K420" s="373"/>
      <c r="L420" s="373"/>
      <c r="M420" s="373"/>
      <c r="N420" s="373"/>
      <c r="O420" s="373"/>
      <c r="P420" s="373"/>
      <c r="Q420" s="373"/>
    </row>
    <row r="421" spans="1:17" ht="14.4">
      <c r="A421" s="366" t="s">
        <v>75</v>
      </c>
      <c r="B421" s="378">
        <f>+SUM(C421:Q421)</f>
        <v>189251.54294028736</v>
      </c>
      <c r="C421" s="367">
        <f>+C416+C419</f>
        <v>11876.09123408613</v>
      </c>
      <c r="D421" s="367">
        <f t="shared" ref="D421:Q421" si="102">+D416+D419</f>
        <v>11721.338198727537</v>
      </c>
      <c r="E421" s="367">
        <f t="shared" si="102"/>
        <v>11945.428521383434</v>
      </c>
      <c r="F421" s="367">
        <f t="shared" si="102"/>
        <v>12359.220726817031</v>
      </c>
      <c r="G421" s="367">
        <f t="shared" si="102"/>
        <v>12395.247219248402</v>
      </c>
      <c r="H421" s="367">
        <f t="shared" si="102"/>
        <v>12810.183766961298</v>
      </c>
      <c r="I421" s="367">
        <f t="shared" si="102"/>
        <v>13414.890223741411</v>
      </c>
      <c r="J421" s="367">
        <f t="shared" si="102"/>
        <v>13444.980418276462</v>
      </c>
      <c r="K421" s="367">
        <f t="shared" si="102"/>
        <v>13475.877030025053</v>
      </c>
      <c r="L421" s="367">
        <f t="shared" si="102"/>
        <v>13507.601670968505</v>
      </c>
      <c r="M421" s="367">
        <f t="shared" si="102"/>
        <v>12391.42409273567</v>
      </c>
      <c r="N421" s="367">
        <f t="shared" si="102"/>
        <v>12424.871960339802</v>
      </c>
      <c r="O421" s="367">
        <f t="shared" si="102"/>
        <v>12459.216230795726</v>
      </c>
      <c r="P421" s="367">
        <f t="shared" si="102"/>
        <v>12494.480927699869</v>
      </c>
      <c r="Q421" s="367">
        <f t="shared" si="102"/>
        <v>12530.690718481042</v>
      </c>
    </row>
    <row r="422" spans="1:17">
      <c r="A422" s="74"/>
    </row>
    <row r="423" spans="1:17" ht="14.4">
      <c r="A423" s="366" t="s">
        <v>76</v>
      </c>
      <c r="B423" s="378">
        <f>+SUM(C423:Q423)</f>
        <v>1422220.829435572</v>
      </c>
      <c r="C423" s="367">
        <f>+C401-C421</f>
        <v>76818.90876591389</v>
      </c>
      <c r="D423" s="367">
        <f t="shared" ref="D423:Q423" si="103">+D401-D421</f>
        <v>79350.687801272477</v>
      </c>
      <c r="E423" s="367">
        <f t="shared" si="103"/>
        <v>81567.327775416532</v>
      </c>
      <c r="F423" s="367">
        <f t="shared" si="103"/>
        <v>83659.677438737199</v>
      </c>
      <c r="G423" s="367">
        <f t="shared" si="103"/>
        <v>86196.957417142665</v>
      </c>
      <c r="H423" s="367">
        <f t="shared" si="103"/>
        <v>88424.291953685053</v>
      </c>
      <c r="I423" s="367">
        <f t="shared" si="103"/>
        <v>90532.669446218264</v>
      </c>
      <c r="J423" s="367">
        <f t="shared" si="103"/>
        <v>93288.373850838107</v>
      </c>
      <c r="K423" s="367">
        <f t="shared" si="103"/>
        <v>96117.931133501785</v>
      </c>
      <c r="L423" s="367">
        <f t="shared" si="103"/>
        <v>99023.320551340847</v>
      </c>
      <c r="M423" s="367">
        <f t="shared" si="103"/>
        <v>103155.32684513157</v>
      </c>
      <c r="N423" s="367">
        <f t="shared" si="103"/>
        <v>106218.53190266225</v>
      </c>
      <c r="O423" s="367">
        <f t="shared" si="103"/>
        <v>109363.83085573479</v>
      </c>
      <c r="P423" s="367">
        <f t="shared" si="103"/>
        <v>112593.42382074964</v>
      </c>
      <c r="Q423" s="367">
        <f t="shared" si="103"/>
        <v>115909.5698772269</v>
      </c>
    </row>
    <row r="424" spans="1:17" ht="14.4">
      <c r="A424" s="369"/>
      <c r="B424" s="373"/>
      <c r="C424" s="373"/>
      <c r="D424" s="373"/>
      <c r="E424" s="373"/>
      <c r="F424" s="373"/>
      <c r="G424" s="373"/>
      <c r="H424" s="373"/>
      <c r="I424" s="373"/>
      <c r="J424" s="373"/>
      <c r="K424" s="373"/>
      <c r="L424" s="373"/>
      <c r="M424" s="373"/>
      <c r="N424" s="373"/>
      <c r="O424" s="373"/>
      <c r="P424" s="373"/>
      <c r="Q424" s="373"/>
    </row>
    <row r="425" spans="1:17" ht="14.4">
      <c r="A425" s="366" t="s">
        <v>222</v>
      </c>
      <c r="B425" s="380">
        <f>+Baseline_NaturalGas!C43</f>
        <v>0.7</v>
      </c>
      <c r="C425" s="367">
        <f>IF((+$B$425*C423)&lt;0,"0",(+$B$425*C423))</f>
        <v>53773.23613613972</v>
      </c>
      <c r="D425" s="367">
        <f t="shared" ref="D425:Q425" si="104">IF((+$B$425*D423)&lt;0,"0",(+$B$425*D423))</f>
        <v>55545.481460890733</v>
      </c>
      <c r="E425" s="367">
        <f t="shared" si="104"/>
        <v>57097.129442791571</v>
      </c>
      <c r="F425" s="367">
        <f t="shared" si="104"/>
        <v>58561.774207116032</v>
      </c>
      <c r="G425" s="367">
        <f t="shared" si="104"/>
        <v>60337.870191999864</v>
      </c>
      <c r="H425" s="367">
        <f t="shared" si="104"/>
        <v>61897.004367579531</v>
      </c>
      <c r="I425" s="367">
        <f t="shared" si="104"/>
        <v>63372.86861235278</v>
      </c>
      <c r="J425" s="367">
        <f t="shared" si="104"/>
        <v>65301.861695586667</v>
      </c>
      <c r="K425" s="367">
        <f t="shared" si="104"/>
        <v>67282.551793451246</v>
      </c>
      <c r="L425" s="367">
        <f t="shared" si="104"/>
        <v>69316.324385938584</v>
      </c>
      <c r="M425" s="367">
        <f t="shared" si="104"/>
        <v>72208.72879159209</v>
      </c>
      <c r="N425" s="367">
        <f t="shared" si="104"/>
        <v>74352.972331863566</v>
      </c>
      <c r="O425" s="367">
        <f t="shared" si="104"/>
        <v>76554.681599014351</v>
      </c>
      <c r="P425" s="367">
        <f t="shared" si="104"/>
        <v>78815.396674524745</v>
      </c>
      <c r="Q425" s="367">
        <f t="shared" si="104"/>
        <v>81136.698914058827</v>
      </c>
    </row>
    <row r="426" spans="1:17" ht="14.4">
      <c r="A426" s="366" t="s">
        <v>77</v>
      </c>
      <c r="B426" s="378">
        <f>+SUM(C426:Q426)</f>
        <v>995554.58060490037</v>
      </c>
      <c r="C426" s="367">
        <f>SUM(C425:C425)</f>
        <v>53773.23613613972</v>
      </c>
      <c r="D426" s="367">
        <f t="shared" ref="D426:Q426" si="105">SUM(D425:D425)</f>
        <v>55545.481460890733</v>
      </c>
      <c r="E426" s="367">
        <f t="shared" si="105"/>
        <v>57097.129442791571</v>
      </c>
      <c r="F426" s="367">
        <f t="shared" si="105"/>
        <v>58561.774207116032</v>
      </c>
      <c r="G426" s="367">
        <f t="shared" si="105"/>
        <v>60337.870191999864</v>
      </c>
      <c r="H426" s="367">
        <f t="shared" si="105"/>
        <v>61897.004367579531</v>
      </c>
      <c r="I426" s="367">
        <f t="shared" si="105"/>
        <v>63372.86861235278</v>
      </c>
      <c r="J426" s="367">
        <f t="shared" si="105"/>
        <v>65301.861695586667</v>
      </c>
      <c r="K426" s="367">
        <f t="shared" si="105"/>
        <v>67282.551793451246</v>
      </c>
      <c r="L426" s="367">
        <f t="shared" si="105"/>
        <v>69316.324385938584</v>
      </c>
      <c r="M426" s="367">
        <f t="shared" si="105"/>
        <v>72208.72879159209</v>
      </c>
      <c r="N426" s="367">
        <f t="shared" si="105"/>
        <v>74352.972331863566</v>
      </c>
      <c r="O426" s="367">
        <f t="shared" si="105"/>
        <v>76554.681599014351</v>
      </c>
      <c r="P426" s="367">
        <f t="shared" si="105"/>
        <v>78815.396674524745</v>
      </c>
      <c r="Q426" s="367">
        <f t="shared" si="105"/>
        <v>81136.698914058827</v>
      </c>
    </row>
    <row r="427" spans="1:17" ht="14.4">
      <c r="A427" s="369"/>
      <c r="B427" s="373"/>
      <c r="C427" s="373"/>
      <c r="D427" s="373"/>
      <c r="E427" s="373"/>
      <c r="F427" s="373"/>
      <c r="G427" s="373"/>
      <c r="H427" s="373"/>
      <c r="I427" s="373"/>
      <c r="J427" s="373"/>
      <c r="K427" s="373"/>
      <c r="L427" s="373"/>
      <c r="M427" s="373"/>
      <c r="N427" s="373"/>
      <c r="O427" s="373"/>
      <c r="P427" s="373"/>
      <c r="Q427" s="373"/>
    </row>
    <row r="428" spans="1:17" ht="14.4">
      <c r="A428" s="366" t="s">
        <v>78</v>
      </c>
      <c r="B428" s="378">
        <f>+SUM(C428:Q428)</f>
        <v>426666.24883067166</v>
      </c>
      <c r="C428" s="367">
        <f>+C423-C426</f>
        <v>23045.67262977417</v>
      </c>
      <c r="D428" s="367">
        <f t="shared" ref="D428:Q428" si="106">+D423-D426</f>
        <v>23805.206340381745</v>
      </c>
      <c r="E428" s="367">
        <f t="shared" si="106"/>
        <v>24470.198332624961</v>
      </c>
      <c r="F428" s="367">
        <f t="shared" si="106"/>
        <v>25097.903231621167</v>
      </c>
      <c r="G428" s="367">
        <f t="shared" si="106"/>
        <v>25859.087225142801</v>
      </c>
      <c r="H428" s="367">
        <f t="shared" si="106"/>
        <v>26527.287586105522</v>
      </c>
      <c r="I428" s="367">
        <f t="shared" si="106"/>
        <v>27159.800833865484</v>
      </c>
      <c r="J428" s="367">
        <f t="shared" si="106"/>
        <v>27986.512155251439</v>
      </c>
      <c r="K428" s="367">
        <f t="shared" si="106"/>
        <v>28835.379340050538</v>
      </c>
      <c r="L428" s="367">
        <f t="shared" si="106"/>
        <v>29706.996165402263</v>
      </c>
      <c r="M428" s="367">
        <f t="shared" si="106"/>
        <v>30946.598053539477</v>
      </c>
      <c r="N428" s="367">
        <f t="shared" si="106"/>
        <v>31865.559570798679</v>
      </c>
      <c r="O428" s="367">
        <f t="shared" si="106"/>
        <v>32809.14925672044</v>
      </c>
      <c r="P428" s="367">
        <f t="shared" si="106"/>
        <v>33778.027146224893</v>
      </c>
      <c r="Q428" s="367">
        <f t="shared" si="106"/>
        <v>34772.870963168069</v>
      </c>
    </row>
    <row r="429" spans="1:17" ht="14.4">
      <c r="A429" s="395" t="s">
        <v>331</v>
      </c>
      <c r="B429" s="378">
        <f>+SUM(C429:Q429)</f>
        <v>11487.524395535713</v>
      </c>
      <c r="C429" s="377">
        <f>+C418</f>
        <v>1148.7524395535715</v>
      </c>
      <c r="D429" s="377">
        <f t="shared" ref="D429:Q429" si="107">+D418</f>
        <v>1148.7524395535715</v>
      </c>
      <c r="E429" s="377">
        <f t="shared" si="107"/>
        <v>1148.7524395535715</v>
      </c>
      <c r="F429" s="377">
        <f t="shared" si="107"/>
        <v>1148.7524395535715</v>
      </c>
      <c r="G429" s="377">
        <f t="shared" si="107"/>
        <v>1148.7524395535715</v>
      </c>
      <c r="H429" s="377">
        <f t="shared" si="107"/>
        <v>1148.7524395535715</v>
      </c>
      <c r="I429" s="377">
        <f t="shared" si="107"/>
        <v>1148.7524395535715</v>
      </c>
      <c r="J429" s="377">
        <f t="shared" si="107"/>
        <v>1148.7524395535715</v>
      </c>
      <c r="K429" s="377">
        <f t="shared" si="107"/>
        <v>1148.7524395535715</v>
      </c>
      <c r="L429" s="377">
        <f t="shared" si="107"/>
        <v>1148.7524395535715</v>
      </c>
      <c r="M429" s="377">
        <f t="shared" si="107"/>
        <v>0</v>
      </c>
      <c r="N429" s="377">
        <f t="shared" si="107"/>
        <v>0</v>
      </c>
      <c r="O429" s="377">
        <f t="shared" si="107"/>
        <v>0</v>
      </c>
      <c r="P429" s="377">
        <f t="shared" si="107"/>
        <v>0</v>
      </c>
      <c r="Q429" s="377">
        <f t="shared" si="107"/>
        <v>0</v>
      </c>
    </row>
    <row r="430" spans="1:17" ht="14.4">
      <c r="A430" s="395" t="s">
        <v>332</v>
      </c>
      <c r="B430" s="378">
        <f>+Baseline_NaturalGas!C408</f>
        <v>0</v>
      </c>
      <c r="C430" s="367">
        <f>+Baseline_NaturalGas!D408</f>
        <v>0</v>
      </c>
      <c r="D430" s="367">
        <f>+Baseline_NaturalGas!E408</f>
        <v>0</v>
      </c>
      <c r="E430" s="367">
        <f>+Baseline_NaturalGas!F408</f>
        <v>0</v>
      </c>
      <c r="F430" s="367">
        <f>+Baseline_NaturalGas!G408</f>
        <v>0</v>
      </c>
      <c r="G430" s="367">
        <f>+Baseline_NaturalGas!H408</f>
        <v>0</v>
      </c>
      <c r="H430" s="367">
        <f>+Baseline_NaturalGas!I408</f>
        <v>0</v>
      </c>
      <c r="I430" s="367">
        <f>+Baseline_NaturalGas!J408</f>
        <v>0</v>
      </c>
      <c r="J430" s="367">
        <f>+Baseline_NaturalGas!K408</f>
        <v>0</v>
      </c>
      <c r="K430" s="367">
        <f>+Baseline_NaturalGas!L408</f>
        <v>0</v>
      </c>
      <c r="L430" s="367">
        <f>+Baseline_NaturalGas!M408</f>
        <v>0</v>
      </c>
      <c r="M430" s="367">
        <f>+Baseline_NaturalGas!N408</f>
        <v>0</v>
      </c>
      <c r="N430" s="367">
        <f>+Baseline_NaturalGas!O408</f>
        <v>0</v>
      </c>
      <c r="O430" s="367">
        <f>+Baseline_NaturalGas!P408</f>
        <v>0</v>
      </c>
      <c r="P430" s="367">
        <f>+Baseline_NaturalGas!Q408</f>
        <v>0</v>
      </c>
      <c r="Q430" s="367">
        <f>+Baseline_NaturalGas!R408</f>
        <v>0</v>
      </c>
    </row>
    <row r="431" spans="1:17" ht="14.4">
      <c r="A431" s="510"/>
      <c r="B431" s="511"/>
      <c r="C431" s="511"/>
      <c r="D431" s="511"/>
      <c r="E431" s="511"/>
      <c r="F431" s="511"/>
      <c r="G431" s="511"/>
      <c r="H431" s="511"/>
      <c r="I431" s="511"/>
      <c r="J431" s="511"/>
      <c r="K431" s="511"/>
      <c r="L431" s="511"/>
      <c r="M431" s="511"/>
      <c r="N431" s="511"/>
      <c r="O431" s="511"/>
      <c r="P431" s="511"/>
      <c r="Q431" s="511"/>
    </row>
    <row r="432" spans="1:17" ht="14.4">
      <c r="A432" s="366" t="s">
        <v>110</v>
      </c>
      <c r="B432" s="378">
        <f>-Baseline_NaturalGas!$D$5</f>
        <v>-11487.524395535715</v>
      </c>
      <c r="C432" s="367">
        <f>+C428+C429+C430</f>
        <v>24194.425069327743</v>
      </c>
      <c r="D432" s="367">
        <f t="shared" ref="D432:Q432" si="108">+D428+D429+D430</f>
        <v>24953.958779935318</v>
      </c>
      <c r="E432" s="367">
        <f t="shared" si="108"/>
        <v>25618.950772178534</v>
      </c>
      <c r="F432" s="367">
        <f t="shared" si="108"/>
        <v>26246.65567117474</v>
      </c>
      <c r="G432" s="367">
        <f t="shared" si="108"/>
        <v>27007.839664696374</v>
      </c>
      <c r="H432" s="367">
        <f t="shared" si="108"/>
        <v>27676.040025659095</v>
      </c>
      <c r="I432" s="367">
        <f t="shared" si="108"/>
        <v>28308.553273419056</v>
      </c>
      <c r="J432" s="367">
        <f t="shared" si="108"/>
        <v>29135.264594805012</v>
      </c>
      <c r="K432" s="367">
        <f t="shared" si="108"/>
        <v>29984.131779604111</v>
      </c>
      <c r="L432" s="367">
        <f t="shared" si="108"/>
        <v>30855.748604955836</v>
      </c>
      <c r="M432" s="367">
        <f t="shared" si="108"/>
        <v>30946.598053539477</v>
      </c>
      <c r="N432" s="367">
        <f t="shared" si="108"/>
        <v>31865.559570798679</v>
      </c>
      <c r="O432" s="367">
        <f t="shared" si="108"/>
        <v>32809.14925672044</v>
      </c>
      <c r="P432" s="367">
        <f t="shared" si="108"/>
        <v>33778.027146224893</v>
      </c>
      <c r="Q432" s="367">
        <f t="shared" si="108"/>
        <v>34772.870963168069</v>
      </c>
    </row>
    <row r="433" spans="1:17" ht="15.6">
      <c r="A433" s="366" t="s">
        <v>51</v>
      </c>
      <c r="B433" s="132">
        <f>IRR(B432:Q432)</f>
        <v>2.135861098140774</v>
      </c>
      <c r="C433" s="390"/>
      <c r="D433" s="390"/>
      <c r="E433" s="390"/>
      <c r="F433" s="390"/>
      <c r="G433" s="390"/>
      <c r="H433" s="390"/>
      <c r="I433" s="390"/>
      <c r="J433" s="390"/>
      <c r="K433" s="390"/>
      <c r="L433" s="390"/>
      <c r="M433" s="390"/>
      <c r="N433" s="390"/>
      <c r="O433" s="390"/>
      <c r="P433" s="390"/>
      <c r="Q433" s="390"/>
    </row>
    <row r="434" spans="1:17" ht="15.6">
      <c r="A434" s="366" t="s">
        <v>267</v>
      </c>
      <c r="B434" s="303">
        <f>NPV('Initial Data'!$C$21/100,B432:Q432)</f>
        <v>158436.18624117569</v>
      </c>
      <c r="C434" s="373"/>
      <c r="D434" s="373"/>
      <c r="E434" s="373"/>
      <c r="F434" s="373"/>
      <c r="G434" s="373"/>
      <c r="H434" s="373"/>
      <c r="I434" s="373"/>
      <c r="J434" s="373"/>
      <c r="K434" s="373"/>
      <c r="L434" s="373"/>
      <c r="M434" s="373"/>
      <c r="N434" s="373"/>
      <c r="O434" s="373"/>
      <c r="P434" s="373"/>
      <c r="Q434" s="373"/>
    </row>
    <row r="435" spans="1:17" ht="14.4">
      <c r="A435" s="370"/>
      <c r="B435" s="379"/>
      <c r="C435" s="379"/>
      <c r="D435" s="379"/>
      <c r="E435" s="379"/>
      <c r="F435" s="379"/>
      <c r="G435" s="379"/>
      <c r="H435" s="379"/>
      <c r="I435" s="379"/>
      <c r="J435" s="379"/>
      <c r="K435" s="379"/>
      <c r="L435" s="379"/>
      <c r="M435" s="379"/>
      <c r="N435" s="379"/>
      <c r="O435" s="379"/>
      <c r="P435" s="379"/>
      <c r="Q435" s="379"/>
    </row>
    <row r="436" spans="1:17" ht="14.4">
      <c r="A436" s="508" t="s">
        <v>336</v>
      </c>
      <c r="B436" s="509"/>
      <c r="C436" s="509"/>
      <c r="D436" s="509"/>
      <c r="E436" s="509"/>
      <c r="F436" s="509"/>
      <c r="G436" s="509"/>
      <c r="H436" s="509"/>
      <c r="I436" s="509"/>
      <c r="J436" s="509"/>
      <c r="K436" s="509"/>
      <c r="L436" s="509"/>
      <c r="M436" s="509"/>
      <c r="N436" s="509"/>
      <c r="O436" s="509"/>
      <c r="P436" s="509"/>
      <c r="Q436" s="509"/>
    </row>
    <row r="437" spans="1:17" ht="14.4">
      <c r="A437" s="371" t="s">
        <v>317</v>
      </c>
      <c r="B437" s="372"/>
      <c r="C437" s="372"/>
      <c r="D437" s="372"/>
      <c r="E437" s="372"/>
      <c r="F437" s="372"/>
      <c r="G437" s="372"/>
      <c r="H437" s="372"/>
      <c r="I437" s="372"/>
      <c r="J437" s="372"/>
      <c r="K437" s="372"/>
      <c r="L437" s="372"/>
      <c r="M437" s="372"/>
      <c r="N437" s="372"/>
      <c r="O437" s="372"/>
      <c r="P437" s="372"/>
      <c r="Q437" s="372"/>
    </row>
    <row r="438" spans="1:17" ht="27">
      <c r="A438" s="376"/>
      <c r="B438" s="304" t="s">
        <v>35</v>
      </c>
      <c r="C438" s="352" t="s">
        <v>407</v>
      </c>
      <c r="D438" s="352" t="s">
        <v>408</v>
      </c>
      <c r="E438" s="352" t="s">
        <v>409</v>
      </c>
      <c r="F438" s="352" t="s">
        <v>410</v>
      </c>
      <c r="G438" s="352" t="s">
        <v>411</v>
      </c>
      <c r="H438" s="352" t="s">
        <v>412</v>
      </c>
      <c r="I438" s="352" t="s">
        <v>413</v>
      </c>
      <c r="J438" s="352" t="s">
        <v>414</v>
      </c>
      <c r="K438" s="352" t="s">
        <v>415</v>
      </c>
      <c r="L438" s="352" t="s">
        <v>416</v>
      </c>
      <c r="M438" s="352" t="s">
        <v>417</v>
      </c>
      <c r="N438" s="352" t="s">
        <v>418</v>
      </c>
      <c r="O438" s="352" t="s">
        <v>419</v>
      </c>
      <c r="P438" s="352" t="s">
        <v>420</v>
      </c>
      <c r="Q438" s="352" t="s">
        <v>421</v>
      </c>
    </row>
    <row r="439" spans="1:17" ht="14.4">
      <c r="A439" s="363" t="s">
        <v>290</v>
      </c>
      <c r="B439" s="365"/>
      <c r="C439" s="367">
        <f>+Baseline_NaturalGas!D10</f>
        <v>219000</v>
      </c>
      <c r="D439" s="367">
        <f>+Baseline_NaturalGas!E10</f>
        <v>219000</v>
      </c>
      <c r="E439" s="367">
        <f>+Baseline_NaturalGas!F10</f>
        <v>219000</v>
      </c>
      <c r="F439" s="367">
        <f>+Baseline_NaturalGas!G10</f>
        <v>219000</v>
      </c>
      <c r="G439" s="367">
        <f>+Baseline_NaturalGas!H10</f>
        <v>219000</v>
      </c>
      <c r="H439" s="367">
        <f>+Baseline_NaturalGas!I10</f>
        <v>219000</v>
      </c>
      <c r="I439" s="367">
        <f>+Baseline_NaturalGas!J10</f>
        <v>219000</v>
      </c>
      <c r="J439" s="367">
        <f>+Baseline_NaturalGas!K10</f>
        <v>219000</v>
      </c>
      <c r="K439" s="367">
        <f>+Baseline_NaturalGas!L10</f>
        <v>219000</v>
      </c>
      <c r="L439" s="367">
        <f>+Baseline_NaturalGas!M10</f>
        <v>219000</v>
      </c>
      <c r="M439" s="367">
        <f>+Baseline_NaturalGas!N10</f>
        <v>219000</v>
      </c>
      <c r="N439" s="367">
        <f>+Baseline_NaturalGas!O10</f>
        <v>219000</v>
      </c>
      <c r="O439" s="367">
        <f>+Baseline_NaturalGas!P10</f>
        <v>219000</v>
      </c>
      <c r="P439" s="367">
        <f>+Baseline_NaturalGas!Q10</f>
        <v>219000</v>
      </c>
      <c r="Q439" s="367">
        <f>+Baseline_NaturalGas!R10</f>
        <v>219000</v>
      </c>
    </row>
    <row r="440" spans="1:17" ht="14.4">
      <c r="A440" s="364" t="s">
        <v>291</v>
      </c>
      <c r="B440" s="365"/>
      <c r="C440" s="367">
        <f>+Baseline_NaturalGas!D11</f>
        <v>70</v>
      </c>
      <c r="D440" s="367">
        <f>+Baseline_NaturalGas!E11</f>
        <v>70</v>
      </c>
      <c r="E440" s="367">
        <f>+Baseline_NaturalGas!F11</f>
        <v>70</v>
      </c>
      <c r="F440" s="367">
        <f>+Baseline_NaturalGas!G11</f>
        <v>70</v>
      </c>
      <c r="G440" s="367">
        <f>+Baseline_NaturalGas!H11</f>
        <v>70</v>
      </c>
      <c r="H440" s="367">
        <f>+Baseline_NaturalGas!I11</f>
        <v>70</v>
      </c>
      <c r="I440" s="367">
        <f>+Baseline_NaturalGas!J11</f>
        <v>70</v>
      </c>
      <c r="J440" s="367">
        <f>+Baseline_NaturalGas!K11</f>
        <v>70</v>
      </c>
      <c r="K440" s="367">
        <f>+Baseline_NaturalGas!L11</f>
        <v>70</v>
      </c>
      <c r="L440" s="367">
        <f>+Baseline_NaturalGas!M11</f>
        <v>70</v>
      </c>
      <c r="M440" s="367">
        <f>+Baseline_NaturalGas!N11</f>
        <v>70</v>
      </c>
      <c r="N440" s="367">
        <f>+Baseline_NaturalGas!O11</f>
        <v>70</v>
      </c>
      <c r="O440" s="367">
        <f>+Baseline_NaturalGas!P11</f>
        <v>70</v>
      </c>
      <c r="P440" s="367">
        <f>+Baseline_NaturalGas!Q11</f>
        <v>70</v>
      </c>
      <c r="Q440" s="367">
        <f>+Baseline_NaturalGas!R11</f>
        <v>70</v>
      </c>
    </row>
    <row r="441" spans="1:17" ht="14.4">
      <c r="A441" s="366" t="s">
        <v>292</v>
      </c>
      <c r="B441" s="365"/>
      <c r="C441" s="383">
        <f>+Baseline_NaturalGas!D12*(1+$C$7)</f>
        <v>6.1071428571428568</v>
      </c>
      <c r="D441" s="383">
        <f>+Baseline_NaturalGas!E12*(1+$C$7)</f>
        <v>6.2708142857142848</v>
      </c>
      <c r="E441" s="383">
        <f>+Baseline_NaturalGas!F12*(1+$C$7)</f>
        <v>6.4388721085714273</v>
      </c>
      <c r="F441" s="383">
        <f>+Baseline_NaturalGas!G12*(1+$C$7)</f>
        <v>6.6114338810811413</v>
      </c>
      <c r="G441" s="383">
        <f>+Baseline_NaturalGas!H12*(1+$C$7)</f>
        <v>6.7886203090941155</v>
      </c>
      <c r="H441" s="383">
        <f>+Baseline_NaturalGas!I12*(1+$C$7)</f>
        <v>6.9705553333778374</v>
      </c>
      <c r="I441" s="383">
        <f>+Baseline_NaturalGas!J12*(1+$C$7)</f>
        <v>7.1573662163123632</v>
      </c>
      <c r="J441" s="383">
        <f>+Baseline_NaturalGas!K12*(1+$C$7)</f>
        <v>7.3491836309095335</v>
      </c>
      <c r="K441" s="383">
        <f>+Baseline_NaturalGas!L12*(1+$C$7)</f>
        <v>7.5461417522179088</v>
      </c>
      <c r="L441" s="383">
        <f>+Baseline_NaturalGas!M12*(1+$C$7)</f>
        <v>7.7483783511773474</v>
      </c>
      <c r="M441" s="383">
        <f>+Baseline_NaturalGas!N12*(1+$C$7)</f>
        <v>7.9560348909889003</v>
      </c>
      <c r="N441" s="383">
        <f>+Baseline_NaturalGas!O12*(1+$C$7)</f>
        <v>8.1692566260674013</v>
      </c>
      <c r="O441" s="383">
        <f>+Baseline_NaturalGas!P12*(1+$C$7)</f>
        <v>8.3881927036460073</v>
      </c>
      <c r="P441" s="383">
        <f>+Baseline_NaturalGas!Q12*(1+$C$7)</f>
        <v>8.6129962681037195</v>
      </c>
      <c r="Q441" s="383">
        <f>+Baseline_NaturalGas!R12*(1+$C$7)</f>
        <v>8.8438245680888983</v>
      </c>
    </row>
    <row r="442" spans="1:17" ht="14.4">
      <c r="A442" s="366" t="s">
        <v>293</v>
      </c>
      <c r="B442" s="365"/>
      <c r="C442" s="381">
        <f>C440*C441</f>
        <v>427.5</v>
      </c>
      <c r="D442" s="381">
        <f t="shared" ref="D442:Q442" si="109">D440*D441</f>
        <v>438.95699999999994</v>
      </c>
      <c r="E442" s="381">
        <f t="shared" si="109"/>
        <v>450.72104759999991</v>
      </c>
      <c r="F442" s="381">
        <f t="shared" si="109"/>
        <v>462.80037167567991</v>
      </c>
      <c r="G442" s="381">
        <f t="shared" si="109"/>
        <v>475.20342163658808</v>
      </c>
      <c r="H442" s="381">
        <f t="shared" si="109"/>
        <v>487.93887333644864</v>
      </c>
      <c r="I442" s="381">
        <f t="shared" si="109"/>
        <v>501.0156351418654</v>
      </c>
      <c r="J442" s="381">
        <f t="shared" si="109"/>
        <v>514.44285416366733</v>
      </c>
      <c r="K442" s="381">
        <f t="shared" si="109"/>
        <v>528.22992265525363</v>
      </c>
      <c r="L442" s="381">
        <f t="shared" si="109"/>
        <v>542.38648458241437</v>
      </c>
      <c r="M442" s="381">
        <f t="shared" si="109"/>
        <v>556.92244236922306</v>
      </c>
      <c r="N442" s="381">
        <f t="shared" si="109"/>
        <v>571.84796382471814</v>
      </c>
      <c r="O442" s="381">
        <f t="shared" si="109"/>
        <v>587.17348925522049</v>
      </c>
      <c r="P442" s="381">
        <f t="shared" si="109"/>
        <v>602.90973876726036</v>
      </c>
      <c r="Q442" s="381">
        <f t="shared" si="109"/>
        <v>619.06771976622292</v>
      </c>
    </row>
    <row r="443" spans="1:17" ht="14.4">
      <c r="A443" s="370"/>
      <c r="B443" s="373"/>
      <c r="C443" s="373"/>
      <c r="D443" s="373"/>
      <c r="E443" s="373"/>
      <c r="F443" s="373"/>
      <c r="G443" s="373"/>
      <c r="H443" s="373"/>
      <c r="I443" s="373"/>
      <c r="J443" s="373"/>
      <c r="K443" s="373"/>
      <c r="L443" s="373"/>
      <c r="M443" s="373"/>
      <c r="N443" s="373"/>
      <c r="O443" s="373"/>
      <c r="P443" s="373"/>
      <c r="Q443" s="373"/>
    </row>
    <row r="444" spans="1:17" ht="14.4">
      <c r="A444" s="366" t="s">
        <v>294</v>
      </c>
      <c r="B444" s="378">
        <f>+SUM(C444:Q444)</f>
        <v>1700998.6152856289</v>
      </c>
      <c r="C444" s="381">
        <f>C439*C442/1000*'Initial Data'!$C$34/'Initial Data'!$C$33</f>
        <v>93622.5</v>
      </c>
      <c r="D444" s="381">
        <f>D439*D442/1000*'Initial Data'!$C$34/'Initial Data'!$C$33</f>
        <v>96131.582999999984</v>
      </c>
      <c r="E444" s="381">
        <f>E439*E442/1000*'Initial Data'!$C$34/'Initial Data'!$C$33</f>
        <v>98707.909424399986</v>
      </c>
      <c r="F444" s="381">
        <f>F439*F442/1000*'Initial Data'!$C$34/'Initial Data'!$C$33</f>
        <v>101353.28139697391</v>
      </c>
      <c r="G444" s="381">
        <f>G439*G442/1000*'Initial Data'!$C$34/'Initial Data'!$C$33</f>
        <v>104069.54933841279</v>
      </c>
      <c r="H444" s="381">
        <f>H439*H442/1000*'Initial Data'!$C$34/'Initial Data'!$C$33</f>
        <v>106858.61326068225</v>
      </c>
      <c r="I444" s="381">
        <f>I439*I442/1000*'Initial Data'!$C$34/'Initial Data'!$C$33</f>
        <v>109722.42409606851</v>
      </c>
      <c r="J444" s="381">
        <f>J439*J442/1000*'Initial Data'!$C$34/'Initial Data'!$C$33</f>
        <v>112662.98506184314</v>
      </c>
      <c r="K444" s="381">
        <f>K439*K442/1000*'Initial Data'!$C$34/'Initial Data'!$C$33</f>
        <v>115682.35306150054</v>
      </c>
      <c r="L444" s="381">
        <f>L439*L442/1000*'Initial Data'!$C$34/'Initial Data'!$C$33</f>
        <v>118782.64012354874</v>
      </c>
      <c r="M444" s="381">
        <f>M439*M442/1000*'Initial Data'!$C$34/'Initial Data'!$C$33</f>
        <v>121966.01487885985</v>
      </c>
      <c r="N444" s="381">
        <f>N439*N442/1000*'Initial Data'!$C$34/'Initial Data'!$C$33</f>
        <v>125234.70407761328</v>
      </c>
      <c r="O444" s="381">
        <f>O439*O442/1000*'Initial Data'!$C$34/'Initial Data'!$C$33</f>
        <v>128590.99414689328</v>
      </c>
      <c r="P444" s="381">
        <f>P439*P442/1000*'Initial Data'!$C$34/'Initial Data'!$C$33</f>
        <v>132037.23279003002</v>
      </c>
      <c r="Q444" s="381">
        <f>Q439*Q442/1000*'Initial Data'!$C$34/'Initial Data'!$C$33</f>
        <v>135575.8306288028</v>
      </c>
    </row>
    <row r="445" spans="1:17" ht="14.4">
      <c r="A445" s="370"/>
      <c r="B445" s="373"/>
      <c r="C445" s="373"/>
      <c r="D445" s="373"/>
      <c r="E445" s="373"/>
      <c r="F445" s="373"/>
      <c r="G445" s="373"/>
      <c r="H445" s="373"/>
      <c r="I445" s="373"/>
      <c r="J445" s="373"/>
      <c r="K445" s="373"/>
      <c r="L445" s="373"/>
      <c r="M445" s="373"/>
      <c r="N445" s="373"/>
      <c r="O445" s="373"/>
      <c r="P445" s="373"/>
      <c r="Q445" s="373"/>
    </row>
    <row r="446" spans="1:17" ht="14.4">
      <c r="A446" s="366" t="s">
        <v>295</v>
      </c>
      <c r="B446" s="378">
        <f>+SUM(C446:Q446)</f>
        <v>1700998.6152856289</v>
      </c>
      <c r="C446" s="367">
        <f>+C444</f>
        <v>93622.5</v>
      </c>
      <c r="D446" s="367">
        <f t="shared" ref="D446:Q446" si="110">+D444</f>
        <v>96131.582999999984</v>
      </c>
      <c r="E446" s="367">
        <f t="shared" si="110"/>
        <v>98707.909424399986</v>
      </c>
      <c r="F446" s="367">
        <f t="shared" si="110"/>
        <v>101353.28139697391</v>
      </c>
      <c r="G446" s="367">
        <f t="shared" si="110"/>
        <v>104069.54933841279</v>
      </c>
      <c r="H446" s="367">
        <f t="shared" si="110"/>
        <v>106858.61326068225</v>
      </c>
      <c r="I446" s="367">
        <f t="shared" si="110"/>
        <v>109722.42409606851</v>
      </c>
      <c r="J446" s="367">
        <f t="shared" si="110"/>
        <v>112662.98506184314</v>
      </c>
      <c r="K446" s="367">
        <f t="shared" si="110"/>
        <v>115682.35306150054</v>
      </c>
      <c r="L446" s="367">
        <f t="shared" si="110"/>
        <v>118782.64012354874</v>
      </c>
      <c r="M446" s="367">
        <f t="shared" si="110"/>
        <v>121966.01487885985</v>
      </c>
      <c r="N446" s="367">
        <f t="shared" si="110"/>
        <v>125234.70407761328</v>
      </c>
      <c r="O446" s="367">
        <f t="shared" si="110"/>
        <v>128590.99414689328</v>
      </c>
      <c r="P446" s="367">
        <f t="shared" si="110"/>
        <v>132037.23279003002</v>
      </c>
      <c r="Q446" s="367">
        <f t="shared" si="110"/>
        <v>135575.8306288028</v>
      </c>
    </row>
    <row r="447" spans="1:17" ht="14.4">
      <c r="A447" s="370"/>
      <c r="B447" s="374"/>
      <c r="C447" s="374"/>
      <c r="D447" s="374"/>
      <c r="E447" s="374"/>
      <c r="F447" s="374"/>
      <c r="G447" s="374"/>
      <c r="H447" s="374"/>
      <c r="I447" s="374"/>
      <c r="J447" s="374"/>
      <c r="K447" s="374"/>
      <c r="L447" s="374"/>
      <c r="M447" s="374"/>
      <c r="N447" s="374"/>
      <c r="O447" s="374"/>
      <c r="P447" s="374"/>
      <c r="Q447" s="374"/>
    </row>
    <row r="448" spans="1:17" ht="14.4">
      <c r="A448" s="366" t="s">
        <v>68</v>
      </c>
      <c r="B448" s="368"/>
      <c r="C448" s="368"/>
      <c r="D448" s="368"/>
      <c r="E448" s="368"/>
      <c r="F448" s="368"/>
      <c r="G448" s="368"/>
      <c r="H448" s="368"/>
      <c r="I448" s="368"/>
      <c r="J448" s="368"/>
      <c r="K448" s="368"/>
      <c r="L448" s="368"/>
      <c r="M448" s="368"/>
      <c r="N448" s="368"/>
      <c r="O448" s="368"/>
      <c r="P448" s="368"/>
      <c r="Q448" s="368"/>
    </row>
    <row r="449" spans="1:17" ht="14.4">
      <c r="A449" s="366" t="s">
        <v>330</v>
      </c>
      <c r="B449" s="378">
        <f>+SUM(C449:Q449)</f>
        <v>17405.991521183645</v>
      </c>
      <c r="C449" s="377">
        <f>+Baseline_NaturalGas!D20</f>
        <v>958.02102749999995</v>
      </c>
      <c r="D449" s="377">
        <f>+Baseline_NaturalGas!E20</f>
        <v>983.69599103699989</v>
      </c>
      <c r="E449" s="377">
        <f>+Baseline_NaturalGas!F20</f>
        <v>1010.0590435967914</v>
      </c>
      <c r="F449" s="377">
        <f>+Baseline_NaturalGas!G20</f>
        <v>1037.1286259651854</v>
      </c>
      <c r="G449" s="377">
        <f>+Baseline_NaturalGas!H20</f>
        <v>1064.9236731410524</v>
      </c>
      <c r="H449" s="377">
        <f>+Baseline_NaturalGas!I20</f>
        <v>1093.4636275812325</v>
      </c>
      <c r="I449" s="377">
        <f>+Baseline_NaturalGas!J20</f>
        <v>1122.7684528004095</v>
      </c>
      <c r="J449" s="377">
        <f>+Baseline_NaturalGas!K20</f>
        <v>1152.8586473354603</v>
      </c>
      <c r="K449" s="377">
        <f>+Baseline_NaturalGas!L20</f>
        <v>1183.7552590840505</v>
      </c>
      <c r="L449" s="377">
        <f>+Baseline_NaturalGas!M20</f>
        <v>1215.4799000275029</v>
      </c>
      <c r="M449" s="377">
        <f>+Baseline_NaturalGas!N20</f>
        <v>1248.0547613482399</v>
      </c>
      <c r="N449" s="377">
        <f>+Baseline_NaturalGas!O20</f>
        <v>1281.5026289523728</v>
      </c>
      <c r="O449" s="377">
        <f>+Baseline_NaturalGas!P20</f>
        <v>1315.8468994082964</v>
      </c>
      <c r="P449" s="377">
        <f>+Baseline_NaturalGas!Q20</f>
        <v>1351.1115963124387</v>
      </c>
      <c r="Q449" s="377">
        <f>+Baseline_NaturalGas!R20</f>
        <v>1387.321387093612</v>
      </c>
    </row>
    <row r="450" spans="1:17" ht="14.4">
      <c r="A450" s="370"/>
      <c r="B450" s="369"/>
      <c r="C450" s="369"/>
      <c r="D450" s="369"/>
      <c r="E450" s="369"/>
      <c r="F450" s="369"/>
      <c r="G450" s="369"/>
      <c r="H450" s="369"/>
      <c r="I450" s="369"/>
      <c r="J450" s="369"/>
      <c r="K450" s="369"/>
      <c r="L450" s="369"/>
      <c r="M450" s="369"/>
      <c r="N450" s="369"/>
      <c r="O450" s="369"/>
      <c r="P450" s="369"/>
      <c r="Q450" s="369"/>
    </row>
    <row r="451" spans="1:17" ht="14.4">
      <c r="A451" s="366" t="s">
        <v>71</v>
      </c>
      <c r="B451" s="379"/>
      <c r="C451" s="379"/>
      <c r="D451" s="379"/>
      <c r="E451" s="379"/>
      <c r="F451" s="379"/>
      <c r="G451" s="379"/>
      <c r="H451" s="379"/>
      <c r="I451" s="379"/>
      <c r="J451" s="379"/>
      <c r="K451" s="379"/>
      <c r="L451" s="379"/>
      <c r="M451" s="379"/>
      <c r="N451" s="379"/>
      <c r="O451" s="379"/>
      <c r="P451" s="379"/>
      <c r="Q451" s="379"/>
    </row>
    <row r="452" spans="1:17" ht="14.4">
      <c r="A452" s="370"/>
      <c r="B452" s="379"/>
      <c r="C452" s="379"/>
      <c r="D452" s="379"/>
      <c r="E452" s="379"/>
      <c r="F452" s="379"/>
      <c r="G452" s="379"/>
      <c r="H452" s="379"/>
      <c r="I452" s="379"/>
      <c r="J452" s="379"/>
      <c r="K452" s="379"/>
      <c r="L452" s="379"/>
      <c r="M452" s="379"/>
      <c r="N452" s="379"/>
      <c r="O452" s="379"/>
      <c r="P452" s="379"/>
      <c r="Q452" s="379"/>
    </row>
    <row r="453" spans="1:17" ht="14.4">
      <c r="A453" s="366" t="s">
        <v>64</v>
      </c>
      <c r="B453" s="373"/>
      <c r="C453" s="367">
        <f>+Baseline_NaturalGas!D24</f>
        <v>1656.5089715892002</v>
      </c>
      <c r="D453" s="367">
        <f>+Baseline_NaturalGas!E24</f>
        <v>1656.5089715892002</v>
      </c>
      <c r="E453" s="367">
        <f>+Baseline_NaturalGas!F24</f>
        <v>1656.5089715892002</v>
      </c>
      <c r="F453" s="367">
        <f>+Baseline_NaturalGas!G24</f>
        <v>1656.5089715892002</v>
      </c>
      <c r="G453" s="367">
        <f>+Baseline_NaturalGas!H24</f>
        <v>1656.5089715892002</v>
      </c>
      <c r="H453" s="367">
        <f>+Baseline_NaturalGas!I24</f>
        <v>1656.5089715892002</v>
      </c>
      <c r="I453" s="367">
        <f>+Baseline_NaturalGas!J24</f>
        <v>1656.5089715892002</v>
      </c>
      <c r="J453" s="367">
        <f>+Baseline_NaturalGas!K24</f>
        <v>1656.5089715892002</v>
      </c>
      <c r="K453" s="367">
        <f>+Baseline_NaturalGas!L24</f>
        <v>1656.5089715892002</v>
      </c>
      <c r="L453" s="367">
        <f>+Baseline_NaturalGas!M24</f>
        <v>1656.5089715892002</v>
      </c>
      <c r="M453" s="367">
        <f>+Baseline_NaturalGas!N24</f>
        <v>1656.5089715892002</v>
      </c>
      <c r="N453" s="367">
        <f>+Baseline_NaturalGas!O24</f>
        <v>1656.5089715892002</v>
      </c>
      <c r="O453" s="367">
        <f>+Baseline_NaturalGas!P24</f>
        <v>1656.5089715892002</v>
      </c>
      <c r="P453" s="367">
        <f>+Baseline_NaturalGas!Q24</f>
        <v>1656.5089715892002</v>
      </c>
      <c r="Q453" s="367">
        <f>+Baseline_NaturalGas!R24</f>
        <v>1656.5089715892002</v>
      </c>
    </row>
    <row r="454" spans="1:17" ht="14.4">
      <c r="A454" s="366" t="s">
        <v>108</v>
      </c>
      <c r="B454" s="387">
        <f>+Baseline_NaturalGas!C25</f>
        <v>0.90200000000000002</v>
      </c>
      <c r="C454" s="373"/>
      <c r="D454" s="373"/>
      <c r="E454" s="373"/>
      <c r="F454" s="373"/>
      <c r="G454" s="373"/>
      <c r="H454" s="373"/>
      <c r="I454" s="373"/>
      <c r="J454" s="373"/>
      <c r="K454" s="373"/>
      <c r="L454" s="373"/>
      <c r="M454" s="373"/>
      <c r="N454" s="373"/>
      <c r="O454" s="373"/>
      <c r="P454" s="373"/>
      <c r="Q454" s="373"/>
    </row>
    <row r="455" spans="1:17" ht="14.4">
      <c r="A455" s="366" t="s">
        <v>346</v>
      </c>
      <c r="B455" s="373"/>
      <c r="C455" s="367">
        <f>+Baseline_NaturalGas!D26</f>
        <v>1741816.7092883086</v>
      </c>
      <c r="D455" s="367">
        <f>+Baseline_NaturalGas!E26</f>
        <v>1741816.7092883086</v>
      </c>
      <c r="E455" s="367">
        <f>+Baseline_NaturalGas!F26</f>
        <v>1741816.7092883086</v>
      </c>
      <c r="F455" s="367">
        <f>+Baseline_NaturalGas!G26</f>
        <v>1741816.7092883086</v>
      </c>
      <c r="G455" s="367">
        <f>+Baseline_NaturalGas!H26</f>
        <v>1741816.7092883086</v>
      </c>
      <c r="H455" s="367">
        <f>+Baseline_NaturalGas!I26</f>
        <v>1741816.7092883086</v>
      </c>
      <c r="I455" s="367">
        <f>+Baseline_NaturalGas!J26</f>
        <v>1741816.7092883086</v>
      </c>
      <c r="J455" s="367">
        <f>+Baseline_NaturalGas!K26</f>
        <v>1741816.7092883086</v>
      </c>
      <c r="K455" s="367">
        <f>+Baseline_NaturalGas!L26</f>
        <v>1741816.7092883086</v>
      </c>
      <c r="L455" s="367">
        <f>+Baseline_NaturalGas!M26</f>
        <v>1741816.7092883086</v>
      </c>
      <c r="M455" s="367">
        <f>+Baseline_NaturalGas!N26</f>
        <v>1741816.7092883086</v>
      </c>
      <c r="N455" s="367">
        <f>+Baseline_NaturalGas!O26</f>
        <v>1741816.7092883086</v>
      </c>
      <c r="O455" s="367">
        <f>+Baseline_NaturalGas!P26</f>
        <v>1741816.7092883086</v>
      </c>
      <c r="P455" s="367">
        <f>+Baseline_NaturalGas!Q26</f>
        <v>1741816.7092883086</v>
      </c>
      <c r="Q455" s="367">
        <f>+Baseline_NaturalGas!R26</f>
        <v>1741816.7092883086</v>
      </c>
    </row>
    <row r="456" spans="1:17" ht="14.4">
      <c r="A456" s="366" t="s">
        <v>66</v>
      </c>
      <c r="B456" s="373"/>
      <c r="C456" s="386">
        <f>+Baseline_NaturalGas!D27</f>
        <v>5.6086944825694198</v>
      </c>
      <c r="D456" s="386">
        <f>+Baseline_NaturalGas!E27</f>
        <v>5.5051083831058802</v>
      </c>
      <c r="E456" s="386">
        <f>+Baseline_NaturalGas!F27</f>
        <v>5.61862622286578</v>
      </c>
      <c r="F456" s="386">
        <f>+Baseline_NaturalGas!G27</f>
        <v>5.8406487933251103</v>
      </c>
      <c r="G456" s="386">
        <f>+Baseline_NaturalGas!H27</f>
        <v>5.8453745748678001</v>
      </c>
      <c r="H456" s="386">
        <f>+Baseline_NaturalGas!I27</f>
        <v>6.0672099673130804</v>
      </c>
      <c r="I456" s="386">
        <f>+Baseline_NaturalGas!J27</f>
        <v>6.39755565092754</v>
      </c>
      <c r="J456" s="386">
        <f>+Baseline_NaturalGas!K27</f>
        <v>6.39755565092754</v>
      </c>
      <c r="K456" s="386">
        <f>+Baseline_NaturalGas!L27</f>
        <v>6.39755565092754</v>
      </c>
      <c r="L456" s="386">
        <f>+Baseline_NaturalGas!M27</f>
        <v>6.39755565092754</v>
      </c>
      <c r="M456" s="386">
        <f>+Baseline_NaturalGas!N27</f>
        <v>6.39755565092754</v>
      </c>
      <c r="N456" s="386">
        <f>+Baseline_NaturalGas!O27</f>
        <v>6.39755565092754</v>
      </c>
      <c r="O456" s="386">
        <f>+Baseline_NaturalGas!P27</f>
        <v>6.39755565092754</v>
      </c>
      <c r="P456" s="386">
        <f>+Baseline_NaturalGas!Q27</f>
        <v>6.39755565092754</v>
      </c>
      <c r="Q456" s="386">
        <f>+Baseline_NaturalGas!R27</f>
        <v>6.39755565092754</v>
      </c>
    </row>
    <row r="457" spans="1:17" ht="14.4">
      <c r="A457" s="370"/>
      <c r="B457" s="379"/>
      <c r="C457" s="379"/>
      <c r="D457" s="379"/>
      <c r="E457" s="379"/>
      <c r="F457" s="379"/>
      <c r="G457" s="379"/>
      <c r="H457" s="379"/>
      <c r="I457" s="379"/>
      <c r="J457" s="379"/>
      <c r="K457" s="379"/>
      <c r="L457" s="379"/>
      <c r="M457" s="379"/>
      <c r="N457" s="379"/>
      <c r="O457" s="379"/>
      <c r="P457" s="379"/>
      <c r="Q457" s="379"/>
    </row>
    <row r="458" spans="1:17" ht="14.4">
      <c r="A458" s="366" t="s">
        <v>102</v>
      </c>
      <c r="B458" s="378">
        <f t="shared" ref="B458" si="111">+SUM(C458:Q458)</f>
        <v>160358.02702356796</v>
      </c>
      <c r="C458" s="375">
        <f>+C455*C456/1000</f>
        <v>9769.3177670325604</v>
      </c>
      <c r="D458" s="375">
        <f>+D455*D456/1000</f>
        <v>9588.8897681369654</v>
      </c>
      <c r="E458" s="375">
        <f t="shared" ref="E458:Q458" si="112">+E455*E456/1000</f>
        <v>9786.6170382330711</v>
      </c>
      <c r="F458" s="375">
        <f t="shared" si="112"/>
        <v>10173.339661298274</v>
      </c>
      <c r="G458" s="375">
        <f t="shared" si="112"/>
        <v>10181.571106553778</v>
      </c>
      <c r="H458" s="375">
        <f t="shared" si="112"/>
        <v>10567.967699826495</v>
      </c>
      <c r="I458" s="375">
        <f t="shared" si="112"/>
        <v>11143.36933138743</v>
      </c>
      <c r="J458" s="375">
        <f t="shared" si="112"/>
        <v>11143.36933138743</v>
      </c>
      <c r="K458" s="375">
        <f t="shared" si="112"/>
        <v>11143.36933138743</v>
      </c>
      <c r="L458" s="375">
        <f t="shared" si="112"/>
        <v>11143.36933138743</v>
      </c>
      <c r="M458" s="375">
        <f t="shared" si="112"/>
        <v>11143.36933138743</v>
      </c>
      <c r="N458" s="375">
        <f t="shared" si="112"/>
        <v>11143.36933138743</v>
      </c>
      <c r="O458" s="375">
        <f t="shared" si="112"/>
        <v>11143.36933138743</v>
      </c>
      <c r="P458" s="375">
        <f t="shared" si="112"/>
        <v>11143.36933138743</v>
      </c>
      <c r="Q458" s="375">
        <f t="shared" si="112"/>
        <v>11143.36933138743</v>
      </c>
    </row>
    <row r="459" spans="1:17" ht="14.4">
      <c r="A459" s="370"/>
      <c r="B459" s="373"/>
      <c r="C459" s="373"/>
      <c r="D459" s="373"/>
      <c r="E459" s="373"/>
      <c r="F459" s="373"/>
      <c r="G459" s="373"/>
      <c r="H459" s="373"/>
      <c r="I459" s="373"/>
      <c r="J459" s="373"/>
      <c r="K459" s="373"/>
      <c r="L459" s="373"/>
      <c r="M459" s="373"/>
      <c r="N459" s="373"/>
      <c r="O459" s="373"/>
      <c r="P459" s="373"/>
      <c r="Q459" s="373"/>
    </row>
    <row r="460" spans="1:17" ht="14.4">
      <c r="A460" s="370"/>
      <c r="B460" s="379"/>
      <c r="C460" s="379"/>
      <c r="D460" s="379"/>
      <c r="E460" s="379"/>
      <c r="F460" s="379"/>
      <c r="G460" s="379"/>
      <c r="H460" s="379"/>
      <c r="I460" s="379"/>
      <c r="J460" s="379"/>
      <c r="K460" s="379"/>
      <c r="L460" s="379"/>
      <c r="M460" s="379"/>
      <c r="N460" s="379"/>
      <c r="O460" s="379"/>
      <c r="P460" s="379"/>
      <c r="Q460" s="379"/>
    </row>
    <row r="461" spans="1:17" ht="14.4">
      <c r="A461" s="366" t="s">
        <v>101</v>
      </c>
      <c r="B461" s="373"/>
      <c r="C461" s="375">
        <f>+C458+C449</f>
        <v>10727.338794532559</v>
      </c>
      <c r="D461" s="375">
        <f t="shared" ref="D461:Q461" si="113">+D458+D449</f>
        <v>10572.585759173966</v>
      </c>
      <c r="E461" s="375">
        <f t="shared" si="113"/>
        <v>10796.676081829863</v>
      </c>
      <c r="F461" s="375">
        <f t="shared" si="113"/>
        <v>11210.46828726346</v>
      </c>
      <c r="G461" s="375">
        <f t="shared" si="113"/>
        <v>11246.494779694831</v>
      </c>
      <c r="H461" s="375">
        <f t="shared" si="113"/>
        <v>11661.431327407727</v>
      </c>
      <c r="I461" s="375">
        <f t="shared" si="113"/>
        <v>12266.13778418784</v>
      </c>
      <c r="J461" s="375">
        <f t="shared" si="113"/>
        <v>12296.227978722891</v>
      </c>
      <c r="K461" s="375">
        <f t="shared" si="113"/>
        <v>12327.124590471481</v>
      </c>
      <c r="L461" s="375">
        <f t="shared" si="113"/>
        <v>12358.849231414933</v>
      </c>
      <c r="M461" s="375">
        <f t="shared" si="113"/>
        <v>12391.42409273567</v>
      </c>
      <c r="N461" s="375">
        <f t="shared" si="113"/>
        <v>12424.871960339802</v>
      </c>
      <c r="O461" s="375">
        <f t="shared" si="113"/>
        <v>12459.216230795726</v>
      </c>
      <c r="P461" s="375">
        <f t="shared" si="113"/>
        <v>12494.480927699869</v>
      </c>
      <c r="Q461" s="375">
        <f t="shared" si="113"/>
        <v>12530.690718481042</v>
      </c>
    </row>
    <row r="462" spans="1:17" ht="14.4">
      <c r="A462" s="370"/>
      <c r="B462" s="379"/>
      <c r="C462" s="379"/>
      <c r="D462" s="379"/>
      <c r="E462" s="379"/>
      <c r="F462" s="379"/>
      <c r="G462" s="379"/>
      <c r="H462" s="379"/>
      <c r="I462" s="379"/>
      <c r="J462" s="379"/>
      <c r="K462" s="379"/>
      <c r="L462" s="379"/>
      <c r="M462" s="379"/>
      <c r="N462" s="379"/>
      <c r="O462" s="379"/>
      <c r="P462" s="379"/>
      <c r="Q462" s="379"/>
    </row>
    <row r="463" spans="1:17" ht="14.4">
      <c r="A463" s="366" t="s">
        <v>73</v>
      </c>
      <c r="B463" s="378">
        <f>+SUM(C463:Q463)</f>
        <v>11487.524395535713</v>
      </c>
      <c r="C463" s="367">
        <f>+Baseline_NaturalGas!$D$5/'Initial Data'!$C$19</f>
        <v>1148.7524395535715</v>
      </c>
      <c r="D463" s="367">
        <f>+Baseline_NaturalGas!$D$5/'Initial Data'!$C$19</f>
        <v>1148.7524395535715</v>
      </c>
      <c r="E463" s="367">
        <f>+Baseline_NaturalGas!$D$5/'Initial Data'!$C$19</f>
        <v>1148.7524395535715</v>
      </c>
      <c r="F463" s="367">
        <f>+Baseline_NaturalGas!$D$5/'Initial Data'!$C$19</f>
        <v>1148.7524395535715</v>
      </c>
      <c r="G463" s="367">
        <f>+Baseline_NaturalGas!$D$5/'Initial Data'!$C$19</f>
        <v>1148.7524395535715</v>
      </c>
      <c r="H463" s="367">
        <f>+Baseline_NaturalGas!$D$5/'Initial Data'!$C$19</f>
        <v>1148.7524395535715</v>
      </c>
      <c r="I463" s="367">
        <f>+Baseline_NaturalGas!$D$5/'Initial Data'!$C$19</f>
        <v>1148.7524395535715</v>
      </c>
      <c r="J463" s="367">
        <f>+Baseline_NaturalGas!$D$5/'Initial Data'!$C$19</f>
        <v>1148.7524395535715</v>
      </c>
      <c r="K463" s="367">
        <f>+Baseline_NaturalGas!$D$5/'Initial Data'!$C$19</f>
        <v>1148.7524395535715</v>
      </c>
      <c r="L463" s="367">
        <f>+Baseline_NaturalGas!$D$5/'Initial Data'!$C$19</f>
        <v>1148.7524395535715</v>
      </c>
      <c r="M463" s="367">
        <v>0</v>
      </c>
      <c r="N463" s="367">
        <v>0</v>
      </c>
      <c r="O463" s="367">
        <v>0</v>
      </c>
      <c r="P463" s="367">
        <v>0</v>
      </c>
      <c r="Q463" s="367">
        <v>0</v>
      </c>
    </row>
    <row r="464" spans="1:17" ht="14.4">
      <c r="A464" s="366" t="s">
        <v>74</v>
      </c>
      <c r="B464" s="378">
        <f>+SUM(C464:Q464)</f>
        <v>11487.524395535713</v>
      </c>
      <c r="C464" s="367">
        <f>SUM(C463:C463)</f>
        <v>1148.7524395535715</v>
      </c>
      <c r="D464" s="367">
        <f t="shared" ref="D464:Q464" si="114">SUM(D463:D463)</f>
        <v>1148.7524395535715</v>
      </c>
      <c r="E464" s="367">
        <f t="shared" si="114"/>
        <v>1148.7524395535715</v>
      </c>
      <c r="F464" s="367">
        <f t="shared" si="114"/>
        <v>1148.7524395535715</v>
      </c>
      <c r="G464" s="367">
        <f t="shared" si="114"/>
        <v>1148.7524395535715</v>
      </c>
      <c r="H464" s="367">
        <f t="shared" si="114"/>
        <v>1148.7524395535715</v>
      </c>
      <c r="I464" s="367">
        <f t="shared" si="114"/>
        <v>1148.7524395535715</v>
      </c>
      <c r="J464" s="367">
        <f t="shared" si="114"/>
        <v>1148.7524395535715</v>
      </c>
      <c r="K464" s="367">
        <f t="shared" si="114"/>
        <v>1148.7524395535715</v>
      </c>
      <c r="L464" s="367">
        <f t="shared" si="114"/>
        <v>1148.7524395535715</v>
      </c>
      <c r="M464" s="367">
        <f t="shared" si="114"/>
        <v>0</v>
      </c>
      <c r="N464" s="367">
        <f t="shared" si="114"/>
        <v>0</v>
      </c>
      <c r="O464" s="367">
        <f t="shared" si="114"/>
        <v>0</v>
      </c>
      <c r="P464" s="367">
        <f t="shared" si="114"/>
        <v>0</v>
      </c>
      <c r="Q464" s="367">
        <f t="shared" si="114"/>
        <v>0</v>
      </c>
    </row>
    <row r="465" spans="1:17" ht="14.4">
      <c r="A465" s="90"/>
      <c r="B465" s="388"/>
      <c r="C465" s="373"/>
      <c r="D465" s="373"/>
      <c r="E465" s="373"/>
      <c r="F465" s="373"/>
      <c r="G465" s="373"/>
      <c r="H465" s="373"/>
      <c r="I465" s="373"/>
      <c r="J465" s="373"/>
      <c r="K465" s="373"/>
      <c r="L465" s="373"/>
      <c r="M465" s="373"/>
      <c r="N465" s="373"/>
      <c r="O465" s="373"/>
      <c r="P465" s="373"/>
      <c r="Q465" s="373"/>
    </row>
    <row r="466" spans="1:17" ht="14.4">
      <c r="A466" s="366" t="s">
        <v>75</v>
      </c>
      <c r="B466" s="378">
        <f>+SUM(C466:Q466)</f>
        <v>189251.54294028736</v>
      </c>
      <c r="C466" s="367">
        <f>+C461+C464</f>
        <v>11876.09123408613</v>
      </c>
      <c r="D466" s="367">
        <f t="shared" ref="D466:Q466" si="115">+D461+D464</f>
        <v>11721.338198727537</v>
      </c>
      <c r="E466" s="367">
        <f t="shared" si="115"/>
        <v>11945.428521383434</v>
      </c>
      <c r="F466" s="367">
        <f t="shared" si="115"/>
        <v>12359.220726817031</v>
      </c>
      <c r="G466" s="367">
        <f t="shared" si="115"/>
        <v>12395.247219248402</v>
      </c>
      <c r="H466" s="367">
        <f t="shared" si="115"/>
        <v>12810.183766961298</v>
      </c>
      <c r="I466" s="367">
        <f t="shared" si="115"/>
        <v>13414.890223741411</v>
      </c>
      <c r="J466" s="367">
        <f t="shared" si="115"/>
        <v>13444.980418276462</v>
      </c>
      <c r="K466" s="367">
        <f t="shared" si="115"/>
        <v>13475.877030025053</v>
      </c>
      <c r="L466" s="367">
        <f t="shared" si="115"/>
        <v>13507.601670968505</v>
      </c>
      <c r="M466" s="367">
        <f t="shared" si="115"/>
        <v>12391.42409273567</v>
      </c>
      <c r="N466" s="367">
        <f t="shared" si="115"/>
        <v>12424.871960339802</v>
      </c>
      <c r="O466" s="367">
        <f t="shared" si="115"/>
        <v>12459.216230795726</v>
      </c>
      <c r="P466" s="367">
        <f t="shared" si="115"/>
        <v>12494.480927699869</v>
      </c>
      <c r="Q466" s="367">
        <f t="shared" si="115"/>
        <v>12530.690718481042</v>
      </c>
    </row>
    <row r="467" spans="1:17">
      <c r="A467" s="74"/>
    </row>
    <row r="468" spans="1:17" ht="14.4">
      <c r="A468" s="366" t="s">
        <v>76</v>
      </c>
      <c r="B468" s="378">
        <f>+SUM(C468:Q468)</f>
        <v>1511747.0723453416</v>
      </c>
      <c r="C468" s="367">
        <f>+C446-C466</f>
        <v>81746.408765913875</v>
      </c>
      <c r="D468" s="367">
        <f t="shared" ref="D468:Q468" si="116">+D446-D466</f>
        <v>84410.244801272449</v>
      </c>
      <c r="E468" s="367">
        <f t="shared" si="116"/>
        <v>86762.480903016549</v>
      </c>
      <c r="F468" s="367">
        <f t="shared" si="116"/>
        <v>88994.060670156876</v>
      </c>
      <c r="G468" s="367">
        <f t="shared" si="116"/>
        <v>91674.302119164393</v>
      </c>
      <c r="H468" s="367">
        <f t="shared" si="116"/>
        <v>94048.429493720949</v>
      </c>
      <c r="I468" s="367">
        <f t="shared" si="116"/>
        <v>96307.533872327098</v>
      </c>
      <c r="J468" s="367">
        <f t="shared" si="116"/>
        <v>99218.004643566674</v>
      </c>
      <c r="K468" s="367">
        <f t="shared" si="116"/>
        <v>102206.4760314755</v>
      </c>
      <c r="L468" s="367">
        <f t="shared" si="116"/>
        <v>105275.03845258024</v>
      </c>
      <c r="M468" s="367">
        <f t="shared" si="116"/>
        <v>109574.59078612417</v>
      </c>
      <c r="N468" s="367">
        <f t="shared" si="116"/>
        <v>112809.83211727347</v>
      </c>
      <c r="O468" s="367">
        <f t="shared" si="116"/>
        <v>116131.77791609755</v>
      </c>
      <c r="P468" s="367">
        <f t="shared" si="116"/>
        <v>119542.75186233014</v>
      </c>
      <c r="Q468" s="367">
        <f t="shared" si="116"/>
        <v>123045.13991032176</v>
      </c>
    </row>
    <row r="469" spans="1:17" ht="14.4">
      <c r="A469" s="369"/>
      <c r="B469" s="373"/>
      <c r="C469" s="373"/>
      <c r="D469" s="373"/>
      <c r="E469" s="373"/>
      <c r="F469" s="373"/>
      <c r="G469" s="373"/>
      <c r="H469" s="373"/>
      <c r="I469" s="373"/>
      <c r="J469" s="373"/>
      <c r="K469" s="373"/>
      <c r="L469" s="373"/>
      <c r="M469" s="373"/>
      <c r="N469" s="373"/>
      <c r="O469" s="373"/>
      <c r="P469" s="373"/>
      <c r="Q469" s="373"/>
    </row>
    <row r="470" spans="1:17" ht="14.4">
      <c r="A470" s="366" t="s">
        <v>222</v>
      </c>
      <c r="B470" s="380">
        <f>+Baseline_NaturalGas!C43</f>
        <v>0.7</v>
      </c>
      <c r="C470" s="367">
        <f>IF((+$B$470*C468)&lt;0,"0",(+$B$470*C468))</f>
        <v>57222.486136139712</v>
      </c>
      <c r="D470" s="367">
        <f t="shared" ref="D470:Q470" si="117">IF((+$B$470*D468)&lt;0,"0",(+$B$470*D468))</f>
        <v>59087.171360890708</v>
      </c>
      <c r="E470" s="367">
        <f t="shared" si="117"/>
        <v>60733.736632111577</v>
      </c>
      <c r="F470" s="367">
        <f t="shared" si="117"/>
        <v>62295.842469109812</v>
      </c>
      <c r="G470" s="367">
        <f t="shared" si="117"/>
        <v>64172.011483415074</v>
      </c>
      <c r="H470" s="367">
        <f t="shared" si="117"/>
        <v>65833.900645604663</v>
      </c>
      <c r="I470" s="367">
        <f t="shared" si="117"/>
        <v>67415.273710628971</v>
      </c>
      <c r="J470" s="367">
        <f t="shared" si="117"/>
        <v>69452.603250496672</v>
      </c>
      <c r="K470" s="367">
        <f t="shared" si="117"/>
        <v>71544.533222032842</v>
      </c>
      <c r="L470" s="367">
        <f t="shared" si="117"/>
        <v>73692.526916806164</v>
      </c>
      <c r="M470" s="367">
        <f t="shared" si="117"/>
        <v>76702.213550286921</v>
      </c>
      <c r="N470" s="367">
        <f t="shared" si="117"/>
        <v>78966.882482091431</v>
      </c>
      <c r="O470" s="367">
        <f t="shared" si="117"/>
        <v>81292.244541268272</v>
      </c>
      <c r="P470" s="367">
        <f t="shared" si="117"/>
        <v>83679.926303631102</v>
      </c>
      <c r="Q470" s="367">
        <f t="shared" si="117"/>
        <v>86131.597937225219</v>
      </c>
    </row>
    <row r="471" spans="1:17" ht="14.4">
      <c r="A471" s="366" t="s">
        <v>77</v>
      </c>
      <c r="B471" s="378">
        <f>+SUM(C471:Q471)</f>
        <v>1058222.9506417392</v>
      </c>
      <c r="C471" s="367">
        <f>SUM(C470:C470)</f>
        <v>57222.486136139712</v>
      </c>
      <c r="D471" s="367">
        <f t="shared" ref="D471:Q471" si="118">SUM(D470:D470)</f>
        <v>59087.171360890708</v>
      </c>
      <c r="E471" s="367">
        <f t="shared" si="118"/>
        <v>60733.736632111577</v>
      </c>
      <c r="F471" s="367">
        <f t="shared" si="118"/>
        <v>62295.842469109812</v>
      </c>
      <c r="G471" s="367">
        <f t="shared" si="118"/>
        <v>64172.011483415074</v>
      </c>
      <c r="H471" s="367">
        <f t="shared" si="118"/>
        <v>65833.900645604663</v>
      </c>
      <c r="I471" s="367">
        <f t="shared" si="118"/>
        <v>67415.273710628971</v>
      </c>
      <c r="J471" s="367">
        <f t="shared" si="118"/>
        <v>69452.603250496672</v>
      </c>
      <c r="K471" s="367">
        <f t="shared" si="118"/>
        <v>71544.533222032842</v>
      </c>
      <c r="L471" s="367">
        <f t="shared" si="118"/>
        <v>73692.526916806164</v>
      </c>
      <c r="M471" s="367">
        <f t="shared" si="118"/>
        <v>76702.213550286921</v>
      </c>
      <c r="N471" s="367">
        <f t="shared" si="118"/>
        <v>78966.882482091431</v>
      </c>
      <c r="O471" s="367">
        <f t="shared" si="118"/>
        <v>81292.244541268272</v>
      </c>
      <c r="P471" s="367">
        <f t="shared" si="118"/>
        <v>83679.926303631102</v>
      </c>
      <c r="Q471" s="367">
        <f t="shared" si="118"/>
        <v>86131.597937225219</v>
      </c>
    </row>
    <row r="472" spans="1:17" ht="14.4">
      <c r="A472" s="369"/>
      <c r="B472" s="373"/>
      <c r="C472" s="373"/>
      <c r="D472" s="373"/>
      <c r="E472" s="373"/>
      <c r="F472" s="373"/>
      <c r="G472" s="373"/>
      <c r="H472" s="373"/>
      <c r="I472" s="373"/>
      <c r="J472" s="373"/>
      <c r="K472" s="373"/>
      <c r="L472" s="373"/>
      <c r="M472" s="373"/>
      <c r="N472" s="373"/>
      <c r="O472" s="373"/>
      <c r="P472" s="373"/>
      <c r="Q472" s="373"/>
    </row>
    <row r="473" spans="1:17" ht="14.4">
      <c r="A473" s="366" t="s">
        <v>78</v>
      </c>
      <c r="B473" s="378">
        <f>+SUM(C473:Q473)</f>
        <v>453524.12170360261</v>
      </c>
      <c r="C473" s="367">
        <f>+C468-C471</f>
        <v>24523.922629774162</v>
      </c>
      <c r="D473" s="367">
        <f t="shared" ref="D473:Q473" si="119">+D468-D471</f>
        <v>25323.073440381741</v>
      </c>
      <c r="E473" s="367">
        <f t="shared" si="119"/>
        <v>26028.744270904972</v>
      </c>
      <c r="F473" s="367">
        <f t="shared" si="119"/>
        <v>26698.218201047064</v>
      </c>
      <c r="G473" s="367">
        <f t="shared" si="119"/>
        <v>27502.290635749319</v>
      </c>
      <c r="H473" s="367">
        <f t="shared" si="119"/>
        <v>28214.528848116286</v>
      </c>
      <c r="I473" s="367">
        <f t="shared" si="119"/>
        <v>28892.260161698126</v>
      </c>
      <c r="J473" s="367">
        <f t="shared" si="119"/>
        <v>29765.401393070002</v>
      </c>
      <c r="K473" s="367">
        <f t="shared" si="119"/>
        <v>30661.942809442655</v>
      </c>
      <c r="L473" s="367">
        <f t="shared" si="119"/>
        <v>31582.511535774072</v>
      </c>
      <c r="M473" s="367">
        <f t="shared" si="119"/>
        <v>32872.377235837252</v>
      </c>
      <c r="N473" s="367">
        <f t="shared" si="119"/>
        <v>33842.949635182042</v>
      </c>
      <c r="O473" s="367">
        <f t="shared" si="119"/>
        <v>34839.533374829276</v>
      </c>
      <c r="P473" s="367">
        <f t="shared" si="119"/>
        <v>35862.825558699042</v>
      </c>
      <c r="Q473" s="367">
        <f t="shared" si="119"/>
        <v>36913.541973096537</v>
      </c>
    </row>
    <row r="474" spans="1:17" ht="14.4">
      <c r="A474" s="395" t="s">
        <v>331</v>
      </c>
      <c r="B474" s="378">
        <f>+SUM(C474:Q474)</f>
        <v>11487.524395535713</v>
      </c>
      <c r="C474" s="377">
        <f>+C463</f>
        <v>1148.7524395535715</v>
      </c>
      <c r="D474" s="377">
        <f t="shared" ref="D474:Q474" si="120">+D463</f>
        <v>1148.7524395535715</v>
      </c>
      <c r="E474" s="377">
        <f t="shared" si="120"/>
        <v>1148.7524395535715</v>
      </c>
      <c r="F474" s="377">
        <f t="shared" si="120"/>
        <v>1148.7524395535715</v>
      </c>
      <c r="G474" s="377">
        <f t="shared" si="120"/>
        <v>1148.7524395535715</v>
      </c>
      <c r="H474" s="377">
        <f t="shared" si="120"/>
        <v>1148.7524395535715</v>
      </c>
      <c r="I474" s="377">
        <f t="shared" si="120"/>
        <v>1148.7524395535715</v>
      </c>
      <c r="J474" s="377">
        <f t="shared" si="120"/>
        <v>1148.7524395535715</v>
      </c>
      <c r="K474" s="377">
        <f t="shared" si="120"/>
        <v>1148.7524395535715</v>
      </c>
      <c r="L474" s="377">
        <f t="shared" si="120"/>
        <v>1148.7524395535715</v>
      </c>
      <c r="M474" s="377">
        <f t="shared" si="120"/>
        <v>0</v>
      </c>
      <c r="N474" s="377">
        <f t="shared" si="120"/>
        <v>0</v>
      </c>
      <c r="O474" s="377">
        <f t="shared" si="120"/>
        <v>0</v>
      </c>
      <c r="P474" s="377">
        <f t="shared" si="120"/>
        <v>0</v>
      </c>
      <c r="Q474" s="377">
        <f t="shared" si="120"/>
        <v>0</v>
      </c>
    </row>
    <row r="475" spans="1:17" ht="14.4">
      <c r="A475" s="395" t="s">
        <v>332</v>
      </c>
      <c r="B475" s="378">
        <f>+Baseline_NaturalGas!C453</f>
        <v>0</v>
      </c>
      <c r="C475" s="367">
        <f>+Baseline_NaturalGas!D453</f>
        <v>0</v>
      </c>
      <c r="D475" s="367">
        <f>+Baseline_NaturalGas!E453</f>
        <v>0</v>
      </c>
      <c r="E475" s="367">
        <f>+Baseline_NaturalGas!F453</f>
        <v>0</v>
      </c>
      <c r="F475" s="367">
        <f>+Baseline_NaturalGas!G453</f>
        <v>0</v>
      </c>
      <c r="G475" s="367">
        <f>+Baseline_NaturalGas!H453</f>
        <v>0</v>
      </c>
      <c r="H475" s="367">
        <f>+Baseline_NaturalGas!I453</f>
        <v>0</v>
      </c>
      <c r="I475" s="367">
        <f>+Baseline_NaturalGas!J453</f>
        <v>0</v>
      </c>
      <c r="J475" s="367">
        <f>+Baseline_NaturalGas!K453</f>
        <v>0</v>
      </c>
      <c r="K475" s="367">
        <f>+Baseline_NaturalGas!L453</f>
        <v>0</v>
      </c>
      <c r="L475" s="367">
        <f>+Baseline_NaturalGas!M453</f>
        <v>0</v>
      </c>
      <c r="M475" s="367">
        <f>+Baseline_NaturalGas!N453</f>
        <v>0</v>
      </c>
      <c r="N475" s="367">
        <f>+Baseline_NaturalGas!O453</f>
        <v>0</v>
      </c>
      <c r="O475" s="367">
        <f>+Baseline_NaturalGas!P453</f>
        <v>0</v>
      </c>
      <c r="P475" s="367">
        <f>+Baseline_NaturalGas!Q453</f>
        <v>0</v>
      </c>
      <c r="Q475" s="367">
        <f>+Baseline_NaturalGas!R453</f>
        <v>0</v>
      </c>
    </row>
    <row r="476" spans="1:17" ht="14.4">
      <c r="A476" s="510"/>
      <c r="B476" s="511"/>
      <c r="C476" s="511"/>
      <c r="D476" s="511"/>
      <c r="E476" s="511"/>
      <c r="F476" s="511"/>
      <c r="G476" s="511"/>
      <c r="H476" s="511"/>
      <c r="I476" s="511"/>
      <c r="J476" s="511"/>
      <c r="K476" s="511"/>
      <c r="L476" s="511"/>
      <c r="M476" s="511"/>
      <c r="N476" s="511"/>
      <c r="O476" s="511"/>
      <c r="P476" s="511"/>
      <c r="Q476" s="511"/>
    </row>
    <row r="477" spans="1:17" ht="14.4">
      <c r="A477" s="366" t="s">
        <v>110</v>
      </c>
      <c r="B477" s="378">
        <f>-Baseline_NaturalGas!$D$5</f>
        <v>-11487.524395535715</v>
      </c>
      <c r="C477" s="367">
        <f>+C473+C474+C475</f>
        <v>25672.675069327735</v>
      </c>
      <c r="D477" s="367">
        <f t="shared" ref="D477:Q477" si="121">+D473+D474+D475</f>
        <v>26471.825879935313</v>
      </c>
      <c r="E477" s="367">
        <f t="shared" si="121"/>
        <v>27177.496710458545</v>
      </c>
      <c r="F477" s="367">
        <f t="shared" si="121"/>
        <v>27846.970640600637</v>
      </c>
      <c r="G477" s="367">
        <f t="shared" si="121"/>
        <v>28651.043075302892</v>
      </c>
      <c r="H477" s="367">
        <f t="shared" si="121"/>
        <v>29363.281287669859</v>
      </c>
      <c r="I477" s="367">
        <f t="shared" si="121"/>
        <v>30041.012601251699</v>
      </c>
      <c r="J477" s="367">
        <f t="shared" si="121"/>
        <v>30914.153832623575</v>
      </c>
      <c r="K477" s="367">
        <f t="shared" si="121"/>
        <v>31810.695248996228</v>
      </c>
      <c r="L477" s="367">
        <f t="shared" si="121"/>
        <v>32731.263975327645</v>
      </c>
      <c r="M477" s="367">
        <f t="shared" si="121"/>
        <v>32872.377235837252</v>
      </c>
      <c r="N477" s="367">
        <f t="shared" si="121"/>
        <v>33842.949635182042</v>
      </c>
      <c r="O477" s="367">
        <f t="shared" si="121"/>
        <v>34839.533374829276</v>
      </c>
      <c r="P477" s="367">
        <f t="shared" si="121"/>
        <v>35862.825558699042</v>
      </c>
      <c r="Q477" s="367">
        <f t="shared" si="121"/>
        <v>36913.541973096537</v>
      </c>
    </row>
    <row r="478" spans="1:17" ht="15.6">
      <c r="A478" s="366" t="s">
        <v>51</v>
      </c>
      <c r="B478" s="132">
        <f>IRR(B477:Q477)</f>
        <v>2.2644409974837467</v>
      </c>
      <c r="C478" s="390"/>
      <c r="D478" s="390"/>
      <c r="E478" s="390"/>
      <c r="F478" s="390"/>
      <c r="G478" s="390"/>
      <c r="H478" s="390"/>
      <c r="I478" s="390"/>
      <c r="J478" s="390"/>
      <c r="K478" s="390"/>
      <c r="L478" s="390"/>
      <c r="M478" s="390"/>
      <c r="N478" s="390"/>
      <c r="O478" s="390"/>
      <c r="P478" s="390"/>
      <c r="Q478" s="390"/>
    </row>
    <row r="479" spans="1:17" ht="15.6">
      <c r="A479" s="366" t="s">
        <v>267</v>
      </c>
      <c r="B479" s="303">
        <f>NPV('Initial Data'!$C$21/100,B477:Q477)</f>
        <v>168750.75675461115</v>
      </c>
      <c r="C479" s="373"/>
      <c r="D479" s="373"/>
      <c r="E479" s="373"/>
      <c r="F479" s="373"/>
      <c r="G479" s="373"/>
      <c r="H479" s="373"/>
      <c r="I479" s="373"/>
      <c r="J479" s="373"/>
      <c r="K479" s="373"/>
      <c r="L479" s="373"/>
      <c r="M479" s="373"/>
      <c r="N479" s="373"/>
      <c r="O479" s="373"/>
      <c r="P479" s="373"/>
      <c r="Q479" s="373"/>
    </row>
    <row r="480" spans="1:17" ht="14.4">
      <c r="A480" s="369"/>
    </row>
    <row r="481" spans="1:17" ht="14.4">
      <c r="A481" s="508" t="s">
        <v>336</v>
      </c>
      <c r="B481" s="509"/>
      <c r="C481" s="509"/>
      <c r="D481" s="509"/>
      <c r="E481" s="509"/>
      <c r="F481" s="509"/>
      <c r="G481" s="509"/>
      <c r="H481" s="509"/>
      <c r="I481" s="509"/>
      <c r="J481" s="509"/>
      <c r="K481" s="509"/>
      <c r="L481" s="509"/>
      <c r="M481" s="509"/>
      <c r="N481" s="509"/>
      <c r="O481" s="509"/>
      <c r="P481" s="509"/>
      <c r="Q481" s="509"/>
    </row>
    <row r="482" spans="1:17" ht="14.4">
      <c r="A482" s="371" t="s">
        <v>318</v>
      </c>
      <c r="B482" s="372"/>
      <c r="C482" s="372"/>
      <c r="D482" s="372"/>
      <c r="E482" s="372"/>
      <c r="F482" s="372"/>
      <c r="G482" s="372"/>
      <c r="H482" s="372"/>
      <c r="I482" s="372"/>
      <c r="J482" s="372"/>
      <c r="K482" s="372"/>
      <c r="L482" s="372"/>
      <c r="M482" s="372"/>
      <c r="N482" s="372"/>
      <c r="O482" s="372"/>
      <c r="P482" s="372"/>
      <c r="Q482" s="372"/>
    </row>
    <row r="483" spans="1:17" ht="27">
      <c r="A483" s="376"/>
      <c r="B483" s="304" t="s">
        <v>35</v>
      </c>
      <c r="C483" s="352" t="s">
        <v>407</v>
      </c>
      <c r="D483" s="352" t="s">
        <v>408</v>
      </c>
      <c r="E483" s="352" t="s">
        <v>409</v>
      </c>
      <c r="F483" s="352" t="s">
        <v>410</v>
      </c>
      <c r="G483" s="352" t="s">
        <v>411</v>
      </c>
      <c r="H483" s="352" t="s">
        <v>412</v>
      </c>
      <c r="I483" s="352" t="s">
        <v>413</v>
      </c>
      <c r="J483" s="352" t="s">
        <v>414</v>
      </c>
      <c r="K483" s="352" t="s">
        <v>415</v>
      </c>
      <c r="L483" s="352" t="s">
        <v>416</v>
      </c>
      <c r="M483" s="352" t="s">
        <v>417</v>
      </c>
      <c r="N483" s="352" t="s">
        <v>418</v>
      </c>
      <c r="O483" s="352" t="s">
        <v>419</v>
      </c>
      <c r="P483" s="352" t="s">
        <v>420</v>
      </c>
      <c r="Q483" s="352" t="s">
        <v>421</v>
      </c>
    </row>
    <row r="484" spans="1:17" ht="14.4">
      <c r="A484" s="363" t="s">
        <v>290</v>
      </c>
      <c r="B484" s="365"/>
      <c r="C484" s="367">
        <f>+Baseline_NaturalGas!D10</f>
        <v>219000</v>
      </c>
      <c r="D484" s="367">
        <f>+Baseline_NaturalGas!E10</f>
        <v>219000</v>
      </c>
      <c r="E484" s="367">
        <f>+Baseline_NaturalGas!F10</f>
        <v>219000</v>
      </c>
      <c r="F484" s="367">
        <f>+Baseline_NaturalGas!G10</f>
        <v>219000</v>
      </c>
      <c r="G484" s="367">
        <f>+Baseline_NaturalGas!H10</f>
        <v>219000</v>
      </c>
      <c r="H484" s="367">
        <f>+Baseline_NaturalGas!I10</f>
        <v>219000</v>
      </c>
      <c r="I484" s="367">
        <f>+Baseline_NaturalGas!J10</f>
        <v>219000</v>
      </c>
      <c r="J484" s="367">
        <f>+Baseline_NaturalGas!K10</f>
        <v>219000</v>
      </c>
      <c r="K484" s="367">
        <f>+Baseline_NaturalGas!L10</f>
        <v>219000</v>
      </c>
      <c r="L484" s="367">
        <f>+Baseline_NaturalGas!M10</f>
        <v>219000</v>
      </c>
      <c r="M484" s="367">
        <f>+Baseline_NaturalGas!N10</f>
        <v>219000</v>
      </c>
      <c r="N484" s="367">
        <f>+Baseline_NaturalGas!O10</f>
        <v>219000</v>
      </c>
      <c r="O484" s="367">
        <f>+Baseline_NaturalGas!P10</f>
        <v>219000</v>
      </c>
      <c r="P484" s="367">
        <f>+Baseline_NaturalGas!Q10</f>
        <v>219000</v>
      </c>
      <c r="Q484" s="367">
        <f>+Baseline_NaturalGas!R10</f>
        <v>219000</v>
      </c>
    </row>
    <row r="485" spans="1:17" ht="14.4">
      <c r="A485" s="364" t="s">
        <v>291</v>
      </c>
      <c r="B485" s="365"/>
      <c r="C485" s="367">
        <f>+Baseline_NaturalGas!D11</f>
        <v>70</v>
      </c>
      <c r="D485" s="367">
        <f>+Baseline_NaturalGas!E11</f>
        <v>70</v>
      </c>
      <c r="E485" s="367">
        <f>+Baseline_NaturalGas!F11</f>
        <v>70</v>
      </c>
      <c r="F485" s="367">
        <f>+Baseline_NaturalGas!G11</f>
        <v>70</v>
      </c>
      <c r="G485" s="367">
        <f>+Baseline_NaturalGas!H11</f>
        <v>70</v>
      </c>
      <c r="H485" s="367">
        <f>+Baseline_NaturalGas!I11</f>
        <v>70</v>
      </c>
      <c r="I485" s="367">
        <f>+Baseline_NaturalGas!J11</f>
        <v>70</v>
      </c>
      <c r="J485" s="367">
        <f>+Baseline_NaturalGas!K11</f>
        <v>70</v>
      </c>
      <c r="K485" s="367">
        <f>+Baseline_NaturalGas!L11</f>
        <v>70</v>
      </c>
      <c r="L485" s="367">
        <f>+Baseline_NaturalGas!M11</f>
        <v>70</v>
      </c>
      <c r="M485" s="367">
        <f>+Baseline_NaturalGas!N11</f>
        <v>70</v>
      </c>
      <c r="N485" s="367">
        <f>+Baseline_NaturalGas!O11</f>
        <v>70</v>
      </c>
      <c r="O485" s="367">
        <f>+Baseline_NaturalGas!P11</f>
        <v>70</v>
      </c>
      <c r="P485" s="367">
        <f>+Baseline_NaturalGas!Q11</f>
        <v>70</v>
      </c>
      <c r="Q485" s="367">
        <f>+Baseline_NaturalGas!R11</f>
        <v>70</v>
      </c>
    </row>
    <row r="486" spans="1:17" ht="14.4">
      <c r="A486" s="366" t="s">
        <v>292</v>
      </c>
      <c r="B486" s="365"/>
      <c r="C486" s="383">
        <f>+Baseline_NaturalGas!D12*(1+$E$7)</f>
        <v>6.7500000000000009</v>
      </c>
      <c r="D486" s="383">
        <f>+Baseline_NaturalGas!E12*(1+$E$7)</f>
        <v>6.9309000000000003</v>
      </c>
      <c r="E486" s="383">
        <f>+Baseline_NaturalGas!F12*(1+$E$7)</f>
        <v>7.1166481199999989</v>
      </c>
      <c r="F486" s="383">
        <f>+Baseline_NaturalGas!G12*(1+$E$7)</f>
        <v>7.307374289615999</v>
      </c>
      <c r="G486" s="383">
        <f>+Baseline_NaturalGas!H12*(1+$E$7)</f>
        <v>7.5032119205777068</v>
      </c>
      <c r="H486" s="383">
        <f>+Baseline_NaturalGas!I12*(1+$E$7)</f>
        <v>7.7042980000491896</v>
      </c>
      <c r="I486" s="383">
        <f>+Baseline_NaturalGas!J12*(1+$E$7)</f>
        <v>7.9107731864505073</v>
      </c>
      <c r="J486" s="383">
        <f>+Baseline_NaturalGas!K12*(1+$E$7)</f>
        <v>8.1227819078473793</v>
      </c>
      <c r="K486" s="383">
        <f>+Baseline_NaturalGas!L12*(1+$E$7)</f>
        <v>8.3404724629776901</v>
      </c>
      <c r="L486" s="383">
        <f>+Baseline_NaturalGas!M12*(1+$E$7)</f>
        <v>8.5639971249854909</v>
      </c>
      <c r="M486" s="383">
        <f>+Baseline_NaturalGas!N12*(1+$E$7)</f>
        <v>8.7935122479351016</v>
      </c>
      <c r="N486" s="383">
        <f>+Baseline_NaturalGas!O12*(1+$E$7)</f>
        <v>9.029178376179761</v>
      </c>
      <c r="O486" s="383">
        <f>+Baseline_NaturalGas!P12*(1+$E$7)</f>
        <v>9.2711603566613778</v>
      </c>
      <c r="P486" s="383">
        <f>+Baseline_NaturalGas!Q12*(1+$E$7)</f>
        <v>9.5196274542199024</v>
      </c>
      <c r="Q486" s="383">
        <f>+Baseline_NaturalGas!R12*(1+$E$7)</f>
        <v>9.7747534699929943</v>
      </c>
    </row>
    <row r="487" spans="1:17" ht="14.4">
      <c r="A487" s="366" t="s">
        <v>293</v>
      </c>
      <c r="B487" s="365"/>
      <c r="C487" s="381">
        <f>C485*C486</f>
        <v>472.50000000000006</v>
      </c>
      <c r="D487" s="381">
        <f t="shared" ref="D487:Q487" si="122">D485*D486</f>
        <v>485.16300000000001</v>
      </c>
      <c r="E487" s="381">
        <f t="shared" si="122"/>
        <v>498.16536839999992</v>
      </c>
      <c r="F487" s="381">
        <f t="shared" si="122"/>
        <v>511.51620027311992</v>
      </c>
      <c r="G487" s="381">
        <f t="shared" si="122"/>
        <v>525.22483444043951</v>
      </c>
      <c r="H487" s="381">
        <f t="shared" si="122"/>
        <v>539.30086000344329</v>
      </c>
      <c r="I487" s="381">
        <f t="shared" si="122"/>
        <v>553.75412305153554</v>
      </c>
      <c r="J487" s="381">
        <f t="shared" si="122"/>
        <v>568.59473354931652</v>
      </c>
      <c r="K487" s="381">
        <f t="shared" si="122"/>
        <v>583.83307240843828</v>
      </c>
      <c r="L487" s="381">
        <f t="shared" si="122"/>
        <v>599.47979874898442</v>
      </c>
      <c r="M487" s="381">
        <f t="shared" si="122"/>
        <v>615.54585735545709</v>
      </c>
      <c r="N487" s="381">
        <f t="shared" si="122"/>
        <v>632.04248633258328</v>
      </c>
      <c r="O487" s="381">
        <f t="shared" si="122"/>
        <v>648.98122496629639</v>
      </c>
      <c r="P487" s="381">
        <f t="shared" si="122"/>
        <v>666.37392179539313</v>
      </c>
      <c r="Q487" s="381">
        <f t="shared" si="122"/>
        <v>684.23274289950962</v>
      </c>
    </row>
    <row r="488" spans="1:17" ht="14.4">
      <c r="A488" s="370"/>
      <c r="B488" s="373"/>
      <c r="C488" s="373"/>
      <c r="D488" s="373"/>
      <c r="E488" s="373"/>
      <c r="F488" s="373"/>
      <c r="G488" s="373"/>
      <c r="H488" s="373"/>
      <c r="I488" s="373"/>
      <c r="J488" s="373"/>
      <c r="K488" s="373"/>
      <c r="L488" s="373"/>
      <c r="M488" s="373"/>
      <c r="N488" s="373"/>
      <c r="O488" s="373"/>
      <c r="P488" s="373"/>
      <c r="Q488" s="373"/>
    </row>
    <row r="489" spans="1:17" ht="14.4">
      <c r="A489" s="366" t="s">
        <v>294</v>
      </c>
      <c r="B489" s="378">
        <f>+SUM(C489:Q489)</f>
        <v>1880051.1011051692</v>
      </c>
      <c r="C489" s="381">
        <f>C484*C487/1000*'Initial Data'!$C$34/'Initial Data'!$C$33</f>
        <v>103477.50000000001</v>
      </c>
      <c r="D489" s="381">
        <f>D484*D487/1000*'Initial Data'!$C$34/'Initial Data'!$C$33</f>
        <v>106250.697</v>
      </c>
      <c r="E489" s="381">
        <f>E484*E487/1000*'Initial Data'!$C$34/'Initial Data'!$C$33</f>
        <v>109098.21567959999</v>
      </c>
      <c r="F489" s="381">
        <f>F484*F487/1000*'Initial Data'!$C$34/'Initial Data'!$C$33</f>
        <v>112022.04785981326</v>
      </c>
      <c r="G489" s="381">
        <f>G484*G487/1000*'Initial Data'!$C$34/'Initial Data'!$C$33</f>
        <v>115024.23874245626</v>
      </c>
      <c r="H489" s="381">
        <f>H484*H487/1000*'Initial Data'!$C$34/'Initial Data'!$C$33</f>
        <v>118106.88834075407</v>
      </c>
      <c r="I489" s="381">
        <f>I484*I487/1000*'Initial Data'!$C$34/'Initial Data'!$C$33</f>
        <v>121272.15294828628</v>
      </c>
      <c r="J489" s="381">
        <f>J484*J487/1000*'Initial Data'!$C$34/'Initial Data'!$C$33</f>
        <v>124522.24664730033</v>
      </c>
      <c r="K489" s="381">
        <f>K484*K487/1000*'Initial Data'!$C$34/'Initial Data'!$C$33</f>
        <v>127859.44285744798</v>
      </c>
      <c r="L489" s="381">
        <f>L484*L487/1000*'Initial Data'!$C$34/'Initial Data'!$C$33</f>
        <v>131286.07592602758</v>
      </c>
      <c r="M489" s="381">
        <f>M484*M487/1000*'Initial Data'!$C$34/'Initial Data'!$C$33</f>
        <v>134804.5427608451</v>
      </c>
      <c r="N489" s="381">
        <f>N484*N487/1000*'Initial Data'!$C$34/'Initial Data'!$C$33</f>
        <v>138417.30450683573</v>
      </c>
      <c r="O489" s="381">
        <f>O484*O487/1000*'Initial Data'!$C$34/'Initial Data'!$C$33</f>
        <v>142126.88826761892</v>
      </c>
      <c r="P489" s="381">
        <f>P484*P487/1000*'Initial Data'!$C$34/'Initial Data'!$C$33</f>
        <v>145935.88887319108</v>
      </c>
      <c r="Q489" s="381">
        <f>Q484*Q487/1000*'Initial Data'!$C$34/'Initial Data'!$C$33</f>
        <v>149846.9706949926</v>
      </c>
    </row>
    <row r="490" spans="1:17" ht="14.4">
      <c r="A490" s="370"/>
      <c r="B490" s="373"/>
      <c r="C490" s="373"/>
      <c r="D490" s="373"/>
      <c r="E490" s="373"/>
      <c r="F490" s="373"/>
      <c r="G490" s="373"/>
      <c r="H490" s="373"/>
      <c r="I490" s="373"/>
      <c r="J490" s="373"/>
      <c r="K490" s="373"/>
      <c r="L490" s="373"/>
      <c r="M490" s="373"/>
      <c r="N490" s="373"/>
      <c r="O490" s="373"/>
      <c r="P490" s="373"/>
      <c r="Q490" s="373"/>
    </row>
    <row r="491" spans="1:17" ht="14.4">
      <c r="A491" s="366" t="s">
        <v>295</v>
      </c>
      <c r="B491" s="378">
        <f>+SUM(C491:Q491)</f>
        <v>1880051.1011051692</v>
      </c>
      <c r="C491" s="367">
        <f>+C489</f>
        <v>103477.50000000001</v>
      </c>
      <c r="D491" s="367">
        <f t="shared" ref="D491:Q491" si="123">+D489</f>
        <v>106250.697</v>
      </c>
      <c r="E491" s="367">
        <f t="shared" si="123"/>
        <v>109098.21567959999</v>
      </c>
      <c r="F491" s="367">
        <f t="shared" si="123"/>
        <v>112022.04785981326</v>
      </c>
      <c r="G491" s="367">
        <f t="shared" si="123"/>
        <v>115024.23874245626</v>
      </c>
      <c r="H491" s="367">
        <f t="shared" si="123"/>
        <v>118106.88834075407</v>
      </c>
      <c r="I491" s="367">
        <f t="shared" si="123"/>
        <v>121272.15294828628</v>
      </c>
      <c r="J491" s="367">
        <f t="shared" si="123"/>
        <v>124522.24664730033</v>
      </c>
      <c r="K491" s="367">
        <f t="shared" si="123"/>
        <v>127859.44285744798</v>
      </c>
      <c r="L491" s="367">
        <f t="shared" si="123"/>
        <v>131286.07592602758</v>
      </c>
      <c r="M491" s="367">
        <f t="shared" si="123"/>
        <v>134804.5427608451</v>
      </c>
      <c r="N491" s="367">
        <f t="shared" si="123"/>
        <v>138417.30450683573</v>
      </c>
      <c r="O491" s="367">
        <f t="shared" si="123"/>
        <v>142126.88826761892</v>
      </c>
      <c r="P491" s="367">
        <f t="shared" si="123"/>
        <v>145935.88887319108</v>
      </c>
      <c r="Q491" s="367">
        <f t="shared" si="123"/>
        <v>149846.9706949926</v>
      </c>
    </row>
    <row r="492" spans="1:17" ht="14.4">
      <c r="A492" s="370"/>
      <c r="B492" s="374"/>
      <c r="C492" s="374"/>
      <c r="D492" s="374"/>
      <c r="E492" s="374"/>
      <c r="F492" s="374"/>
      <c r="G492" s="374"/>
      <c r="H492" s="374"/>
      <c r="I492" s="374"/>
      <c r="J492" s="374"/>
      <c r="K492" s="374"/>
      <c r="L492" s="374"/>
      <c r="M492" s="374"/>
      <c r="N492" s="374"/>
      <c r="O492" s="374"/>
      <c r="P492" s="374"/>
      <c r="Q492" s="374"/>
    </row>
    <row r="493" spans="1:17" ht="14.4">
      <c r="A493" s="366" t="s">
        <v>68</v>
      </c>
      <c r="B493" s="368"/>
      <c r="C493" s="368"/>
      <c r="D493" s="368"/>
      <c r="E493" s="368"/>
      <c r="F493" s="368"/>
      <c r="G493" s="368"/>
      <c r="H493" s="368"/>
      <c r="I493" s="368"/>
      <c r="J493" s="368"/>
      <c r="K493" s="368"/>
      <c r="L493" s="368"/>
      <c r="M493" s="368"/>
      <c r="N493" s="368"/>
      <c r="O493" s="368"/>
      <c r="P493" s="368"/>
      <c r="Q493" s="368"/>
    </row>
    <row r="494" spans="1:17" ht="14.4">
      <c r="A494" s="366" t="s">
        <v>330</v>
      </c>
      <c r="B494" s="378">
        <f>+SUM(C494:Q494)</f>
        <v>17405.991521183645</v>
      </c>
      <c r="C494" s="377">
        <f>+Baseline_NaturalGas!D20</f>
        <v>958.02102749999995</v>
      </c>
      <c r="D494" s="377">
        <f>+Baseline_NaturalGas!E20</f>
        <v>983.69599103699989</v>
      </c>
      <c r="E494" s="377">
        <f>+Baseline_NaturalGas!F20</f>
        <v>1010.0590435967914</v>
      </c>
      <c r="F494" s="377">
        <f>+Baseline_NaturalGas!G20</f>
        <v>1037.1286259651854</v>
      </c>
      <c r="G494" s="377">
        <f>+Baseline_NaturalGas!H20</f>
        <v>1064.9236731410524</v>
      </c>
      <c r="H494" s="377">
        <f>+Baseline_NaturalGas!I20</f>
        <v>1093.4636275812325</v>
      </c>
      <c r="I494" s="377">
        <f>+Baseline_NaturalGas!J20</f>
        <v>1122.7684528004095</v>
      </c>
      <c r="J494" s="377">
        <f>+Baseline_NaturalGas!K20</f>
        <v>1152.8586473354603</v>
      </c>
      <c r="K494" s="377">
        <f>+Baseline_NaturalGas!L20</f>
        <v>1183.7552590840505</v>
      </c>
      <c r="L494" s="377">
        <f>+Baseline_NaturalGas!M20</f>
        <v>1215.4799000275029</v>
      </c>
      <c r="M494" s="377">
        <f>+Baseline_NaturalGas!N20</f>
        <v>1248.0547613482399</v>
      </c>
      <c r="N494" s="377">
        <f>+Baseline_NaturalGas!O20</f>
        <v>1281.5026289523728</v>
      </c>
      <c r="O494" s="377">
        <f>+Baseline_NaturalGas!P20</f>
        <v>1315.8468994082964</v>
      </c>
      <c r="P494" s="377">
        <f>+Baseline_NaturalGas!Q20</f>
        <v>1351.1115963124387</v>
      </c>
      <c r="Q494" s="377">
        <f>+Baseline_NaturalGas!R20</f>
        <v>1387.321387093612</v>
      </c>
    </row>
    <row r="495" spans="1:17" ht="14.4">
      <c r="A495" s="370"/>
      <c r="B495" s="369"/>
      <c r="C495" s="369"/>
      <c r="D495" s="369"/>
      <c r="E495" s="369"/>
      <c r="F495" s="369"/>
      <c r="G495" s="369"/>
      <c r="H495" s="369"/>
      <c r="I495" s="369"/>
      <c r="J495" s="369"/>
      <c r="K495" s="369"/>
      <c r="L495" s="369"/>
      <c r="M495" s="369"/>
      <c r="N495" s="369"/>
      <c r="O495" s="369"/>
      <c r="P495" s="369"/>
      <c r="Q495" s="369"/>
    </row>
    <row r="496" spans="1:17" ht="14.4">
      <c r="A496" s="366" t="s">
        <v>71</v>
      </c>
      <c r="B496" s="379"/>
      <c r="C496" s="379"/>
      <c r="D496" s="379"/>
      <c r="E496" s="379"/>
      <c r="F496" s="379"/>
      <c r="G496" s="379"/>
      <c r="H496" s="379"/>
      <c r="I496" s="379"/>
      <c r="J496" s="379"/>
      <c r="K496" s="379"/>
      <c r="L496" s="379"/>
      <c r="M496" s="379"/>
      <c r="N496" s="379"/>
      <c r="O496" s="379"/>
      <c r="P496" s="379"/>
      <c r="Q496" s="379"/>
    </row>
    <row r="497" spans="1:17" ht="14.4">
      <c r="A497" s="370"/>
      <c r="B497" s="379"/>
      <c r="C497" s="379"/>
      <c r="D497" s="379"/>
      <c r="E497" s="379"/>
      <c r="F497" s="379"/>
      <c r="G497" s="379"/>
      <c r="H497" s="379"/>
      <c r="I497" s="379"/>
      <c r="J497" s="379"/>
      <c r="K497" s="379"/>
      <c r="L497" s="379"/>
      <c r="M497" s="379"/>
      <c r="N497" s="379"/>
      <c r="O497" s="379"/>
      <c r="P497" s="379"/>
      <c r="Q497" s="379"/>
    </row>
    <row r="498" spans="1:17" ht="14.4">
      <c r="A498" s="366" t="s">
        <v>64</v>
      </c>
      <c r="B498" s="373"/>
      <c r="C498" s="377">
        <f>+Baseline_NaturalGas!D24</f>
        <v>1656.5089715892002</v>
      </c>
      <c r="D498" s="367">
        <f>+Baseline_NaturalGas!E69</f>
        <v>0</v>
      </c>
      <c r="E498" s="367">
        <f>+Baseline_NaturalGas!F69</f>
        <v>0</v>
      </c>
      <c r="F498" s="367">
        <f>+Baseline_NaturalGas!G69</f>
        <v>0</v>
      </c>
      <c r="G498" s="367">
        <f>+Baseline_NaturalGas!H69</f>
        <v>0</v>
      </c>
      <c r="H498" s="367">
        <f>+Baseline_NaturalGas!I69</f>
        <v>0</v>
      </c>
      <c r="I498" s="367">
        <f>+Baseline_NaturalGas!J69</f>
        <v>0</v>
      </c>
      <c r="J498" s="367">
        <f>+Baseline_NaturalGas!K69</f>
        <v>0</v>
      </c>
      <c r="K498" s="367">
        <f>+Baseline_NaturalGas!L69</f>
        <v>0</v>
      </c>
      <c r="L498" s="367">
        <f>+Baseline_NaturalGas!M69</f>
        <v>0</v>
      </c>
      <c r="M498" s="367">
        <f>+Baseline_NaturalGas!N69</f>
        <v>0</v>
      </c>
      <c r="N498" s="367">
        <f>+Baseline_NaturalGas!O69</f>
        <v>0</v>
      </c>
      <c r="O498" s="367">
        <f>+Baseline_NaturalGas!P69</f>
        <v>0</v>
      </c>
      <c r="P498" s="367">
        <f>+Baseline_NaturalGas!Q69</f>
        <v>0</v>
      </c>
      <c r="Q498" s="367">
        <f>+Baseline_NaturalGas!R69</f>
        <v>0</v>
      </c>
    </row>
    <row r="499" spans="1:17" ht="14.4">
      <c r="A499" s="366" t="s">
        <v>108</v>
      </c>
      <c r="B499" s="387">
        <f>+Baseline_NaturalGas!C25</f>
        <v>0.90200000000000002</v>
      </c>
      <c r="C499" s="373"/>
      <c r="D499" s="373"/>
      <c r="E499" s="373"/>
      <c r="F499" s="373"/>
      <c r="G499" s="373"/>
      <c r="H499" s="373"/>
      <c r="I499" s="373"/>
      <c r="J499" s="373"/>
      <c r="K499" s="373"/>
      <c r="L499" s="373"/>
      <c r="M499" s="373"/>
      <c r="N499" s="373"/>
      <c r="O499" s="373"/>
      <c r="P499" s="373"/>
      <c r="Q499" s="373"/>
    </row>
    <row r="500" spans="1:17" ht="14.4">
      <c r="A500" s="366" t="s">
        <v>346</v>
      </c>
      <c r="B500" s="373"/>
      <c r="C500" s="377">
        <f>+Baseline_NaturalGas!D26</f>
        <v>1741816.7092883086</v>
      </c>
      <c r="D500" s="377">
        <f>+Baseline_NaturalGas!E26</f>
        <v>1741816.7092883086</v>
      </c>
      <c r="E500" s="377">
        <f>+Baseline_NaturalGas!F26</f>
        <v>1741816.7092883086</v>
      </c>
      <c r="F500" s="377">
        <f>+Baseline_NaturalGas!G26</f>
        <v>1741816.7092883086</v>
      </c>
      <c r="G500" s="377">
        <f>+Baseline_NaturalGas!H26</f>
        <v>1741816.7092883086</v>
      </c>
      <c r="H500" s="377">
        <f>+Baseline_NaturalGas!I26</f>
        <v>1741816.7092883086</v>
      </c>
      <c r="I500" s="377">
        <f>+Baseline_NaturalGas!J26</f>
        <v>1741816.7092883086</v>
      </c>
      <c r="J500" s="377">
        <f>+Baseline_NaturalGas!K26</f>
        <v>1741816.7092883086</v>
      </c>
      <c r="K500" s="377">
        <f>+Baseline_NaturalGas!L26</f>
        <v>1741816.7092883086</v>
      </c>
      <c r="L500" s="377">
        <f>+Baseline_NaturalGas!M26</f>
        <v>1741816.7092883086</v>
      </c>
      <c r="M500" s="377">
        <f>+Baseline_NaturalGas!N26</f>
        <v>1741816.7092883086</v>
      </c>
      <c r="N500" s="377">
        <f>+Baseline_NaturalGas!O26</f>
        <v>1741816.7092883086</v>
      </c>
      <c r="O500" s="377">
        <f>+Baseline_NaturalGas!P26</f>
        <v>1741816.7092883086</v>
      </c>
      <c r="P500" s="377">
        <f>+Baseline_NaturalGas!Q26</f>
        <v>1741816.7092883086</v>
      </c>
      <c r="Q500" s="377">
        <f>+Baseline_NaturalGas!R26</f>
        <v>1741816.7092883086</v>
      </c>
    </row>
    <row r="501" spans="1:17" ht="14.4">
      <c r="A501" s="366" t="s">
        <v>66</v>
      </c>
      <c r="B501" s="373"/>
      <c r="C501" s="384">
        <f>+Baseline_NaturalGas!D27</f>
        <v>5.6086944825694198</v>
      </c>
      <c r="D501" s="384">
        <f>+Baseline_NaturalGas!E27</f>
        <v>5.5051083831058802</v>
      </c>
      <c r="E501" s="384">
        <f>+Baseline_NaturalGas!F27</f>
        <v>5.61862622286578</v>
      </c>
      <c r="F501" s="384">
        <f>+Baseline_NaturalGas!G27</f>
        <v>5.8406487933251103</v>
      </c>
      <c r="G501" s="384">
        <f>+Baseline_NaturalGas!H27</f>
        <v>5.8453745748678001</v>
      </c>
      <c r="H501" s="384">
        <f>+Baseline_NaturalGas!I27</f>
        <v>6.0672099673130804</v>
      </c>
      <c r="I501" s="384">
        <f>+Baseline_NaturalGas!J27</f>
        <v>6.39755565092754</v>
      </c>
      <c r="J501" s="384">
        <f>+Baseline_NaturalGas!K27</f>
        <v>6.39755565092754</v>
      </c>
      <c r="K501" s="384">
        <f>+Baseline_NaturalGas!L27</f>
        <v>6.39755565092754</v>
      </c>
      <c r="L501" s="384">
        <f>+Baseline_NaturalGas!M27</f>
        <v>6.39755565092754</v>
      </c>
      <c r="M501" s="384">
        <f>+Baseline_NaturalGas!N27</f>
        <v>6.39755565092754</v>
      </c>
      <c r="N501" s="384">
        <f>+Baseline_NaturalGas!O27</f>
        <v>6.39755565092754</v>
      </c>
      <c r="O501" s="384">
        <f>+Baseline_NaturalGas!P27</f>
        <v>6.39755565092754</v>
      </c>
      <c r="P501" s="384">
        <f>+Baseline_NaturalGas!Q27</f>
        <v>6.39755565092754</v>
      </c>
      <c r="Q501" s="384">
        <f>+Baseline_NaturalGas!R27</f>
        <v>6.39755565092754</v>
      </c>
    </row>
    <row r="502" spans="1:17" ht="14.4">
      <c r="A502" s="370"/>
      <c r="B502" s="379"/>
      <c r="C502" s="379"/>
      <c r="D502" s="379"/>
      <c r="E502" s="379"/>
      <c r="F502" s="379"/>
      <c r="G502" s="379"/>
      <c r="H502" s="379"/>
      <c r="I502" s="379"/>
      <c r="J502" s="379"/>
      <c r="K502" s="379"/>
      <c r="L502" s="379"/>
      <c r="M502" s="379"/>
      <c r="N502" s="379"/>
      <c r="O502" s="379"/>
      <c r="P502" s="379"/>
      <c r="Q502" s="379"/>
    </row>
    <row r="503" spans="1:17" ht="14.4">
      <c r="A503" s="366" t="s">
        <v>102</v>
      </c>
      <c r="B503" s="378">
        <f t="shared" ref="B503" si="124">+SUM(C503:Q503)</f>
        <v>160358.02702356796</v>
      </c>
      <c r="C503" s="375">
        <f>+C500*C501/1000</f>
        <v>9769.3177670325604</v>
      </c>
      <c r="D503" s="375">
        <f>+D500*D501/1000</f>
        <v>9588.8897681369654</v>
      </c>
      <c r="E503" s="375">
        <f t="shared" ref="E503:Q503" si="125">+E500*E501/1000</f>
        <v>9786.6170382330711</v>
      </c>
      <c r="F503" s="375">
        <f t="shared" si="125"/>
        <v>10173.339661298274</v>
      </c>
      <c r="G503" s="375">
        <f t="shared" si="125"/>
        <v>10181.571106553778</v>
      </c>
      <c r="H503" s="375">
        <f t="shared" si="125"/>
        <v>10567.967699826495</v>
      </c>
      <c r="I503" s="375">
        <f t="shared" si="125"/>
        <v>11143.36933138743</v>
      </c>
      <c r="J503" s="375">
        <f t="shared" si="125"/>
        <v>11143.36933138743</v>
      </c>
      <c r="K503" s="375">
        <f t="shared" si="125"/>
        <v>11143.36933138743</v>
      </c>
      <c r="L503" s="375">
        <f t="shared" si="125"/>
        <v>11143.36933138743</v>
      </c>
      <c r="M503" s="375">
        <f t="shared" si="125"/>
        <v>11143.36933138743</v>
      </c>
      <c r="N503" s="375">
        <f t="shared" si="125"/>
        <v>11143.36933138743</v>
      </c>
      <c r="O503" s="375">
        <f t="shared" si="125"/>
        <v>11143.36933138743</v>
      </c>
      <c r="P503" s="375">
        <f t="shared" si="125"/>
        <v>11143.36933138743</v>
      </c>
      <c r="Q503" s="375">
        <f t="shared" si="125"/>
        <v>11143.36933138743</v>
      </c>
    </row>
    <row r="504" spans="1:17" ht="14.4">
      <c r="A504" s="370"/>
      <c r="B504" s="373"/>
      <c r="C504" s="373"/>
      <c r="D504" s="373"/>
      <c r="E504" s="373"/>
      <c r="F504" s="373"/>
      <c r="G504" s="373"/>
      <c r="H504" s="373"/>
      <c r="I504" s="373"/>
      <c r="J504" s="373"/>
      <c r="K504" s="373"/>
      <c r="L504" s="373"/>
      <c r="M504" s="373"/>
      <c r="N504" s="373"/>
      <c r="O504" s="373"/>
      <c r="P504" s="373"/>
      <c r="Q504" s="373"/>
    </row>
    <row r="505" spans="1:17" ht="14.4">
      <c r="A505" s="370"/>
      <c r="B505" s="379"/>
      <c r="C505" s="379"/>
      <c r="D505" s="379"/>
      <c r="E505" s="379"/>
      <c r="F505" s="379"/>
      <c r="G505" s="379"/>
      <c r="H505" s="379"/>
      <c r="I505" s="379"/>
      <c r="J505" s="379"/>
      <c r="K505" s="379"/>
      <c r="L505" s="379"/>
      <c r="M505" s="379"/>
      <c r="N505" s="379"/>
      <c r="O505" s="379"/>
      <c r="P505" s="379"/>
      <c r="Q505" s="379"/>
    </row>
    <row r="506" spans="1:17" ht="14.4">
      <c r="A506" s="366" t="s">
        <v>101</v>
      </c>
      <c r="B506" s="373"/>
      <c r="C506" s="375">
        <f>+C503+C494</f>
        <v>10727.338794532559</v>
      </c>
      <c r="D506" s="375">
        <f t="shared" ref="D506:Q506" si="126">+D503+D494</f>
        <v>10572.585759173966</v>
      </c>
      <c r="E506" s="375">
        <f t="shared" si="126"/>
        <v>10796.676081829863</v>
      </c>
      <c r="F506" s="375">
        <f t="shared" si="126"/>
        <v>11210.46828726346</v>
      </c>
      <c r="G506" s="375">
        <f t="shared" si="126"/>
        <v>11246.494779694831</v>
      </c>
      <c r="H506" s="375">
        <f t="shared" si="126"/>
        <v>11661.431327407727</v>
      </c>
      <c r="I506" s="375">
        <f t="shared" si="126"/>
        <v>12266.13778418784</v>
      </c>
      <c r="J506" s="375">
        <f t="shared" si="126"/>
        <v>12296.227978722891</v>
      </c>
      <c r="K506" s="375">
        <f t="shared" si="126"/>
        <v>12327.124590471481</v>
      </c>
      <c r="L506" s="375">
        <f t="shared" si="126"/>
        <v>12358.849231414933</v>
      </c>
      <c r="M506" s="375">
        <f t="shared" si="126"/>
        <v>12391.42409273567</v>
      </c>
      <c r="N506" s="375">
        <f t="shared" si="126"/>
        <v>12424.871960339802</v>
      </c>
      <c r="O506" s="375">
        <f t="shared" si="126"/>
        <v>12459.216230795726</v>
      </c>
      <c r="P506" s="375">
        <f t="shared" si="126"/>
        <v>12494.480927699869</v>
      </c>
      <c r="Q506" s="375">
        <f t="shared" si="126"/>
        <v>12530.690718481042</v>
      </c>
    </row>
    <row r="507" spans="1:17" ht="14.4">
      <c r="A507" s="370"/>
      <c r="B507" s="379"/>
      <c r="C507" s="379"/>
      <c r="D507" s="379"/>
      <c r="E507" s="379"/>
      <c r="F507" s="379"/>
      <c r="G507" s="379"/>
      <c r="H507" s="379"/>
      <c r="I507" s="379"/>
      <c r="J507" s="379"/>
      <c r="K507" s="379"/>
      <c r="L507" s="379"/>
      <c r="M507" s="379"/>
      <c r="N507" s="379"/>
      <c r="O507" s="379"/>
      <c r="P507" s="379"/>
      <c r="Q507" s="379"/>
    </row>
    <row r="508" spans="1:17" ht="14.4">
      <c r="A508" s="366" t="s">
        <v>73</v>
      </c>
      <c r="B508" s="378">
        <f>+SUM(C508:Q508)</f>
        <v>11487.524395535713</v>
      </c>
      <c r="C508" s="367">
        <f>+Baseline_NaturalGas!$D$5/'Initial Data'!$C$19</f>
        <v>1148.7524395535715</v>
      </c>
      <c r="D508" s="367">
        <f>+Baseline_NaturalGas!$D$5/'Initial Data'!$C$19</f>
        <v>1148.7524395535715</v>
      </c>
      <c r="E508" s="367">
        <f>+Baseline_NaturalGas!$D$5/'Initial Data'!$C$19</f>
        <v>1148.7524395535715</v>
      </c>
      <c r="F508" s="367">
        <f>+Baseline_NaturalGas!$D$5/'Initial Data'!$C$19</f>
        <v>1148.7524395535715</v>
      </c>
      <c r="G508" s="367">
        <f>+Baseline_NaturalGas!$D$5/'Initial Data'!$C$19</f>
        <v>1148.7524395535715</v>
      </c>
      <c r="H508" s="367">
        <f>+Baseline_NaturalGas!$D$5/'Initial Data'!$C$19</f>
        <v>1148.7524395535715</v>
      </c>
      <c r="I508" s="367">
        <f>+Baseline_NaturalGas!$D$5/'Initial Data'!$C$19</f>
        <v>1148.7524395535715</v>
      </c>
      <c r="J508" s="367">
        <f>+Baseline_NaturalGas!$D$5/'Initial Data'!$C$19</f>
        <v>1148.7524395535715</v>
      </c>
      <c r="K508" s="367">
        <f>+Baseline_NaturalGas!$D$5/'Initial Data'!$C$19</f>
        <v>1148.7524395535715</v>
      </c>
      <c r="L508" s="367">
        <f>+Baseline_NaturalGas!$D$5/'Initial Data'!$C$19</f>
        <v>1148.7524395535715</v>
      </c>
      <c r="M508" s="367">
        <v>0</v>
      </c>
      <c r="N508" s="367">
        <v>0</v>
      </c>
      <c r="O508" s="367">
        <v>0</v>
      </c>
      <c r="P508" s="367">
        <v>0</v>
      </c>
      <c r="Q508" s="367">
        <v>0</v>
      </c>
    </row>
    <row r="509" spans="1:17" ht="14.4">
      <c r="A509" s="366" t="s">
        <v>74</v>
      </c>
      <c r="B509" s="378">
        <f>+SUM(C509:Q509)</f>
        <v>11487.524395535713</v>
      </c>
      <c r="C509" s="367">
        <f>SUM(C508:C508)</f>
        <v>1148.7524395535715</v>
      </c>
      <c r="D509" s="367">
        <f t="shared" ref="D509:Q509" si="127">SUM(D508:D508)</f>
        <v>1148.7524395535715</v>
      </c>
      <c r="E509" s="367">
        <f t="shared" si="127"/>
        <v>1148.7524395535715</v>
      </c>
      <c r="F509" s="367">
        <f t="shared" si="127"/>
        <v>1148.7524395535715</v>
      </c>
      <c r="G509" s="367">
        <f t="shared" si="127"/>
        <v>1148.7524395535715</v>
      </c>
      <c r="H509" s="367">
        <f t="shared" si="127"/>
        <v>1148.7524395535715</v>
      </c>
      <c r="I509" s="367">
        <f t="shared" si="127"/>
        <v>1148.7524395535715</v>
      </c>
      <c r="J509" s="367">
        <f t="shared" si="127"/>
        <v>1148.7524395535715</v>
      </c>
      <c r="K509" s="367">
        <f t="shared" si="127"/>
        <v>1148.7524395535715</v>
      </c>
      <c r="L509" s="367">
        <f t="shared" si="127"/>
        <v>1148.7524395535715</v>
      </c>
      <c r="M509" s="367">
        <f t="shared" si="127"/>
        <v>0</v>
      </c>
      <c r="N509" s="367">
        <f t="shared" si="127"/>
        <v>0</v>
      </c>
      <c r="O509" s="367">
        <f t="shared" si="127"/>
        <v>0</v>
      </c>
      <c r="P509" s="367">
        <f t="shared" si="127"/>
        <v>0</v>
      </c>
      <c r="Q509" s="367">
        <f t="shared" si="127"/>
        <v>0</v>
      </c>
    </row>
    <row r="510" spans="1:17" ht="14.4">
      <c r="A510" s="90"/>
      <c r="B510" s="388"/>
      <c r="C510" s="373"/>
      <c r="D510" s="373"/>
      <c r="E510" s="373"/>
      <c r="F510" s="373"/>
      <c r="G510" s="373"/>
      <c r="H510" s="373"/>
      <c r="I510" s="373"/>
      <c r="J510" s="373"/>
      <c r="K510" s="373"/>
      <c r="L510" s="373"/>
      <c r="M510" s="373"/>
      <c r="N510" s="373"/>
      <c r="O510" s="373"/>
      <c r="P510" s="373"/>
      <c r="Q510" s="373"/>
    </row>
    <row r="511" spans="1:17" ht="14.4">
      <c r="A511" s="366" t="s">
        <v>75</v>
      </c>
      <c r="B511" s="378">
        <f>+SUM(C511:Q511)</f>
        <v>189251.54294028736</v>
      </c>
      <c r="C511" s="367">
        <f>+C506+C509</f>
        <v>11876.09123408613</v>
      </c>
      <c r="D511" s="367">
        <f t="shared" ref="D511:Q511" si="128">+D506+D509</f>
        <v>11721.338198727537</v>
      </c>
      <c r="E511" s="367">
        <f t="shared" si="128"/>
        <v>11945.428521383434</v>
      </c>
      <c r="F511" s="367">
        <f t="shared" si="128"/>
        <v>12359.220726817031</v>
      </c>
      <c r="G511" s="367">
        <f t="shared" si="128"/>
        <v>12395.247219248402</v>
      </c>
      <c r="H511" s="367">
        <f t="shared" si="128"/>
        <v>12810.183766961298</v>
      </c>
      <c r="I511" s="367">
        <f t="shared" si="128"/>
        <v>13414.890223741411</v>
      </c>
      <c r="J511" s="367">
        <f t="shared" si="128"/>
        <v>13444.980418276462</v>
      </c>
      <c r="K511" s="367">
        <f t="shared" si="128"/>
        <v>13475.877030025053</v>
      </c>
      <c r="L511" s="367">
        <f t="shared" si="128"/>
        <v>13507.601670968505</v>
      </c>
      <c r="M511" s="367">
        <f t="shared" si="128"/>
        <v>12391.42409273567</v>
      </c>
      <c r="N511" s="367">
        <f t="shared" si="128"/>
        <v>12424.871960339802</v>
      </c>
      <c r="O511" s="367">
        <f t="shared" si="128"/>
        <v>12459.216230795726</v>
      </c>
      <c r="P511" s="367">
        <f t="shared" si="128"/>
        <v>12494.480927699869</v>
      </c>
      <c r="Q511" s="367">
        <f t="shared" si="128"/>
        <v>12530.690718481042</v>
      </c>
    </row>
    <row r="512" spans="1:17">
      <c r="A512" s="74"/>
    </row>
    <row r="513" spans="1:17" ht="14.4">
      <c r="A513" s="366" t="s">
        <v>76</v>
      </c>
      <c r="B513" s="378">
        <f>+SUM(C513:Q513)</f>
        <v>1690799.5581648815</v>
      </c>
      <c r="C513" s="367">
        <f>+C491-C511</f>
        <v>91601.40876591389</v>
      </c>
      <c r="D513" s="367">
        <f t="shared" ref="D513:Q513" si="129">+D491-D511</f>
        <v>94529.358801272465</v>
      </c>
      <c r="E513" s="367">
        <f t="shared" si="129"/>
        <v>97152.787158216554</v>
      </c>
      <c r="F513" s="367">
        <f t="shared" si="129"/>
        <v>99662.82713299623</v>
      </c>
      <c r="G513" s="367">
        <f t="shared" si="129"/>
        <v>102628.99152320786</v>
      </c>
      <c r="H513" s="367">
        <f t="shared" si="129"/>
        <v>105296.70457379277</v>
      </c>
      <c r="I513" s="367">
        <f t="shared" si="129"/>
        <v>107857.26272454487</v>
      </c>
      <c r="J513" s="367">
        <f t="shared" si="129"/>
        <v>111077.26622902387</v>
      </c>
      <c r="K513" s="367">
        <f t="shared" si="129"/>
        <v>114383.56582742294</v>
      </c>
      <c r="L513" s="367">
        <f t="shared" si="129"/>
        <v>117778.47425505907</v>
      </c>
      <c r="M513" s="367">
        <f t="shared" si="129"/>
        <v>122413.11866810943</v>
      </c>
      <c r="N513" s="367">
        <f t="shared" si="129"/>
        <v>125992.43254649593</v>
      </c>
      <c r="O513" s="367">
        <f t="shared" si="129"/>
        <v>129667.67203682321</v>
      </c>
      <c r="P513" s="367">
        <f t="shared" si="129"/>
        <v>133441.40794549123</v>
      </c>
      <c r="Q513" s="367">
        <f t="shared" si="129"/>
        <v>137316.27997651155</v>
      </c>
    </row>
    <row r="514" spans="1:17" ht="14.4">
      <c r="A514" s="369"/>
      <c r="B514" s="373"/>
      <c r="C514" s="373"/>
      <c r="D514" s="373"/>
      <c r="E514" s="373"/>
      <c r="F514" s="373"/>
      <c r="G514" s="373"/>
      <c r="H514" s="373"/>
      <c r="I514" s="373"/>
      <c r="J514" s="373"/>
      <c r="K514" s="373"/>
      <c r="L514" s="373"/>
      <c r="M514" s="373"/>
      <c r="N514" s="373"/>
      <c r="O514" s="373"/>
      <c r="P514" s="373"/>
      <c r="Q514" s="373"/>
    </row>
    <row r="515" spans="1:17" ht="14.4">
      <c r="A515" s="366" t="s">
        <v>222</v>
      </c>
      <c r="B515" s="380">
        <f>+Baseline_NaturalGas!C43</f>
        <v>0.7</v>
      </c>
      <c r="C515" s="367">
        <f>IF((+$B$515*C513)&lt;0,"0",(+$B$515*C513))</f>
        <v>64120.98613613972</v>
      </c>
      <c r="D515" s="367">
        <f t="shared" ref="D515:Q515" si="130">IF((+$B$470*D513)&lt;0,"0",(+$B$470*D513))</f>
        <v>66170.551160890725</v>
      </c>
      <c r="E515" s="367">
        <f t="shared" si="130"/>
        <v>68006.951010751582</v>
      </c>
      <c r="F515" s="367">
        <f t="shared" si="130"/>
        <v>69763.978993097349</v>
      </c>
      <c r="G515" s="367">
        <f t="shared" si="130"/>
        <v>71840.294066245493</v>
      </c>
      <c r="H515" s="367">
        <f t="shared" si="130"/>
        <v>73707.69320165494</v>
      </c>
      <c r="I515" s="367">
        <f t="shared" si="130"/>
        <v>75500.083907181397</v>
      </c>
      <c r="J515" s="367">
        <f t="shared" si="130"/>
        <v>77754.086360316694</v>
      </c>
      <c r="K515" s="367">
        <f t="shared" si="130"/>
        <v>80068.496079196048</v>
      </c>
      <c r="L515" s="367">
        <f t="shared" si="130"/>
        <v>82444.931978541354</v>
      </c>
      <c r="M515" s="367">
        <f t="shared" si="130"/>
        <v>85689.183067676597</v>
      </c>
      <c r="N515" s="367">
        <f t="shared" si="130"/>
        <v>88194.702782547145</v>
      </c>
      <c r="O515" s="367">
        <f t="shared" si="130"/>
        <v>90767.370425776244</v>
      </c>
      <c r="P515" s="367">
        <f t="shared" si="130"/>
        <v>93408.98556184386</v>
      </c>
      <c r="Q515" s="367">
        <f t="shared" si="130"/>
        <v>96121.395983558075</v>
      </c>
    </row>
    <row r="516" spans="1:17" ht="14.4">
      <c r="A516" s="366" t="s">
        <v>77</v>
      </c>
      <c r="B516" s="378">
        <f>+SUM(C516:Q516)</f>
        <v>1183559.6907154173</v>
      </c>
      <c r="C516" s="367">
        <f>SUM(C515:C515)</f>
        <v>64120.98613613972</v>
      </c>
      <c r="D516" s="367">
        <f t="shared" ref="D516:Q516" si="131">SUM(D515:D515)</f>
        <v>66170.551160890725</v>
      </c>
      <c r="E516" s="367">
        <f t="shared" si="131"/>
        <v>68006.951010751582</v>
      </c>
      <c r="F516" s="367">
        <f t="shared" si="131"/>
        <v>69763.978993097349</v>
      </c>
      <c r="G516" s="367">
        <f t="shared" si="131"/>
        <v>71840.294066245493</v>
      </c>
      <c r="H516" s="367">
        <f t="shared" si="131"/>
        <v>73707.69320165494</v>
      </c>
      <c r="I516" s="367">
        <f t="shared" si="131"/>
        <v>75500.083907181397</v>
      </c>
      <c r="J516" s="367">
        <f t="shared" si="131"/>
        <v>77754.086360316694</v>
      </c>
      <c r="K516" s="367">
        <f t="shared" si="131"/>
        <v>80068.496079196048</v>
      </c>
      <c r="L516" s="367">
        <f t="shared" si="131"/>
        <v>82444.931978541354</v>
      </c>
      <c r="M516" s="367">
        <f t="shared" si="131"/>
        <v>85689.183067676597</v>
      </c>
      <c r="N516" s="367">
        <f t="shared" si="131"/>
        <v>88194.702782547145</v>
      </c>
      <c r="O516" s="367">
        <f t="shared" si="131"/>
        <v>90767.370425776244</v>
      </c>
      <c r="P516" s="367">
        <f t="shared" si="131"/>
        <v>93408.98556184386</v>
      </c>
      <c r="Q516" s="367">
        <f t="shared" si="131"/>
        <v>96121.395983558075</v>
      </c>
    </row>
    <row r="517" spans="1:17" ht="14.4">
      <c r="A517" s="369"/>
      <c r="B517" s="373"/>
      <c r="C517" s="373"/>
      <c r="D517" s="373"/>
      <c r="E517" s="373"/>
      <c r="F517" s="373"/>
      <c r="G517" s="373"/>
      <c r="H517" s="373"/>
      <c r="I517" s="373"/>
      <c r="J517" s="373"/>
      <c r="K517" s="373"/>
      <c r="L517" s="373"/>
      <c r="M517" s="373"/>
      <c r="N517" s="373"/>
      <c r="O517" s="373"/>
      <c r="P517" s="373"/>
      <c r="Q517" s="373"/>
    </row>
    <row r="518" spans="1:17" ht="14.4">
      <c r="A518" s="366" t="s">
        <v>78</v>
      </c>
      <c r="B518" s="378">
        <f>+SUM(C518:Q518)</f>
        <v>507239.86744946457</v>
      </c>
      <c r="C518" s="367">
        <f>+C513-C516</f>
        <v>27480.42262977417</v>
      </c>
      <c r="D518" s="367">
        <f t="shared" ref="D518:Q518" si="132">+D513-D516</f>
        <v>28358.807640381739</v>
      </c>
      <c r="E518" s="367">
        <f t="shared" si="132"/>
        <v>29145.836147464972</v>
      </c>
      <c r="F518" s="367">
        <f t="shared" si="132"/>
        <v>29898.848139898881</v>
      </c>
      <c r="G518" s="367">
        <f t="shared" si="132"/>
        <v>30788.697456962371</v>
      </c>
      <c r="H518" s="367">
        <f t="shared" si="132"/>
        <v>31589.011372137829</v>
      </c>
      <c r="I518" s="367">
        <f t="shared" si="132"/>
        <v>32357.17881736347</v>
      </c>
      <c r="J518" s="367">
        <f t="shared" si="132"/>
        <v>33323.179868707171</v>
      </c>
      <c r="K518" s="367">
        <f t="shared" si="132"/>
        <v>34315.069748226888</v>
      </c>
      <c r="L518" s="367">
        <f t="shared" si="132"/>
        <v>35333.542276517721</v>
      </c>
      <c r="M518" s="367">
        <f t="shared" si="132"/>
        <v>36723.935600432829</v>
      </c>
      <c r="N518" s="367">
        <f t="shared" si="132"/>
        <v>37797.729763948781</v>
      </c>
      <c r="O518" s="367">
        <f t="shared" si="132"/>
        <v>38900.301611046962</v>
      </c>
      <c r="P518" s="367">
        <f t="shared" si="132"/>
        <v>40032.422383647368</v>
      </c>
      <c r="Q518" s="367">
        <f t="shared" si="132"/>
        <v>41194.883992953473</v>
      </c>
    </row>
    <row r="519" spans="1:17" ht="14.4">
      <c r="A519" s="395" t="s">
        <v>331</v>
      </c>
      <c r="B519" s="378">
        <f>+SUM(C519:Q519)</f>
        <v>11487.524395535713</v>
      </c>
      <c r="C519" s="377">
        <f>+C508</f>
        <v>1148.7524395535715</v>
      </c>
      <c r="D519" s="377">
        <f t="shared" ref="D519:Q519" si="133">+D508</f>
        <v>1148.7524395535715</v>
      </c>
      <c r="E519" s="377">
        <f t="shared" si="133"/>
        <v>1148.7524395535715</v>
      </c>
      <c r="F519" s="377">
        <f t="shared" si="133"/>
        <v>1148.7524395535715</v>
      </c>
      <c r="G519" s="377">
        <f t="shared" si="133"/>
        <v>1148.7524395535715</v>
      </c>
      <c r="H519" s="377">
        <f t="shared" si="133"/>
        <v>1148.7524395535715</v>
      </c>
      <c r="I519" s="377">
        <f t="shared" si="133"/>
        <v>1148.7524395535715</v>
      </c>
      <c r="J519" s="377">
        <f t="shared" si="133"/>
        <v>1148.7524395535715</v>
      </c>
      <c r="K519" s="377">
        <f t="shared" si="133"/>
        <v>1148.7524395535715</v>
      </c>
      <c r="L519" s="377">
        <f t="shared" si="133"/>
        <v>1148.7524395535715</v>
      </c>
      <c r="M519" s="377">
        <f t="shared" si="133"/>
        <v>0</v>
      </c>
      <c r="N519" s="377">
        <f t="shared" si="133"/>
        <v>0</v>
      </c>
      <c r="O519" s="377">
        <f t="shared" si="133"/>
        <v>0</v>
      </c>
      <c r="P519" s="377">
        <f t="shared" si="133"/>
        <v>0</v>
      </c>
      <c r="Q519" s="377">
        <f t="shared" si="133"/>
        <v>0</v>
      </c>
    </row>
    <row r="520" spans="1:17" ht="14.4">
      <c r="A520" s="395" t="s">
        <v>332</v>
      </c>
      <c r="B520" s="378">
        <f>+Baseline_NaturalGas!C498</f>
        <v>0</v>
      </c>
      <c r="C520" s="367">
        <f>+Baseline_NaturalGas!D498</f>
        <v>0</v>
      </c>
      <c r="D520" s="367">
        <f>+Baseline_NaturalGas!E498</f>
        <v>0</v>
      </c>
      <c r="E520" s="367">
        <f>+Baseline_NaturalGas!F498</f>
        <v>0</v>
      </c>
      <c r="F520" s="367">
        <f>+Baseline_NaturalGas!G498</f>
        <v>0</v>
      </c>
      <c r="G520" s="367">
        <f>+Baseline_NaturalGas!H498</f>
        <v>0</v>
      </c>
      <c r="H520" s="367">
        <f>+Baseline_NaturalGas!I498</f>
        <v>0</v>
      </c>
      <c r="I520" s="367">
        <f>+Baseline_NaturalGas!J498</f>
        <v>0</v>
      </c>
      <c r="J520" s="367">
        <f>+Baseline_NaturalGas!K498</f>
        <v>0</v>
      </c>
      <c r="K520" s="367">
        <f>+Baseline_NaturalGas!L498</f>
        <v>0</v>
      </c>
      <c r="L520" s="367">
        <f>+Baseline_NaturalGas!M498</f>
        <v>0</v>
      </c>
      <c r="M520" s="367">
        <f>+Baseline_NaturalGas!N498</f>
        <v>0</v>
      </c>
      <c r="N520" s="367">
        <f>+Baseline_NaturalGas!O498</f>
        <v>0</v>
      </c>
      <c r="O520" s="367">
        <f>+Baseline_NaturalGas!P498</f>
        <v>0</v>
      </c>
      <c r="P520" s="367">
        <f>+Baseline_NaturalGas!Q498</f>
        <v>0</v>
      </c>
      <c r="Q520" s="367">
        <f>+Baseline_NaturalGas!R498</f>
        <v>0</v>
      </c>
    </row>
    <row r="521" spans="1:17" ht="14.4">
      <c r="A521" s="510"/>
      <c r="B521" s="511"/>
      <c r="C521" s="511"/>
      <c r="D521" s="511"/>
      <c r="E521" s="511"/>
      <c r="F521" s="511"/>
      <c r="G521" s="511"/>
      <c r="H521" s="511"/>
      <c r="I521" s="511"/>
      <c r="J521" s="511"/>
      <c r="K521" s="511"/>
      <c r="L521" s="511"/>
      <c r="M521" s="511"/>
      <c r="N521" s="511"/>
      <c r="O521" s="511"/>
      <c r="P521" s="511"/>
      <c r="Q521" s="511"/>
    </row>
    <row r="522" spans="1:17" ht="14.4">
      <c r="A522" s="366" t="s">
        <v>110</v>
      </c>
      <c r="B522" s="378">
        <f>-Baseline_NaturalGas!$D$5</f>
        <v>-11487.524395535715</v>
      </c>
      <c r="C522" s="367">
        <f>+C518+C519+C520</f>
        <v>28629.175069327743</v>
      </c>
      <c r="D522" s="367">
        <f t="shared" ref="D522:Q522" si="134">+D518+D519+D520</f>
        <v>29507.560079935312</v>
      </c>
      <c r="E522" s="367">
        <f t="shared" si="134"/>
        <v>30294.588587018545</v>
      </c>
      <c r="F522" s="367">
        <f t="shared" si="134"/>
        <v>31047.600579452454</v>
      </c>
      <c r="G522" s="367">
        <f t="shared" si="134"/>
        <v>31937.449896515944</v>
      </c>
      <c r="H522" s="367">
        <f t="shared" si="134"/>
        <v>32737.763811691402</v>
      </c>
      <c r="I522" s="367">
        <f t="shared" si="134"/>
        <v>33505.931256917043</v>
      </c>
      <c r="J522" s="367">
        <f t="shared" si="134"/>
        <v>34471.932308260744</v>
      </c>
      <c r="K522" s="367">
        <f t="shared" si="134"/>
        <v>35463.822187780461</v>
      </c>
      <c r="L522" s="367">
        <f t="shared" si="134"/>
        <v>36482.294716071294</v>
      </c>
      <c r="M522" s="367">
        <f t="shared" si="134"/>
        <v>36723.935600432829</v>
      </c>
      <c r="N522" s="367">
        <f t="shared" si="134"/>
        <v>37797.729763948781</v>
      </c>
      <c r="O522" s="367">
        <f t="shared" si="134"/>
        <v>38900.301611046962</v>
      </c>
      <c r="P522" s="367">
        <f t="shared" si="134"/>
        <v>40032.422383647368</v>
      </c>
      <c r="Q522" s="367">
        <f t="shared" si="134"/>
        <v>41194.883992953473</v>
      </c>
    </row>
    <row r="523" spans="1:17" ht="15.6">
      <c r="A523" s="366" t="s">
        <v>51</v>
      </c>
      <c r="B523" s="132">
        <f>IRR(B522:Q522)</f>
        <v>2.521619855210234</v>
      </c>
      <c r="C523" s="390"/>
      <c r="D523" s="390"/>
      <c r="E523" s="390"/>
      <c r="F523" s="390"/>
      <c r="G523" s="390"/>
      <c r="H523" s="390"/>
      <c r="I523" s="390"/>
      <c r="J523" s="390"/>
      <c r="K523" s="390"/>
      <c r="L523" s="390"/>
      <c r="M523" s="390"/>
      <c r="N523" s="390"/>
      <c r="O523" s="390"/>
      <c r="P523" s="390"/>
      <c r="Q523" s="390"/>
    </row>
    <row r="524" spans="1:17" ht="15.6">
      <c r="A524" s="366" t="s">
        <v>267</v>
      </c>
      <c r="B524" s="303">
        <f>NPV('Initial Data'!$C$21/100,B522:Q522)</f>
        <v>189379.89778148205</v>
      </c>
      <c r="C524" s="373"/>
      <c r="D524" s="373"/>
      <c r="E524" s="373"/>
      <c r="F524" s="373"/>
      <c r="G524" s="373"/>
      <c r="H524" s="373"/>
      <c r="I524" s="373"/>
      <c r="J524" s="373"/>
      <c r="K524" s="373"/>
      <c r="L524" s="373"/>
      <c r="M524" s="373"/>
      <c r="N524" s="373"/>
      <c r="O524" s="373"/>
      <c r="P524" s="373"/>
      <c r="Q524" s="373"/>
    </row>
    <row r="525" spans="1:17" ht="15.6">
      <c r="A525" s="370"/>
      <c r="B525" s="394"/>
      <c r="C525" s="396"/>
      <c r="D525" s="396"/>
      <c r="E525" s="396"/>
      <c r="F525" s="396"/>
      <c r="G525" s="396"/>
      <c r="H525" s="396"/>
      <c r="I525" s="396"/>
      <c r="J525" s="396"/>
      <c r="K525" s="396"/>
      <c r="L525" s="396"/>
      <c r="M525" s="396"/>
      <c r="N525" s="396"/>
      <c r="O525" s="396"/>
      <c r="P525" s="396"/>
      <c r="Q525" s="396"/>
    </row>
    <row r="526" spans="1:17" ht="14.4">
      <c r="A526" s="508" t="s">
        <v>336</v>
      </c>
      <c r="B526" s="509"/>
      <c r="C526" s="509"/>
      <c r="D526" s="509"/>
      <c r="E526" s="509"/>
      <c r="F526" s="509"/>
      <c r="G526" s="509"/>
      <c r="H526" s="509"/>
      <c r="I526" s="509"/>
      <c r="J526" s="509"/>
      <c r="K526" s="509"/>
      <c r="L526" s="509"/>
      <c r="M526" s="509"/>
      <c r="N526" s="509"/>
      <c r="O526" s="509"/>
      <c r="P526" s="509"/>
      <c r="Q526" s="509"/>
    </row>
    <row r="527" spans="1:17" ht="14.4">
      <c r="A527" s="371" t="s">
        <v>319</v>
      </c>
      <c r="B527" s="372"/>
      <c r="C527" s="372"/>
      <c r="D527" s="372"/>
      <c r="E527" s="372"/>
      <c r="F527" s="372"/>
      <c r="G527" s="372"/>
      <c r="H527" s="372"/>
      <c r="I527" s="372"/>
      <c r="J527" s="372"/>
      <c r="K527" s="372"/>
      <c r="L527" s="372"/>
      <c r="M527" s="372"/>
      <c r="N527" s="372"/>
      <c r="O527" s="372"/>
      <c r="P527" s="372"/>
      <c r="Q527" s="372"/>
    </row>
    <row r="528" spans="1:17" ht="27">
      <c r="A528" s="376"/>
      <c r="B528" s="304" t="s">
        <v>35</v>
      </c>
      <c r="C528" s="352" t="s">
        <v>407</v>
      </c>
      <c r="D528" s="352" t="s">
        <v>408</v>
      </c>
      <c r="E528" s="352" t="s">
        <v>409</v>
      </c>
      <c r="F528" s="352" t="s">
        <v>410</v>
      </c>
      <c r="G528" s="352" t="s">
        <v>411</v>
      </c>
      <c r="H528" s="352" t="s">
        <v>412</v>
      </c>
      <c r="I528" s="352" t="s">
        <v>413</v>
      </c>
      <c r="J528" s="352" t="s">
        <v>414</v>
      </c>
      <c r="K528" s="352" t="s">
        <v>415</v>
      </c>
      <c r="L528" s="352" t="s">
        <v>416</v>
      </c>
      <c r="M528" s="352" t="s">
        <v>417</v>
      </c>
      <c r="N528" s="352" t="s">
        <v>418</v>
      </c>
      <c r="O528" s="352" t="s">
        <v>419</v>
      </c>
      <c r="P528" s="352" t="s">
        <v>420</v>
      </c>
      <c r="Q528" s="352" t="s">
        <v>421</v>
      </c>
    </row>
    <row r="529" spans="1:17" ht="14.4">
      <c r="A529" s="363" t="s">
        <v>290</v>
      </c>
      <c r="B529" s="365"/>
      <c r="C529" s="367">
        <f>+Baseline_NaturalGas!D10</f>
        <v>219000</v>
      </c>
      <c r="D529" s="367">
        <f>+Baseline_NaturalGas!E10</f>
        <v>219000</v>
      </c>
      <c r="E529" s="367">
        <f>+Baseline_NaturalGas!F10</f>
        <v>219000</v>
      </c>
      <c r="F529" s="367">
        <f>+Baseline_NaturalGas!G10</f>
        <v>219000</v>
      </c>
      <c r="G529" s="367">
        <f>+Baseline_NaturalGas!H10</f>
        <v>219000</v>
      </c>
      <c r="H529" s="367">
        <f>+Baseline_NaturalGas!I10</f>
        <v>219000</v>
      </c>
      <c r="I529" s="367">
        <f>+Baseline_NaturalGas!J10</f>
        <v>219000</v>
      </c>
      <c r="J529" s="367">
        <f>+Baseline_NaturalGas!K10</f>
        <v>219000</v>
      </c>
      <c r="K529" s="367">
        <f>+Baseline_NaturalGas!L10</f>
        <v>219000</v>
      </c>
      <c r="L529" s="367">
        <f>+Baseline_NaturalGas!M10</f>
        <v>219000</v>
      </c>
      <c r="M529" s="367">
        <f>+Baseline_NaturalGas!N10</f>
        <v>219000</v>
      </c>
      <c r="N529" s="367">
        <f>+Baseline_NaturalGas!O10</f>
        <v>219000</v>
      </c>
      <c r="O529" s="367">
        <f>+Baseline_NaturalGas!P10</f>
        <v>219000</v>
      </c>
      <c r="P529" s="367">
        <f>+Baseline_NaturalGas!Q10</f>
        <v>219000</v>
      </c>
      <c r="Q529" s="367">
        <f>+Baseline_NaturalGas!R10</f>
        <v>219000</v>
      </c>
    </row>
    <row r="530" spans="1:17" ht="14.4">
      <c r="A530" s="364" t="s">
        <v>291</v>
      </c>
      <c r="B530" s="365"/>
      <c r="C530" s="367">
        <f>+Baseline_NaturalGas!D11</f>
        <v>70</v>
      </c>
      <c r="D530" s="367">
        <f>+Baseline_NaturalGas!E11</f>
        <v>70</v>
      </c>
      <c r="E530" s="367">
        <f>+Baseline_NaturalGas!F11</f>
        <v>70</v>
      </c>
      <c r="F530" s="367">
        <f>+Baseline_NaturalGas!G11</f>
        <v>70</v>
      </c>
      <c r="G530" s="367">
        <f>+Baseline_NaturalGas!H11</f>
        <v>70</v>
      </c>
      <c r="H530" s="367">
        <f>+Baseline_NaturalGas!I11</f>
        <v>70</v>
      </c>
      <c r="I530" s="367">
        <f>+Baseline_NaturalGas!J11</f>
        <v>70</v>
      </c>
      <c r="J530" s="367">
        <f>+Baseline_NaturalGas!K11</f>
        <v>70</v>
      </c>
      <c r="K530" s="367">
        <f>+Baseline_NaturalGas!L11</f>
        <v>70</v>
      </c>
      <c r="L530" s="367">
        <f>+Baseline_NaturalGas!M11</f>
        <v>70</v>
      </c>
      <c r="M530" s="367">
        <f>+Baseline_NaturalGas!N11</f>
        <v>70</v>
      </c>
      <c r="N530" s="367">
        <f>+Baseline_NaturalGas!O11</f>
        <v>70</v>
      </c>
      <c r="O530" s="367">
        <f>+Baseline_NaturalGas!P11</f>
        <v>70</v>
      </c>
      <c r="P530" s="367">
        <f>+Baseline_NaturalGas!Q11</f>
        <v>70</v>
      </c>
      <c r="Q530" s="367">
        <f>+Baseline_NaturalGas!R11</f>
        <v>70</v>
      </c>
    </row>
    <row r="531" spans="1:17" ht="14.4">
      <c r="A531" s="366" t="s">
        <v>292</v>
      </c>
      <c r="B531" s="365"/>
      <c r="C531" s="383">
        <f>+Baseline_NaturalGas!D12*(1+$F$7)</f>
        <v>7.0714285714285721</v>
      </c>
      <c r="D531" s="383">
        <f>+Baseline_NaturalGas!E12*(1+$F$7)</f>
        <v>7.2609428571428571</v>
      </c>
      <c r="E531" s="383">
        <f>+Baseline_NaturalGas!F12*(1+$F$7)</f>
        <v>7.4555361257142847</v>
      </c>
      <c r="F531" s="383">
        <f>+Baseline_NaturalGas!G12*(1+$F$7)</f>
        <v>7.6553444938834279</v>
      </c>
      <c r="G531" s="383">
        <f>+Baseline_NaturalGas!H12*(1+$F$7)</f>
        <v>7.8605077263195033</v>
      </c>
      <c r="H531" s="383">
        <f>+Baseline_NaturalGas!I12*(1+$F$7)</f>
        <v>8.0711693333848658</v>
      </c>
      <c r="I531" s="383">
        <f>+Baseline_NaturalGas!J12*(1+$F$7)</f>
        <v>8.2874766715195793</v>
      </c>
      <c r="J531" s="383">
        <f>+Baseline_NaturalGas!K12*(1+$F$7)</f>
        <v>8.5095810463163026</v>
      </c>
      <c r="K531" s="383">
        <f>+Baseline_NaturalGas!L12*(1+$F$7)</f>
        <v>8.7376378183575802</v>
      </c>
      <c r="L531" s="383">
        <f>+Baseline_NaturalGas!M12*(1+$F$7)</f>
        <v>8.9718065118895627</v>
      </c>
      <c r="M531" s="383">
        <f>+Baseline_NaturalGas!N12*(1+$F$7)</f>
        <v>9.2122509264082009</v>
      </c>
      <c r="N531" s="383">
        <f>+Baseline_NaturalGas!O12*(1+$F$7)</f>
        <v>9.4591392512359409</v>
      </c>
      <c r="O531" s="383">
        <f>+Baseline_NaturalGas!P12*(1+$F$7)</f>
        <v>9.7126441831690631</v>
      </c>
      <c r="P531" s="383">
        <f>+Baseline_NaturalGas!Q12*(1+$F$7)</f>
        <v>9.9729430472779921</v>
      </c>
      <c r="Q531" s="383">
        <f>+Baseline_NaturalGas!R12*(1+$F$7)</f>
        <v>10.240217920945042</v>
      </c>
    </row>
    <row r="532" spans="1:17" ht="14.4">
      <c r="A532" s="366" t="s">
        <v>293</v>
      </c>
      <c r="B532" s="365"/>
      <c r="C532" s="381">
        <f>C530*C531</f>
        <v>495.00000000000006</v>
      </c>
      <c r="D532" s="381">
        <f t="shared" ref="D532:Q532" si="135">D530*D531</f>
        <v>508.26600000000002</v>
      </c>
      <c r="E532" s="381">
        <f t="shared" si="135"/>
        <v>521.88752879999993</v>
      </c>
      <c r="F532" s="381">
        <f t="shared" si="135"/>
        <v>535.87411457183998</v>
      </c>
      <c r="G532" s="381">
        <f t="shared" si="135"/>
        <v>550.23554084236525</v>
      </c>
      <c r="H532" s="381">
        <f t="shared" si="135"/>
        <v>564.98185333694062</v>
      </c>
      <c r="I532" s="381">
        <f t="shared" si="135"/>
        <v>580.12336700637059</v>
      </c>
      <c r="J532" s="381">
        <f t="shared" si="135"/>
        <v>595.67067324214122</v>
      </c>
      <c r="K532" s="381">
        <f t="shared" si="135"/>
        <v>611.63464728503061</v>
      </c>
      <c r="L532" s="381">
        <f t="shared" si="135"/>
        <v>628.02645583226933</v>
      </c>
      <c r="M532" s="381">
        <f t="shared" si="135"/>
        <v>644.85756484857404</v>
      </c>
      <c r="N532" s="381">
        <f t="shared" si="135"/>
        <v>662.13974758651591</v>
      </c>
      <c r="O532" s="381">
        <f t="shared" si="135"/>
        <v>679.88509282183441</v>
      </c>
      <c r="P532" s="381">
        <f t="shared" si="135"/>
        <v>698.1060133094594</v>
      </c>
      <c r="Q532" s="381">
        <f t="shared" si="135"/>
        <v>716.81525446615296</v>
      </c>
    </row>
    <row r="533" spans="1:17" ht="14.4">
      <c r="A533" s="370"/>
      <c r="B533" s="373"/>
      <c r="C533" s="373"/>
      <c r="D533" s="373"/>
      <c r="E533" s="373"/>
      <c r="F533" s="373"/>
      <c r="G533" s="373"/>
      <c r="H533" s="373"/>
      <c r="I533" s="373"/>
      <c r="J533" s="373"/>
      <c r="K533" s="373"/>
      <c r="L533" s="373"/>
      <c r="M533" s="373"/>
      <c r="N533" s="373"/>
      <c r="O533" s="373"/>
      <c r="P533" s="373"/>
      <c r="Q533" s="373"/>
    </row>
    <row r="534" spans="1:17" ht="14.4">
      <c r="A534" s="366" t="s">
        <v>294</v>
      </c>
      <c r="B534" s="378">
        <f>+SUM(C534:Q534)</f>
        <v>1969577.3440149394</v>
      </c>
      <c r="C534" s="381">
        <f>C529*C532/1000*'Initial Data'!$C$34/'Initial Data'!$C$33</f>
        <v>108405.00000000001</v>
      </c>
      <c r="D534" s="381">
        <f>D529*D532/1000*'Initial Data'!$C$34/'Initial Data'!$C$33</f>
        <v>111310.254</v>
      </c>
      <c r="E534" s="381">
        <f>E529*E532/1000*'Initial Data'!$C$34/'Initial Data'!$C$33</f>
        <v>114293.36880719998</v>
      </c>
      <c r="F534" s="381">
        <f>F529*F532/1000*'Initial Data'!$C$34/'Initial Data'!$C$33</f>
        <v>117356.43109123295</v>
      </c>
      <c r="G534" s="381">
        <f>G529*G532/1000*'Initial Data'!$C$34/'Initial Data'!$C$33</f>
        <v>120501.58344447799</v>
      </c>
      <c r="H534" s="381">
        <f>H529*H532/1000*'Initial Data'!$C$34/'Initial Data'!$C$33</f>
        <v>123731.02588079</v>
      </c>
      <c r="I534" s="381">
        <f>I529*I532/1000*'Initial Data'!$C$34/'Initial Data'!$C$33</f>
        <v>127047.01737439516</v>
      </c>
      <c r="J534" s="381">
        <f>J529*J532/1000*'Initial Data'!$C$34/'Initial Data'!$C$33</f>
        <v>130451.87744002893</v>
      </c>
      <c r="K534" s="381">
        <f>K529*K532/1000*'Initial Data'!$C$34/'Initial Data'!$C$33</f>
        <v>133947.98775542169</v>
      </c>
      <c r="L534" s="381">
        <f>L529*L532/1000*'Initial Data'!$C$34/'Initial Data'!$C$33</f>
        <v>137537.79382726699</v>
      </c>
      <c r="M534" s="381">
        <f>M529*M532/1000*'Initial Data'!$C$34/'Initial Data'!$C$33</f>
        <v>141223.80670183772</v>
      </c>
      <c r="N534" s="381">
        <f>N529*N532/1000*'Initial Data'!$C$34/'Initial Data'!$C$33</f>
        <v>145008.60472144699</v>
      </c>
      <c r="O534" s="381">
        <f>O529*O532/1000*'Initial Data'!$C$34/'Initial Data'!$C$33</f>
        <v>148894.83532798174</v>
      </c>
      <c r="P534" s="381">
        <f>P529*P532/1000*'Initial Data'!$C$34/'Initial Data'!$C$33</f>
        <v>152885.21691477162</v>
      </c>
      <c r="Q534" s="381">
        <f>Q529*Q532/1000*'Initial Data'!$C$34/'Initial Data'!$C$33</f>
        <v>156982.54072808748</v>
      </c>
    </row>
    <row r="535" spans="1:17" ht="14.4">
      <c r="A535" s="370"/>
      <c r="B535" s="373"/>
      <c r="C535" s="373"/>
      <c r="D535" s="373"/>
      <c r="E535" s="373"/>
      <c r="F535" s="373"/>
      <c r="G535" s="373"/>
      <c r="H535" s="373"/>
      <c r="I535" s="373"/>
      <c r="J535" s="373"/>
      <c r="K535" s="373"/>
      <c r="L535" s="373"/>
      <c r="M535" s="373"/>
      <c r="N535" s="373"/>
      <c r="O535" s="373"/>
      <c r="P535" s="373"/>
      <c r="Q535" s="373"/>
    </row>
    <row r="536" spans="1:17" ht="14.4">
      <c r="A536" s="366" t="s">
        <v>295</v>
      </c>
      <c r="B536" s="378">
        <f>+SUM(C536:Q536)</f>
        <v>1969577.3440149394</v>
      </c>
      <c r="C536" s="367">
        <f>+C534</f>
        <v>108405.00000000001</v>
      </c>
      <c r="D536" s="367">
        <f t="shared" ref="D536:Q536" si="136">+D534</f>
        <v>111310.254</v>
      </c>
      <c r="E536" s="367">
        <f t="shared" si="136"/>
        <v>114293.36880719998</v>
      </c>
      <c r="F536" s="367">
        <f t="shared" si="136"/>
        <v>117356.43109123295</v>
      </c>
      <c r="G536" s="367">
        <f t="shared" si="136"/>
        <v>120501.58344447799</v>
      </c>
      <c r="H536" s="367">
        <f t="shared" si="136"/>
        <v>123731.02588079</v>
      </c>
      <c r="I536" s="367">
        <f t="shared" si="136"/>
        <v>127047.01737439516</v>
      </c>
      <c r="J536" s="367">
        <f t="shared" si="136"/>
        <v>130451.87744002893</v>
      </c>
      <c r="K536" s="367">
        <f t="shared" si="136"/>
        <v>133947.98775542169</v>
      </c>
      <c r="L536" s="367">
        <f t="shared" si="136"/>
        <v>137537.79382726699</v>
      </c>
      <c r="M536" s="367">
        <f t="shared" si="136"/>
        <v>141223.80670183772</v>
      </c>
      <c r="N536" s="367">
        <f t="shared" si="136"/>
        <v>145008.60472144699</v>
      </c>
      <c r="O536" s="367">
        <f t="shared" si="136"/>
        <v>148894.83532798174</v>
      </c>
      <c r="P536" s="367">
        <f t="shared" si="136"/>
        <v>152885.21691477162</v>
      </c>
      <c r="Q536" s="367">
        <f t="shared" si="136"/>
        <v>156982.54072808748</v>
      </c>
    </row>
    <row r="537" spans="1:17" ht="14.4">
      <c r="A537" s="370"/>
      <c r="B537" s="374"/>
      <c r="C537" s="374"/>
      <c r="D537" s="374"/>
      <c r="E537" s="374"/>
      <c r="F537" s="374"/>
      <c r="G537" s="374"/>
      <c r="H537" s="374"/>
      <c r="I537" s="374"/>
      <c r="J537" s="374"/>
      <c r="K537" s="374"/>
      <c r="L537" s="374"/>
      <c r="M537" s="374"/>
      <c r="N537" s="374"/>
      <c r="O537" s="374"/>
      <c r="P537" s="374"/>
      <c r="Q537" s="374"/>
    </row>
    <row r="538" spans="1:17" ht="14.4">
      <c r="A538" s="366" t="s">
        <v>68</v>
      </c>
      <c r="B538" s="368"/>
      <c r="C538" s="368"/>
      <c r="D538" s="368"/>
      <c r="E538" s="368"/>
      <c r="F538" s="368"/>
      <c r="G538" s="368"/>
      <c r="H538" s="368"/>
      <c r="I538" s="368"/>
      <c r="J538" s="368"/>
      <c r="K538" s="368"/>
      <c r="L538" s="368"/>
      <c r="M538" s="368"/>
      <c r="N538" s="368"/>
      <c r="O538" s="368"/>
      <c r="P538" s="368"/>
      <c r="Q538" s="368"/>
    </row>
    <row r="539" spans="1:17" ht="14.4">
      <c r="A539" s="366" t="s">
        <v>330</v>
      </c>
      <c r="B539" s="378">
        <f>+SUM(C539:Q539)</f>
        <v>17405.991521183645</v>
      </c>
      <c r="C539" s="377">
        <f>+Baseline_NaturalGas!D20</f>
        <v>958.02102749999995</v>
      </c>
      <c r="D539" s="377">
        <f>+Baseline_NaturalGas!E20</f>
        <v>983.69599103699989</v>
      </c>
      <c r="E539" s="377">
        <f>+Baseline_NaturalGas!F20</f>
        <v>1010.0590435967914</v>
      </c>
      <c r="F539" s="377">
        <f>+Baseline_NaturalGas!G20</f>
        <v>1037.1286259651854</v>
      </c>
      <c r="G539" s="377">
        <f>+Baseline_NaturalGas!H20</f>
        <v>1064.9236731410524</v>
      </c>
      <c r="H539" s="377">
        <f>+Baseline_NaturalGas!I20</f>
        <v>1093.4636275812325</v>
      </c>
      <c r="I539" s="377">
        <f>+Baseline_NaturalGas!J20</f>
        <v>1122.7684528004095</v>
      </c>
      <c r="J539" s="377">
        <f>+Baseline_NaturalGas!K20</f>
        <v>1152.8586473354603</v>
      </c>
      <c r="K539" s="377">
        <f>+Baseline_NaturalGas!L20</f>
        <v>1183.7552590840505</v>
      </c>
      <c r="L539" s="377">
        <f>+Baseline_NaturalGas!M20</f>
        <v>1215.4799000275029</v>
      </c>
      <c r="M539" s="377">
        <f>+Baseline_NaturalGas!N20</f>
        <v>1248.0547613482399</v>
      </c>
      <c r="N539" s="377">
        <f>+Baseline_NaturalGas!O20</f>
        <v>1281.5026289523728</v>
      </c>
      <c r="O539" s="377">
        <f>+Baseline_NaturalGas!P20</f>
        <v>1315.8468994082964</v>
      </c>
      <c r="P539" s="377">
        <f>+Baseline_NaturalGas!Q20</f>
        <v>1351.1115963124387</v>
      </c>
      <c r="Q539" s="377">
        <f>+Baseline_NaturalGas!R20</f>
        <v>1387.321387093612</v>
      </c>
    </row>
    <row r="540" spans="1:17" ht="14.4">
      <c r="A540" s="370"/>
      <c r="B540" s="369"/>
      <c r="C540" s="369"/>
      <c r="D540" s="369"/>
      <c r="E540" s="369"/>
      <c r="F540" s="369"/>
      <c r="G540" s="369"/>
      <c r="H540" s="369"/>
      <c r="I540" s="369"/>
      <c r="J540" s="369"/>
      <c r="K540" s="369"/>
      <c r="L540" s="369"/>
      <c r="M540" s="369"/>
      <c r="N540" s="369"/>
      <c r="O540" s="369"/>
      <c r="P540" s="369"/>
      <c r="Q540" s="369"/>
    </row>
    <row r="541" spans="1:17" ht="14.4">
      <c r="A541" s="366" t="s">
        <v>71</v>
      </c>
      <c r="B541" s="379"/>
      <c r="C541" s="379"/>
      <c r="D541" s="379"/>
      <c r="E541" s="379"/>
      <c r="F541" s="379"/>
      <c r="G541" s="379"/>
      <c r="H541" s="379"/>
      <c r="I541" s="379"/>
      <c r="J541" s="379"/>
      <c r="K541" s="379"/>
      <c r="L541" s="379"/>
      <c r="M541" s="379"/>
      <c r="N541" s="379"/>
      <c r="O541" s="379"/>
      <c r="P541" s="379"/>
      <c r="Q541" s="379"/>
    </row>
    <row r="542" spans="1:17" ht="14.4">
      <c r="A542" s="370"/>
      <c r="B542" s="379"/>
      <c r="C542" s="379"/>
      <c r="D542" s="379"/>
      <c r="E542" s="379"/>
      <c r="F542" s="379"/>
      <c r="G542" s="379"/>
      <c r="H542" s="379"/>
      <c r="I542" s="379"/>
      <c r="J542" s="379"/>
      <c r="K542" s="379"/>
      <c r="L542" s="379"/>
      <c r="M542" s="379"/>
      <c r="N542" s="379"/>
      <c r="O542" s="379"/>
      <c r="P542" s="379"/>
      <c r="Q542" s="379"/>
    </row>
    <row r="543" spans="1:17" ht="14.4">
      <c r="A543" s="366" t="s">
        <v>64</v>
      </c>
      <c r="B543" s="373"/>
      <c r="C543" s="377">
        <f>+Baseline_NaturalGas!D24</f>
        <v>1656.5089715892002</v>
      </c>
      <c r="D543" s="377">
        <f>+Baseline_NaturalGas!E24</f>
        <v>1656.5089715892002</v>
      </c>
      <c r="E543" s="377">
        <f>+Baseline_NaturalGas!F24</f>
        <v>1656.5089715892002</v>
      </c>
      <c r="F543" s="377">
        <f>+Baseline_NaturalGas!G24</f>
        <v>1656.5089715892002</v>
      </c>
      <c r="G543" s="377">
        <f>+Baseline_NaturalGas!H24</f>
        <v>1656.5089715892002</v>
      </c>
      <c r="H543" s="377">
        <f>+Baseline_NaturalGas!I24</f>
        <v>1656.5089715892002</v>
      </c>
      <c r="I543" s="377">
        <f>+Baseline_NaturalGas!J24</f>
        <v>1656.5089715892002</v>
      </c>
      <c r="J543" s="377">
        <f>+Baseline_NaturalGas!K24</f>
        <v>1656.5089715892002</v>
      </c>
      <c r="K543" s="377">
        <f>+Baseline_NaturalGas!L24</f>
        <v>1656.5089715892002</v>
      </c>
      <c r="L543" s="377">
        <f>+Baseline_NaturalGas!M24</f>
        <v>1656.5089715892002</v>
      </c>
      <c r="M543" s="377">
        <f>+Baseline_NaturalGas!N24</f>
        <v>1656.5089715892002</v>
      </c>
      <c r="N543" s="377">
        <f>+Baseline_NaturalGas!O24</f>
        <v>1656.5089715892002</v>
      </c>
      <c r="O543" s="377">
        <f>+Baseline_NaturalGas!P24</f>
        <v>1656.5089715892002</v>
      </c>
      <c r="P543" s="377">
        <f>+Baseline_NaturalGas!Q24</f>
        <v>1656.5089715892002</v>
      </c>
      <c r="Q543" s="377">
        <f>+Baseline_NaturalGas!R24</f>
        <v>1656.5089715892002</v>
      </c>
    </row>
    <row r="544" spans="1:17" ht="14.4">
      <c r="A544" s="366" t="s">
        <v>108</v>
      </c>
      <c r="B544" s="387">
        <f>+Baseline_NaturalGas!C25</f>
        <v>0.90200000000000002</v>
      </c>
      <c r="C544" s="373"/>
      <c r="D544" s="373"/>
      <c r="E544" s="373"/>
      <c r="F544" s="373"/>
      <c r="G544" s="373"/>
      <c r="H544" s="373"/>
      <c r="I544" s="373"/>
      <c r="J544" s="373"/>
      <c r="K544" s="373"/>
      <c r="L544" s="373"/>
      <c r="M544" s="373"/>
      <c r="N544" s="373"/>
      <c r="O544" s="373"/>
      <c r="P544" s="373"/>
      <c r="Q544" s="373"/>
    </row>
    <row r="545" spans="1:17" ht="14.4">
      <c r="A545" s="366" t="s">
        <v>346</v>
      </c>
      <c r="B545" s="373"/>
      <c r="C545" s="377">
        <f>+Baseline_NaturalGas!D26</f>
        <v>1741816.7092883086</v>
      </c>
      <c r="D545" s="377">
        <f>+Baseline_NaturalGas!E26</f>
        <v>1741816.7092883086</v>
      </c>
      <c r="E545" s="377">
        <f>+Baseline_NaturalGas!F26</f>
        <v>1741816.7092883086</v>
      </c>
      <c r="F545" s="377">
        <f>+Baseline_NaturalGas!G26</f>
        <v>1741816.7092883086</v>
      </c>
      <c r="G545" s="377">
        <f>+Baseline_NaturalGas!H26</f>
        <v>1741816.7092883086</v>
      </c>
      <c r="H545" s="377">
        <f>+Baseline_NaturalGas!I26</f>
        <v>1741816.7092883086</v>
      </c>
      <c r="I545" s="377">
        <f>+Baseline_NaturalGas!J26</f>
        <v>1741816.7092883086</v>
      </c>
      <c r="J545" s="377">
        <f>+Baseline_NaturalGas!K26</f>
        <v>1741816.7092883086</v>
      </c>
      <c r="K545" s="377">
        <f>+Baseline_NaturalGas!L26</f>
        <v>1741816.7092883086</v>
      </c>
      <c r="L545" s="377">
        <f>+Baseline_NaturalGas!M26</f>
        <v>1741816.7092883086</v>
      </c>
      <c r="M545" s="377">
        <f>+Baseline_NaturalGas!N26</f>
        <v>1741816.7092883086</v>
      </c>
      <c r="N545" s="377">
        <f>+Baseline_NaturalGas!O26</f>
        <v>1741816.7092883086</v>
      </c>
      <c r="O545" s="377">
        <f>+Baseline_NaturalGas!P26</f>
        <v>1741816.7092883086</v>
      </c>
      <c r="P545" s="377">
        <f>+Baseline_NaturalGas!Q26</f>
        <v>1741816.7092883086</v>
      </c>
      <c r="Q545" s="377">
        <f>+Baseline_NaturalGas!R26</f>
        <v>1741816.7092883086</v>
      </c>
    </row>
    <row r="546" spans="1:17" ht="14.4">
      <c r="A546" s="366" t="s">
        <v>66</v>
      </c>
      <c r="B546" s="373"/>
      <c r="C546" s="377">
        <f>+Baseline_NaturalGas!D27</f>
        <v>5.6086944825694198</v>
      </c>
      <c r="D546" s="377">
        <f>+Baseline_NaturalGas!E27</f>
        <v>5.5051083831058802</v>
      </c>
      <c r="E546" s="377">
        <f>+Baseline_NaturalGas!F27</f>
        <v>5.61862622286578</v>
      </c>
      <c r="F546" s="377">
        <f>+Baseline_NaturalGas!G27</f>
        <v>5.8406487933251103</v>
      </c>
      <c r="G546" s="377">
        <f>+Baseline_NaturalGas!H27</f>
        <v>5.8453745748678001</v>
      </c>
      <c r="H546" s="377">
        <f>+Baseline_NaturalGas!I27</f>
        <v>6.0672099673130804</v>
      </c>
      <c r="I546" s="377">
        <f>+Baseline_NaturalGas!J27</f>
        <v>6.39755565092754</v>
      </c>
      <c r="J546" s="377">
        <f>+Baseline_NaturalGas!K27</f>
        <v>6.39755565092754</v>
      </c>
      <c r="K546" s="377">
        <f>+Baseline_NaturalGas!L27</f>
        <v>6.39755565092754</v>
      </c>
      <c r="L546" s="377">
        <f>+Baseline_NaturalGas!M27</f>
        <v>6.39755565092754</v>
      </c>
      <c r="M546" s="377">
        <f>+Baseline_NaturalGas!N27</f>
        <v>6.39755565092754</v>
      </c>
      <c r="N546" s="377">
        <f>+Baseline_NaturalGas!O27</f>
        <v>6.39755565092754</v>
      </c>
      <c r="O546" s="377">
        <f>+Baseline_NaturalGas!P27</f>
        <v>6.39755565092754</v>
      </c>
      <c r="P546" s="377">
        <f>+Baseline_NaturalGas!Q27</f>
        <v>6.39755565092754</v>
      </c>
      <c r="Q546" s="377">
        <f>+Baseline_NaturalGas!R27</f>
        <v>6.39755565092754</v>
      </c>
    </row>
    <row r="547" spans="1:17" ht="14.4">
      <c r="A547" s="370"/>
      <c r="B547" s="379"/>
      <c r="C547" s="379"/>
      <c r="D547" s="379"/>
      <c r="E547" s="379"/>
      <c r="F547" s="379"/>
      <c r="G547" s="379"/>
      <c r="H547" s="379"/>
      <c r="I547" s="379"/>
      <c r="J547" s="379"/>
      <c r="K547" s="379"/>
      <c r="L547" s="379"/>
      <c r="M547" s="379"/>
      <c r="N547" s="379"/>
      <c r="O547" s="379"/>
      <c r="P547" s="379"/>
      <c r="Q547" s="379"/>
    </row>
    <row r="548" spans="1:17" ht="14.4">
      <c r="A548" s="366" t="s">
        <v>102</v>
      </c>
      <c r="B548" s="378">
        <f t="shared" ref="B548" si="137">+SUM(C548:Q548)</f>
        <v>160358.02702356796</v>
      </c>
      <c r="C548" s="375">
        <f>+C545*C546/1000</f>
        <v>9769.3177670325604</v>
      </c>
      <c r="D548" s="375">
        <f>+D545*D546/1000</f>
        <v>9588.8897681369654</v>
      </c>
      <c r="E548" s="375">
        <f t="shared" ref="E548:Q548" si="138">+E545*E546/1000</f>
        <v>9786.6170382330711</v>
      </c>
      <c r="F548" s="375">
        <f t="shared" si="138"/>
        <v>10173.339661298274</v>
      </c>
      <c r="G548" s="375">
        <f t="shared" si="138"/>
        <v>10181.571106553778</v>
      </c>
      <c r="H548" s="375">
        <f t="shared" si="138"/>
        <v>10567.967699826495</v>
      </c>
      <c r="I548" s="375">
        <f t="shared" si="138"/>
        <v>11143.36933138743</v>
      </c>
      <c r="J548" s="375">
        <f t="shared" si="138"/>
        <v>11143.36933138743</v>
      </c>
      <c r="K548" s="375">
        <f t="shared" si="138"/>
        <v>11143.36933138743</v>
      </c>
      <c r="L548" s="375">
        <f t="shared" si="138"/>
        <v>11143.36933138743</v>
      </c>
      <c r="M548" s="375">
        <f t="shared" si="138"/>
        <v>11143.36933138743</v>
      </c>
      <c r="N548" s="375">
        <f t="shared" si="138"/>
        <v>11143.36933138743</v>
      </c>
      <c r="O548" s="375">
        <f t="shared" si="138"/>
        <v>11143.36933138743</v>
      </c>
      <c r="P548" s="375">
        <f t="shared" si="138"/>
        <v>11143.36933138743</v>
      </c>
      <c r="Q548" s="375">
        <f t="shared" si="138"/>
        <v>11143.36933138743</v>
      </c>
    </row>
    <row r="549" spans="1:17" ht="14.4">
      <c r="A549" s="370"/>
      <c r="B549" s="373"/>
      <c r="C549" s="373"/>
      <c r="D549" s="373"/>
      <c r="E549" s="373"/>
      <c r="F549" s="373"/>
      <c r="G549" s="373"/>
      <c r="H549" s="373"/>
      <c r="I549" s="373"/>
      <c r="J549" s="373"/>
      <c r="K549" s="373"/>
      <c r="L549" s="373"/>
      <c r="M549" s="373"/>
      <c r="N549" s="373"/>
      <c r="O549" s="373"/>
      <c r="P549" s="373"/>
      <c r="Q549" s="373"/>
    </row>
    <row r="550" spans="1:17" ht="14.4">
      <c r="A550" s="370"/>
      <c r="B550" s="379"/>
      <c r="C550" s="379"/>
      <c r="D550" s="379"/>
      <c r="E550" s="379"/>
      <c r="F550" s="379"/>
      <c r="G550" s="379"/>
      <c r="H550" s="379"/>
      <c r="I550" s="379"/>
      <c r="J550" s="379"/>
      <c r="K550" s="379"/>
      <c r="L550" s="379"/>
      <c r="M550" s="379"/>
      <c r="N550" s="379"/>
      <c r="O550" s="379"/>
      <c r="P550" s="379"/>
      <c r="Q550" s="379"/>
    </row>
    <row r="551" spans="1:17" ht="14.4">
      <c r="A551" s="366" t="s">
        <v>101</v>
      </c>
      <c r="B551" s="373"/>
      <c r="C551" s="375">
        <f>+C548+C539</f>
        <v>10727.338794532559</v>
      </c>
      <c r="D551" s="375">
        <f t="shared" ref="D551:Q551" si="139">+D548+D539</f>
        <v>10572.585759173966</v>
      </c>
      <c r="E551" s="375">
        <f t="shared" si="139"/>
        <v>10796.676081829863</v>
      </c>
      <c r="F551" s="375">
        <f t="shared" si="139"/>
        <v>11210.46828726346</v>
      </c>
      <c r="G551" s="375">
        <f t="shared" si="139"/>
        <v>11246.494779694831</v>
      </c>
      <c r="H551" s="375">
        <f t="shared" si="139"/>
        <v>11661.431327407727</v>
      </c>
      <c r="I551" s="375">
        <f t="shared" si="139"/>
        <v>12266.13778418784</v>
      </c>
      <c r="J551" s="375">
        <f t="shared" si="139"/>
        <v>12296.227978722891</v>
      </c>
      <c r="K551" s="375">
        <f t="shared" si="139"/>
        <v>12327.124590471481</v>
      </c>
      <c r="L551" s="375">
        <f t="shared" si="139"/>
        <v>12358.849231414933</v>
      </c>
      <c r="M551" s="375">
        <f t="shared" si="139"/>
        <v>12391.42409273567</v>
      </c>
      <c r="N551" s="375">
        <f t="shared" si="139"/>
        <v>12424.871960339802</v>
      </c>
      <c r="O551" s="375">
        <f t="shared" si="139"/>
        <v>12459.216230795726</v>
      </c>
      <c r="P551" s="375">
        <f t="shared" si="139"/>
        <v>12494.480927699869</v>
      </c>
      <c r="Q551" s="375">
        <f t="shared" si="139"/>
        <v>12530.690718481042</v>
      </c>
    </row>
    <row r="552" spans="1:17" ht="14.4">
      <c r="A552" s="370"/>
      <c r="B552" s="379"/>
      <c r="C552" s="379"/>
      <c r="D552" s="379"/>
      <c r="E552" s="379"/>
      <c r="F552" s="379"/>
      <c r="G552" s="379"/>
      <c r="H552" s="379"/>
      <c r="I552" s="379"/>
      <c r="J552" s="379"/>
      <c r="K552" s="379"/>
      <c r="L552" s="379"/>
      <c r="M552" s="379"/>
      <c r="N552" s="379"/>
      <c r="O552" s="379"/>
      <c r="P552" s="379"/>
      <c r="Q552" s="379"/>
    </row>
    <row r="553" spans="1:17" ht="14.4">
      <c r="A553" s="366" t="s">
        <v>73</v>
      </c>
      <c r="B553" s="378">
        <f>+SUM(C553:Q553)</f>
        <v>11487.524395535713</v>
      </c>
      <c r="C553" s="367">
        <f>+Baseline_NaturalGas!$D$5/'Initial Data'!$C$19</f>
        <v>1148.7524395535715</v>
      </c>
      <c r="D553" s="367">
        <f>+Baseline_NaturalGas!$D$5/'Initial Data'!$C$19</f>
        <v>1148.7524395535715</v>
      </c>
      <c r="E553" s="367">
        <f>+Baseline_NaturalGas!$D$5/'Initial Data'!$C$19</f>
        <v>1148.7524395535715</v>
      </c>
      <c r="F553" s="367">
        <f>+Baseline_NaturalGas!$D$5/'Initial Data'!$C$19</f>
        <v>1148.7524395535715</v>
      </c>
      <c r="G553" s="367">
        <f>+Baseline_NaturalGas!$D$5/'Initial Data'!$C$19</f>
        <v>1148.7524395535715</v>
      </c>
      <c r="H553" s="367">
        <f>+Baseline_NaturalGas!$D$5/'Initial Data'!$C$19</f>
        <v>1148.7524395535715</v>
      </c>
      <c r="I553" s="367">
        <f>+Baseline_NaturalGas!$D$5/'Initial Data'!$C$19</f>
        <v>1148.7524395535715</v>
      </c>
      <c r="J553" s="367">
        <f>+Baseline_NaturalGas!$D$5/'Initial Data'!$C$19</f>
        <v>1148.7524395535715</v>
      </c>
      <c r="K553" s="367">
        <f>+Baseline_NaturalGas!$D$5/'Initial Data'!$C$19</f>
        <v>1148.7524395535715</v>
      </c>
      <c r="L553" s="367">
        <f>+Baseline_NaturalGas!$D$5/'Initial Data'!$C$19</f>
        <v>1148.7524395535715</v>
      </c>
      <c r="M553" s="367">
        <v>0</v>
      </c>
      <c r="N553" s="367">
        <v>0</v>
      </c>
      <c r="O553" s="367">
        <v>0</v>
      </c>
      <c r="P553" s="367">
        <v>0</v>
      </c>
      <c r="Q553" s="367">
        <v>0</v>
      </c>
    </row>
    <row r="554" spans="1:17" ht="14.4">
      <c r="A554" s="366" t="s">
        <v>74</v>
      </c>
      <c r="B554" s="378">
        <f>+SUM(C554:Q554)</f>
        <v>11487.524395535713</v>
      </c>
      <c r="C554" s="367">
        <f>SUM(C553:C553)</f>
        <v>1148.7524395535715</v>
      </c>
      <c r="D554" s="367">
        <f t="shared" ref="D554:Q554" si="140">SUM(D553:D553)</f>
        <v>1148.7524395535715</v>
      </c>
      <c r="E554" s="367">
        <f t="shared" si="140"/>
        <v>1148.7524395535715</v>
      </c>
      <c r="F554" s="367">
        <f t="shared" si="140"/>
        <v>1148.7524395535715</v>
      </c>
      <c r="G554" s="367">
        <f t="shared" si="140"/>
        <v>1148.7524395535715</v>
      </c>
      <c r="H554" s="367">
        <f t="shared" si="140"/>
        <v>1148.7524395535715</v>
      </c>
      <c r="I554" s="367">
        <f t="shared" si="140"/>
        <v>1148.7524395535715</v>
      </c>
      <c r="J554" s="367">
        <f t="shared" si="140"/>
        <v>1148.7524395535715</v>
      </c>
      <c r="K554" s="367">
        <f t="shared" si="140"/>
        <v>1148.7524395535715</v>
      </c>
      <c r="L554" s="367">
        <f t="shared" si="140"/>
        <v>1148.7524395535715</v>
      </c>
      <c r="M554" s="367">
        <f t="shared" si="140"/>
        <v>0</v>
      </c>
      <c r="N554" s="367">
        <f t="shared" si="140"/>
        <v>0</v>
      </c>
      <c r="O554" s="367">
        <f t="shared" si="140"/>
        <v>0</v>
      </c>
      <c r="P554" s="367">
        <f t="shared" si="140"/>
        <v>0</v>
      </c>
      <c r="Q554" s="367">
        <f t="shared" si="140"/>
        <v>0</v>
      </c>
    </row>
    <row r="555" spans="1:17" ht="14.4">
      <c r="A555" s="90"/>
      <c r="B555" s="388"/>
      <c r="C555" s="373"/>
      <c r="D555" s="373"/>
      <c r="E555" s="373"/>
      <c r="F555" s="373"/>
      <c r="G555" s="373"/>
      <c r="H555" s="373"/>
      <c r="I555" s="373"/>
      <c r="J555" s="373"/>
      <c r="K555" s="373"/>
      <c r="L555" s="373"/>
      <c r="M555" s="373"/>
      <c r="N555" s="373"/>
      <c r="O555" s="373"/>
      <c r="P555" s="373"/>
      <c r="Q555" s="373"/>
    </row>
    <row r="556" spans="1:17" ht="14.4">
      <c r="A556" s="366" t="s">
        <v>75</v>
      </c>
      <c r="B556" s="378">
        <f>+SUM(C556:Q556)</f>
        <v>189251.54294028736</v>
      </c>
      <c r="C556" s="367">
        <f>+C551+C554</f>
        <v>11876.09123408613</v>
      </c>
      <c r="D556" s="367">
        <f t="shared" ref="D556:Q556" si="141">+D551+D554</f>
        <v>11721.338198727537</v>
      </c>
      <c r="E556" s="367">
        <f t="shared" si="141"/>
        <v>11945.428521383434</v>
      </c>
      <c r="F556" s="367">
        <f t="shared" si="141"/>
        <v>12359.220726817031</v>
      </c>
      <c r="G556" s="367">
        <f t="shared" si="141"/>
        <v>12395.247219248402</v>
      </c>
      <c r="H556" s="367">
        <f t="shared" si="141"/>
        <v>12810.183766961298</v>
      </c>
      <c r="I556" s="367">
        <f t="shared" si="141"/>
        <v>13414.890223741411</v>
      </c>
      <c r="J556" s="367">
        <f t="shared" si="141"/>
        <v>13444.980418276462</v>
      </c>
      <c r="K556" s="367">
        <f t="shared" si="141"/>
        <v>13475.877030025053</v>
      </c>
      <c r="L556" s="367">
        <f t="shared" si="141"/>
        <v>13507.601670968505</v>
      </c>
      <c r="M556" s="367">
        <f t="shared" si="141"/>
        <v>12391.42409273567</v>
      </c>
      <c r="N556" s="367">
        <f t="shared" si="141"/>
        <v>12424.871960339802</v>
      </c>
      <c r="O556" s="367">
        <f t="shared" si="141"/>
        <v>12459.216230795726</v>
      </c>
      <c r="P556" s="367">
        <f t="shared" si="141"/>
        <v>12494.480927699869</v>
      </c>
      <c r="Q556" s="367">
        <f t="shared" si="141"/>
        <v>12530.690718481042</v>
      </c>
    </row>
    <row r="557" spans="1:17">
      <c r="A557" s="74"/>
    </row>
    <row r="558" spans="1:17" ht="14.4">
      <c r="A558" s="366" t="s">
        <v>76</v>
      </c>
      <c r="B558" s="378">
        <f>+SUM(C558:Q558)</f>
        <v>1780325.8010746518</v>
      </c>
      <c r="C558" s="367">
        <f>+C536-C556</f>
        <v>96528.90876591389</v>
      </c>
      <c r="D558" s="367">
        <f t="shared" ref="D558:Q558" si="142">+D536-D556</f>
        <v>99588.915801272466</v>
      </c>
      <c r="E558" s="367">
        <f t="shared" si="142"/>
        <v>102347.94028581654</v>
      </c>
      <c r="F558" s="367">
        <f t="shared" si="142"/>
        <v>104997.21036441592</v>
      </c>
      <c r="G558" s="367">
        <f t="shared" si="142"/>
        <v>108106.33622522959</v>
      </c>
      <c r="H558" s="367">
        <f t="shared" si="142"/>
        <v>110920.84211382869</v>
      </c>
      <c r="I558" s="367">
        <f t="shared" si="142"/>
        <v>113632.12715065375</v>
      </c>
      <c r="J558" s="367">
        <f t="shared" si="142"/>
        <v>117006.89702175246</v>
      </c>
      <c r="K558" s="367">
        <f t="shared" si="142"/>
        <v>120472.11072539665</v>
      </c>
      <c r="L558" s="367">
        <f t="shared" si="142"/>
        <v>124030.19215629848</v>
      </c>
      <c r="M558" s="367">
        <f t="shared" si="142"/>
        <v>128832.38260910205</v>
      </c>
      <c r="N558" s="367">
        <f t="shared" si="142"/>
        <v>132583.73276110718</v>
      </c>
      <c r="O558" s="367">
        <f t="shared" si="142"/>
        <v>136435.61909718602</v>
      </c>
      <c r="P558" s="367">
        <f t="shared" si="142"/>
        <v>140390.73598707176</v>
      </c>
      <c r="Q558" s="367">
        <f t="shared" si="142"/>
        <v>144451.85000960642</v>
      </c>
    </row>
    <row r="559" spans="1:17" ht="14.4">
      <c r="A559" s="369"/>
      <c r="B559" s="373"/>
      <c r="C559" s="373"/>
      <c r="D559" s="373"/>
      <c r="E559" s="373"/>
      <c r="F559" s="373"/>
      <c r="G559" s="373"/>
      <c r="H559" s="373"/>
      <c r="I559" s="373"/>
      <c r="J559" s="373"/>
      <c r="K559" s="373"/>
      <c r="L559" s="373"/>
      <c r="M559" s="373"/>
      <c r="N559" s="373"/>
      <c r="O559" s="373"/>
      <c r="P559" s="373"/>
      <c r="Q559" s="373"/>
    </row>
    <row r="560" spans="1:17" ht="14.4">
      <c r="A560" s="366" t="s">
        <v>222</v>
      </c>
      <c r="B560" s="380">
        <f>+Baseline_NaturalGas!C43</f>
        <v>0.7</v>
      </c>
      <c r="C560" s="367">
        <f>IF((+$B$560*C558)&lt;0,"0",(+$B$560*C558))</f>
        <v>67570.23613613972</v>
      </c>
      <c r="D560" s="367">
        <f t="shared" ref="D560:Q560" si="143">IF((+$B$560*D558)&lt;0,"0",(+$B$560*D558))</f>
        <v>69712.241060890723</v>
      </c>
      <c r="E560" s="367">
        <f t="shared" si="143"/>
        <v>71643.55820007158</v>
      </c>
      <c r="F560" s="367">
        <f t="shared" si="143"/>
        <v>73498.047255091136</v>
      </c>
      <c r="G560" s="367">
        <f t="shared" si="143"/>
        <v>75674.43535766071</v>
      </c>
      <c r="H560" s="367">
        <f t="shared" si="143"/>
        <v>77644.589479680086</v>
      </c>
      <c r="I560" s="367">
        <f t="shared" si="143"/>
        <v>79542.48900545761</v>
      </c>
      <c r="J560" s="367">
        <f t="shared" si="143"/>
        <v>81904.827915226721</v>
      </c>
      <c r="K560" s="367">
        <f t="shared" si="143"/>
        <v>84330.477507777643</v>
      </c>
      <c r="L560" s="367">
        <f t="shared" si="143"/>
        <v>86821.134509408934</v>
      </c>
      <c r="M560" s="367">
        <f t="shared" si="143"/>
        <v>90182.667826371428</v>
      </c>
      <c r="N560" s="367">
        <f t="shared" si="143"/>
        <v>92808.612932775024</v>
      </c>
      <c r="O560" s="367">
        <f t="shared" si="143"/>
        <v>95504.933368030208</v>
      </c>
      <c r="P560" s="367">
        <f t="shared" si="143"/>
        <v>98273.515190950231</v>
      </c>
      <c r="Q560" s="367">
        <f t="shared" si="143"/>
        <v>101116.2950067245</v>
      </c>
    </row>
    <row r="561" spans="1:17" ht="14.4">
      <c r="A561" s="366" t="s">
        <v>77</v>
      </c>
      <c r="B561" s="378">
        <f>+SUM(C561:Q561)</f>
        <v>1246228.0607522563</v>
      </c>
      <c r="C561" s="367">
        <f>SUM(C560:C560)</f>
        <v>67570.23613613972</v>
      </c>
      <c r="D561" s="367">
        <f t="shared" ref="D561:Q561" si="144">SUM(D560:D560)</f>
        <v>69712.241060890723</v>
      </c>
      <c r="E561" s="367">
        <f t="shared" si="144"/>
        <v>71643.55820007158</v>
      </c>
      <c r="F561" s="367">
        <f t="shared" si="144"/>
        <v>73498.047255091136</v>
      </c>
      <c r="G561" s="367">
        <f t="shared" si="144"/>
        <v>75674.43535766071</v>
      </c>
      <c r="H561" s="367">
        <f t="shared" si="144"/>
        <v>77644.589479680086</v>
      </c>
      <c r="I561" s="367">
        <f t="shared" si="144"/>
        <v>79542.48900545761</v>
      </c>
      <c r="J561" s="367">
        <f t="shared" si="144"/>
        <v>81904.827915226721</v>
      </c>
      <c r="K561" s="367">
        <f t="shared" si="144"/>
        <v>84330.477507777643</v>
      </c>
      <c r="L561" s="367">
        <f t="shared" si="144"/>
        <v>86821.134509408934</v>
      </c>
      <c r="M561" s="367">
        <f t="shared" si="144"/>
        <v>90182.667826371428</v>
      </c>
      <c r="N561" s="367">
        <f t="shared" si="144"/>
        <v>92808.612932775024</v>
      </c>
      <c r="O561" s="367">
        <f t="shared" si="144"/>
        <v>95504.933368030208</v>
      </c>
      <c r="P561" s="367">
        <f t="shared" si="144"/>
        <v>98273.515190950231</v>
      </c>
      <c r="Q561" s="367">
        <f t="shared" si="144"/>
        <v>101116.2950067245</v>
      </c>
    </row>
    <row r="562" spans="1:17" ht="14.4">
      <c r="A562" s="369"/>
      <c r="B562" s="373"/>
      <c r="C562" s="373"/>
      <c r="D562" s="373"/>
      <c r="E562" s="373"/>
      <c r="F562" s="373"/>
      <c r="G562" s="373"/>
      <c r="H562" s="373"/>
      <c r="I562" s="373"/>
      <c r="J562" s="373"/>
      <c r="K562" s="373"/>
      <c r="L562" s="373"/>
      <c r="M562" s="373"/>
      <c r="N562" s="373"/>
      <c r="O562" s="373"/>
      <c r="P562" s="373"/>
      <c r="Q562" s="373"/>
    </row>
    <row r="563" spans="1:17" ht="14.4">
      <c r="A563" s="366" t="s">
        <v>78</v>
      </c>
      <c r="B563" s="378">
        <f>+SUM(C563:Q563)</f>
        <v>534097.74032239558</v>
      </c>
      <c r="C563" s="367">
        <f>+C558-C561</f>
        <v>28958.67262977417</v>
      </c>
      <c r="D563" s="367">
        <f t="shared" ref="D563:Q563" si="145">+D558-D561</f>
        <v>29876.674740381743</v>
      </c>
      <c r="E563" s="367">
        <f t="shared" si="145"/>
        <v>30704.382085744961</v>
      </c>
      <c r="F563" s="367">
        <f t="shared" si="145"/>
        <v>31499.163109324785</v>
      </c>
      <c r="G563" s="367">
        <f t="shared" si="145"/>
        <v>32431.900867568882</v>
      </c>
      <c r="H563" s="367">
        <f t="shared" si="145"/>
        <v>33276.252634148608</v>
      </c>
      <c r="I563" s="367">
        <f t="shared" si="145"/>
        <v>34089.638145196135</v>
      </c>
      <c r="J563" s="367">
        <f t="shared" si="145"/>
        <v>35102.069106525742</v>
      </c>
      <c r="K563" s="367">
        <f t="shared" si="145"/>
        <v>36141.633217619004</v>
      </c>
      <c r="L563" s="367">
        <f t="shared" si="145"/>
        <v>37209.057646889545</v>
      </c>
      <c r="M563" s="367">
        <f t="shared" si="145"/>
        <v>38649.714782730618</v>
      </c>
      <c r="N563" s="367">
        <f t="shared" si="145"/>
        <v>39775.119828332157</v>
      </c>
      <c r="O563" s="367">
        <f t="shared" si="145"/>
        <v>40930.685729155812</v>
      </c>
      <c r="P563" s="367">
        <f t="shared" si="145"/>
        <v>42117.220796121532</v>
      </c>
      <c r="Q563" s="367">
        <f t="shared" si="145"/>
        <v>43335.555002881927</v>
      </c>
    </row>
    <row r="564" spans="1:17" ht="14.4">
      <c r="A564" s="395" t="s">
        <v>331</v>
      </c>
      <c r="B564" s="378">
        <f>+SUM(C564:Q564)</f>
        <v>11487.524395535713</v>
      </c>
      <c r="C564" s="377">
        <f>+C553</f>
        <v>1148.7524395535715</v>
      </c>
      <c r="D564" s="377">
        <f t="shared" ref="D564:Q564" si="146">+D553</f>
        <v>1148.7524395535715</v>
      </c>
      <c r="E564" s="377">
        <f t="shared" si="146"/>
        <v>1148.7524395535715</v>
      </c>
      <c r="F564" s="377">
        <f t="shared" si="146"/>
        <v>1148.7524395535715</v>
      </c>
      <c r="G564" s="377">
        <f t="shared" si="146"/>
        <v>1148.7524395535715</v>
      </c>
      <c r="H564" s="377">
        <f t="shared" si="146"/>
        <v>1148.7524395535715</v>
      </c>
      <c r="I564" s="377">
        <f t="shared" si="146"/>
        <v>1148.7524395535715</v>
      </c>
      <c r="J564" s="377">
        <f t="shared" si="146"/>
        <v>1148.7524395535715</v>
      </c>
      <c r="K564" s="377">
        <f t="shared" si="146"/>
        <v>1148.7524395535715</v>
      </c>
      <c r="L564" s="377">
        <f t="shared" si="146"/>
        <v>1148.7524395535715</v>
      </c>
      <c r="M564" s="377">
        <f t="shared" si="146"/>
        <v>0</v>
      </c>
      <c r="N564" s="377">
        <f t="shared" si="146"/>
        <v>0</v>
      </c>
      <c r="O564" s="377">
        <f t="shared" si="146"/>
        <v>0</v>
      </c>
      <c r="P564" s="377">
        <f t="shared" si="146"/>
        <v>0</v>
      </c>
      <c r="Q564" s="377">
        <f t="shared" si="146"/>
        <v>0</v>
      </c>
    </row>
    <row r="565" spans="1:17" ht="14.4">
      <c r="A565" s="395" t="s">
        <v>332</v>
      </c>
      <c r="B565" s="378">
        <f>+Baseline_NaturalGas!C543</f>
        <v>0</v>
      </c>
      <c r="C565" s="367">
        <f>+Baseline_NaturalGas!D543</f>
        <v>0</v>
      </c>
      <c r="D565" s="367">
        <f>+Baseline_NaturalGas!E543</f>
        <v>0</v>
      </c>
      <c r="E565" s="367">
        <f>+Baseline_NaturalGas!F543</f>
        <v>0</v>
      </c>
      <c r="F565" s="367">
        <f>+Baseline_NaturalGas!G543</f>
        <v>0</v>
      </c>
      <c r="G565" s="367">
        <f>+Baseline_NaturalGas!H543</f>
        <v>0</v>
      </c>
      <c r="H565" s="367">
        <f>+Baseline_NaturalGas!I543</f>
        <v>0</v>
      </c>
      <c r="I565" s="367">
        <f>+Baseline_NaturalGas!J543</f>
        <v>0</v>
      </c>
      <c r="J565" s="367">
        <f>+Baseline_NaturalGas!K543</f>
        <v>0</v>
      </c>
      <c r="K565" s="367">
        <f>+Baseline_NaturalGas!L543</f>
        <v>0</v>
      </c>
      <c r="L565" s="367">
        <f>+Baseline_NaturalGas!M543</f>
        <v>0</v>
      </c>
      <c r="M565" s="367">
        <f>+Baseline_NaturalGas!N543</f>
        <v>0</v>
      </c>
      <c r="N565" s="367">
        <f>+Baseline_NaturalGas!O543</f>
        <v>0</v>
      </c>
      <c r="O565" s="367">
        <f>+Baseline_NaturalGas!P543</f>
        <v>0</v>
      </c>
      <c r="P565" s="367">
        <f>+Baseline_NaturalGas!Q543</f>
        <v>0</v>
      </c>
      <c r="Q565" s="367">
        <f>+Baseline_NaturalGas!R543</f>
        <v>0</v>
      </c>
    </row>
    <row r="566" spans="1:17" ht="14.4">
      <c r="A566" s="510"/>
      <c r="B566" s="511"/>
      <c r="C566" s="511"/>
      <c r="D566" s="511"/>
      <c r="E566" s="511"/>
      <c r="F566" s="511"/>
      <c r="G566" s="511"/>
      <c r="H566" s="511"/>
      <c r="I566" s="511"/>
      <c r="J566" s="511"/>
      <c r="K566" s="511"/>
      <c r="L566" s="511"/>
      <c r="M566" s="511"/>
      <c r="N566" s="511"/>
      <c r="O566" s="511"/>
      <c r="P566" s="511"/>
      <c r="Q566" s="511"/>
    </row>
    <row r="567" spans="1:17" ht="14.4">
      <c r="A567" s="366" t="s">
        <v>110</v>
      </c>
      <c r="B567" s="378">
        <f>-Baseline_NaturalGas!$D$5</f>
        <v>-11487.524395535715</v>
      </c>
      <c r="C567" s="367">
        <f>+C563+C564+C565</f>
        <v>30107.425069327743</v>
      </c>
      <c r="D567" s="367">
        <f t="shared" ref="D567:Q567" si="147">+D563+D564+D565</f>
        <v>31025.427179935316</v>
      </c>
      <c r="E567" s="367">
        <f t="shared" si="147"/>
        <v>31853.134525298534</v>
      </c>
      <c r="F567" s="367">
        <f t="shared" si="147"/>
        <v>32647.915548878358</v>
      </c>
      <c r="G567" s="367">
        <f t="shared" si="147"/>
        <v>33580.653307122455</v>
      </c>
      <c r="H567" s="367">
        <f t="shared" si="147"/>
        <v>34425.005073702181</v>
      </c>
      <c r="I567" s="367">
        <f t="shared" si="147"/>
        <v>35238.390584749708</v>
      </c>
      <c r="J567" s="367">
        <f t="shared" si="147"/>
        <v>36250.821546079314</v>
      </c>
      <c r="K567" s="367">
        <f t="shared" si="147"/>
        <v>37290.385657172577</v>
      </c>
      <c r="L567" s="367">
        <f t="shared" si="147"/>
        <v>38357.810086443118</v>
      </c>
      <c r="M567" s="367">
        <f t="shared" si="147"/>
        <v>38649.714782730618</v>
      </c>
      <c r="N567" s="367">
        <f t="shared" si="147"/>
        <v>39775.119828332157</v>
      </c>
      <c r="O567" s="367">
        <f t="shared" si="147"/>
        <v>40930.685729155812</v>
      </c>
      <c r="P567" s="367">
        <f t="shared" si="147"/>
        <v>42117.220796121532</v>
      </c>
      <c r="Q567" s="367">
        <f t="shared" si="147"/>
        <v>43335.555002881927</v>
      </c>
    </row>
    <row r="568" spans="1:17" ht="15.6">
      <c r="A568" s="366" t="s">
        <v>51</v>
      </c>
      <c r="B568" s="132">
        <f>IRR(B567:Q567)</f>
        <v>2.6502178227737523</v>
      </c>
      <c r="C568" s="390"/>
      <c r="D568" s="390"/>
      <c r="E568" s="390"/>
      <c r="F568" s="390"/>
      <c r="G568" s="390"/>
      <c r="H568" s="390"/>
      <c r="I568" s="390"/>
      <c r="J568" s="390"/>
      <c r="K568" s="390"/>
      <c r="L568" s="390"/>
      <c r="M568" s="390"/>
      <c r="N568" s="390"/>
      <c r="O568" s="390"/>
      <c r="P568" s="390"/>
      <c r="Q568" s="390"/>
    </row>
    <row r="569" spans="1:17" ht="15.6">
      <c r="A569" s="366" t="s">
        <v>267</v>
      </c>
      <c r="B569" s="303">
        <f>NPV('Initial Data'!$C$21/100,B567:Q567)</f>
        <v>199694.46829491749</v>
      </c>
      <c r="C569" s="373"/>
      <c r="D569" s="373"/>
      <c r="E569" s="373"/>
      <c r="F569" s="373"/>
      <c r="G569" s="373"/>
      <c r="H569" s="373"/>
      <c r="I569" s="373"/>
      <c r="J569" s="373"/>
      <c r="K569" s="373"/>
      <c r="L569" s="373"/>
      <c r="M569" s="373"/>
      <c r="N569" s="373"/>
      <c r="O569" s="373"/>
      <c r="P569" s="373"/>
      <c r="Q569" s="373"/>
    </row>
    <row r="570" spans="1:17" ht="15.6">
      <c r="A570" s="398"/>
      <c r="B570" s="394"/>
      <c r="C570" s="397"/>
      <c r="D570" s="397"/>
      <c r="E570" s="397"/>
      <c r="F570" s="397"/>
      <c r="G570" s="397"/>
      <c r="H570" s="397"/>
      <c r="I570" s="397"/>
      <c r="J570" s="397"/>
      <c r="K570" s="397"/>
      <c r="L570" s="397"/>
      <c r="M570" s="397"/>
      <c r="N570" s="397"/>
      <c r="O570" s="397"/>
      <c r="P570" s="397"/>
      <c r="Q570" s="397"/>
    </row>
    <row r="571" spans="1:17" ht="14.4">
      <c r="A571" s="508" t="s">
        <v>337</v>
      </c>
      <c r="B571" s="509"/>
      <c r="C571" s="509"/>
      <c r="D571" s="509"/>
      <c r="E571" s="509"/>
      <c r="F571" s="509"/>
      <c r="G571" s="509"/>
      <c r="H571" s="509"/>
      <c r="I571" s="509"/>
      <c r="J571" s="509"/>
      <c r="K571" s="509"/>
      <c r="L571" s="509"/>
      <c r="M571" s="509"/>
      <c r="N571" s="509"/>
      <c r="O571" s="509"/>
      <c r="P571" s="509"/>
      <c r="Q571" s="509"/>
    </row>
    <row r="572" spans="1:17" ht="14.4">
      <c r="A572" s="371" t="s">
        <v>338</v>
      </c>
      <c r="B572" s="372"/>
      <c r="C572" s="372"/>
      <c r="D572" s="372"/>
      <c r="E572" s="372"/>
      <c r="F572" s="372"/>
      <c r="G572" s="372"/>
      <c r="H572" s="372"/>
      <c r="I572" s="372"/>
      <c r="J572" s="372"/>
      <c r="K572" s="372"/>
      <c r="L572" s="372"/>
      <c r="M572" s="372"/>
      <c r="N572" s="372"/>
      <c r="O572" s="372"/>
      <c r="P572" s="372"/>
      <c r="Q572" s="372"/>
    </row>
    <row r="573" spans="1:17" ht="27">
      <c r="A573" s="376"/>
      <c r="B573" s="304" t="s">
        <v>35</v>
      </c>
      <c r="C573" s="352" t="s">
        <v>407</v>
      </c>
      <c r="D573" s="352" t="s">
        <v>408</v>
      </c>
      <c r="E573" s="352" t="s">
        <v>409</v>
      </c>
      <c r="F573" s="352" t="s">
        <v>410</v>
      </c>
      <c r="G573" s="352" t="s">
        <v>411</v>
      </c>
      <c r="H573" s="352" t="s">
        <v>412</v>
      </c>
      <c r="I573" s="352" t="s">
        <v>413</v>
      </c>
      <c r="J573" s="352" t="s">
        <v>414</v>
      </c>
      <c r="K573" s="352" t="s">
        <v>415</v>
      </c>
      <c r="L573" s="352" t="s">
        <v>416</v>
      </c>
      <c r="M573" s="352" t="s">
        <v>417</v>
      </c>
      <c r="N573" s="352" t="s">
        <v>418</v>
      </c>
      <c r="O573" s="352" t="s">
        <v>419</v>
      </c>
      <c r="P573" s="352" t="s">
        <v>420</v>
      </c>
      <c r="Q573" s="352" t="s">
        <v>421</v>
      </c>
    </row>
    <row r="574" spans="1:17" ht="14.4">
      <c r="A574" s="363" t="s">
        <v>290</v>
      </c>
      <c r="B574" s="365"/>
      <c r="C574" s="367">
        <f>+Baseline_NaturalGas!D10</f>
        <v>219000</v>
      </c>
      <c r="D574" s="367">
        <f>+Baseline_NaturalGas!E10</f>
        <v>219000</v>
      </c>
      <c r="E574" s="367">
        <f>+Baseline_NaturalGas!F10</f>
        <v>219000</v>
      </c>
      <c r="F574" s="367">
        <f>+Baseline_NaturalGas!G10</f>
        <v>219000</v>
      </c>
      <c r="G574" s="367">
        <f>+Baseline_NaturalGas!H10</f>
        <v>219000</v>
      </c>
      <c r="H574" s="367">
        <f>+Baseline_NaturalGas!I10</f>
        <v>219000</v>
      </c>
      <c r="I574" s="367">
        <f>+Baseline_NaturalGas!J10</f>
        <v>219000</v>
      </c>
      <c r="J574" s="367">
        <f>+Baseline_NaturalGas!K10</f>
        <v>219000</v>
      </c>
      <c r="K574" s="367">
        <f>+Baseline_NaturalGas!L10</f>
        <v>219000</v>
      </c>
      <c r="L574" s="367">
        <f>+Baseline_NaturalGas!M10</f>
        <v>219000</v>
      </c>
      <c r="M574" s="367">
        <f>+Baseline_NaturalGas!N10</f>
        <v>219000</v>
      </c>
      <c r="N574" s="367">
        <f>+Baseline_NaturalGas!O10</f>
        <v>219000</v>
      </c>
      <c r="O574" s="367">
        <f>+Baseline_NaturalGas!P10</f>
        <v>219000</v>
      </c>
      <c r="P574" s="367">
        <f>+Baseline_NaturalGas!Q10</f>
        <v>219000</v>
      </c>
      <c r="Q574" s="367">
        <f>+Baseline_NaturalGas!R10</f>
        <v>219000</v>
      </c>
    </row>
    <row r="575" spans="1:17" ht="14.4">
      <c r="A575" s="364" t="s">
        <v>291</v>
      </c>
      <c r="B575" s="365"/>
      <c r="C575" s="381">
        <f>'Initial Data'!$C$50*(1+'BL Sensitivity Analysis'!$B$7)-'Initial Data'!$C$51</f>
        <v>58</v>
      </c>
      <c r="D575" s="381">
        <f>'Initial Data'!$C$50*(1+'BL Sensitivity Analysis'!$B$7)-'Initial Data'!$C$51</f>
        <v>58</v>
      </c>
      <c r="E575" s="381">
        <f>'Initial Data'!$C$50*(1+'BL Sensitivity Analysis'!$B$7)-'Initial Data'!$C$51</f>
        <v>58</v>
      </c>
      <c r="F575" s="381">
        <f>'Initial Data'!$C$50*(1+'BL Sensitivity Analysis'!$B$7)-'Initial Data'!$C$51</f>
        <v>58</v>
      </c>
      <c r="G575" s="381">
        <f>'Initial Data'!$C$50*(1+'BL Sensitivity Analysis'!$B$7)-'Initial Data'!$C$51</f>
        <v>58</v>
      </c>
      <c r="H575" s="381">
        <f>'Initial Data'!$C$50*(1+'BL Sensitivity Analysis'!$B$7)-'Initial Data'!$C$51</f>
        <v>58</v>
      </c>
      <c r="I575" s="381">
        <f>'Initial Data'!$C$50*(1+'BL Sensitivity Analysis'!$B$7)-'Initial Data'!$C$51</f>
        <v>58</v>
      </c>
      <c r="J575" s="381">
        <f>'Initial Data'!$C$50*(1+'BL Sensitivity Analysis'!$B$7)-'Initial Data'!$C$51</f>
        <v>58</v>
      </c>
      <c r="K575" s="381">
        <f>'Initial Data'!$C$50*(1+'BL Sensitivity Analysis'!$B$7)-'Initial Data'!$C$51</f>
        <v>58</v>
      </c>
      <c r="L575" s="381">
        <f>'Initial Data'!$C$50*(1+'BL Sensitivity Analysis'!$B$7)-'Initial Data'!$C$51</f>
        <v>58</v>
      </c>
      <c r="M575" s="381">
        <f>'Initial Data'!$C$50*(1+'BL Sensitivity Analysis'!$B$7)-'Initial Data'!$C$51</f>
        <v>58</v>
      </c>
      <c r="N575" s="381">
        <f>'Initial Data'!$C$50*(1+'BL Sensitivity Analysis'!$B$7)-'Initial Data'!$C$51</f>
        <v>58</v>
      </c>
      <c r="O575" s="381">
        <f>'Initial Data'!$C$50*(1+'BL Sensitivity Analysis'!$B$7)-'Initial Data'!$C$51</f>
        <v>58</v>
      </c>
      <c r="P575" s="381">
        <f>'Initial Data'!$C$50*(1+'BL Sensitivity Analysis'!$B$7)-'Initial Data'!$C$51</f>
        <v>58</v>
      </c>
      <c r="Q575" s="381">
        <f>'Initial Data'!$C$50*(1+'BL Sensitivity Analysis'!$B$7)-'Initial Data'!$C$51</f>
        <v>58</v>
      </c>
    </row>
    <row r="576" spans="1:17" ht="14.4">
      <c r="A576" s="366" t="s">
        <v>292</v>
      </c>
      <c r="B576" s="365"/>
      <c r="C576" s="375">
        <f>+Baseline_NaturalGas!D12</f>
        <v>6.4285714285714288</v>
      </c>
      <c r="D576" s="375">
        <f>+Baseline_NaturalGas!E12</f>
        <v>6.6008571428571425</v>
      </c>
      <c r="E576" s="375">
        <f>+Baseline_NaturalGas!F12</f>
        <v>6.7777601142857131</v>
      </c>
      <c r="F576" s="375">
        <f>+Baseline_NaturalGas!G12</f>
        <v>6.9594040853485701</v>
      </c>
      <c r="G576" s="375">
        <f>+Baseline_NaturalGas!H12</f>
        <v>7.1459161148359112</v>
      </c>
      <c r="H576" s="375">
        <f>+Baseline_NaturalGas!I12</f>
        <v>7.3374266667135135</v>
      </c>
      <c r="I576" s="375">
        <f>+Baseline_NaturalGas!J12</f>
        <v>7.5340697013814353</v>
      </c>
      <c r="J576" s="375">
        <f>+Baseline_NaturalGas!K12</f>
        <v>7.7359827693784569</v>
      </c>
      <c r="K576" s="375">
        <f>+Baseline_NaturalGas!L12</f>
        <v>7.943307107597799</v>
      </c>
      <c r="L576" s="375">
        <f>+Baseline_NaturalGas!M12</f>
        <v>8.1561877380814192</v>
      </c>
      <c r="M576" s="375">
        <f>+Baseline_NaturalGas!N12</f>
        <v>8.3747735694620005</v>
      </c>
      <c r="N576" s="375">
        <f>+Baseline_NaturalGas!O12</f>
        <v>8.5992175011235812</v>
      </c>
      <c r="O576" s="375">
        <f>+Baseline_NaturalGas!P12</f>
        <v>8.8296765301536926</v>
      </c>
      <c r="P576" s="375">
        <f>+Baseline_NaturalGas!Q12</f>
        <v>9.066311861161811</v>
      </c>
      <c r="Q576" s="375">
        <f>+Baseline_NaturalGas!R12</f>
        <v>9.3092890190409463</v>
      </c>
    </row>
    <row r="577" spans="1:17" ht="14.4">
      <c r="A577" s="366" t="s">
        <v>293</v>
      </c>
      <c r="B577" s="365"/>
      <c r="C577" s="367">
        <f>+C575*C576</f>
        <v>372.85714285714289</v>
      </c>
      <c r="D577" s="367">
        <f t="shared" ref="D577:Q577" si="148">+D575*D576</f>
        <v>382.84971428571424</v>
      </c>
      <c r="E577" s="367">
        <f t="shared" si="148"/>
        <v>393.11008662857137</v>
      </c>
      <c r="F577" s="367">
        <f t="shared" si="148"/>
        <v>403.64543695021706</v>
      </c>
      <c r="G577" s="367">
        <f t="shared" si="148"/>
        <v>414.46313466048287</v>
      </c>
      <c r="H577" s="367">
        <f t="shared" si="148"/>
        <v>425.57074666938377</v>
      </c>
      <c r="I577" s="367">
        <f t="shared" si="148"/>
        <v>436.97604268012327</v>
      </c>
      <c r="J577" s="367">
        <f t="shared" si="148"/>
        <v>448.6870006239505</v>
      </c>
      <c r="K577" s="367">
        <f t="shared" si="148"/>
        <v>460.71181224067232</v>
      </c>
      <c r="L577" s="367">
        <f t="shared" si="148"/>
        <v>473.05888880872232</v>
      </c>
      <c r="M577" s="367">
        <f t="shared" si="148"/>
        <v>485.73686702879604</v>
      </c>
      <c r="N577" s="367">
        <f t="shared" si="148"/>
        <v>498.75461506516768</v>
      </c>
      <c r="O577" s="367">
        <f t="shared" si="148"/>
        <v>512.12123874891415</v>
      </c>
      <c r="P577" s="367">
        <f t="shared" si="148"/>
        <v>525.84608794738506</v>
      </c>
      <c r="Q577" s="367">
        <f t="shared" si="148"/>
        <v>539.93876310437486</v>
      </c>
    </row>
    <row r="578" spans="1:17" ht="14.4">
      <c r="A578" s="370"/>
      <c r="B578" s="373"/>
      <c r="C578" s="373"/>
      <c r="D578" s="373"/>
      <c r="E578" s="373"/>
      <c r="F578" s="373"/>
      <c r="G578" s="373"/>
      <c r="H578" s="373"/>
      <c r="I578" s="373"/>
      <c r="J578" s="373"/>
      <c r="K578" s="373"/>
      <c r="L578" s="373"/>
      <c r="M578" s="373"/>
      <c r="N578" s="373"/>
      <c r="O578" s="373"/>
      <c r="P578" s="373"/>
      <c r="Q578" s="373"/>
    </row>
    <row r="579" spans="1:17" ht="14.4">
      <c r="A579" s="366" t="s">
        <v>294</v>
      </c>
      <c r="B579" s="378">
        <f>+SUM(C579:Q579)</f>
        <v>1483577.7396476164</v>
      </c>
      <c r="C579" s="377">
        <f>C574*C577/1000*'Initial Data'!$C$34/'Initial Data'!$C$33</f>
        <v>81655.714285714304</v>
      </c>
      <c r="D579" s="377">
        <f>D574*D577/1000*'Initial Data'!$C$34/'Initial Data'!$C$33</f>
        <v>83844.087428571424</v>
      </c>
      <c r="E579" s="377">
        <f>E574*E577/1000*'Initial Data'!$C$34/'Initial Data'!$C$33</f>
        <v>86091.10897165713</v>
      </c>
      <c r="F579" s="377">
        <f>F574*F577/1000*'Initial Data'!$C$34/'Initial Data'!$C$33</f>
        <v>88398.350692097534</v>
      </c>
      <c r="G579" s="377">
        <f>G574*G577/1000*'Initial Data'!$C$34/'Initial Data'!$C$33</f>
        <v>90767.426490645754</v>
      </c>
      <c r="H579" s="377">
        <f>H574*H577/1000*'Initial Data'!$C$34/'Initial Data'!$C$33</f>
        <v>93199.993520595046</v>
      </c>
      <c r="I579" s="377">
        <f>I574*I577/1000*'Initial Data'!$C$34/'Initial Data'!$C$33</f>
        <v>95697.753346946993</v>
      </c>
      <c r="J579" s="377">
        <f>J574*J577/1000*'Initial Data'!$C$34/'Initial Data'!$C$33</f>
        <v>98262.453136645156</v>
      </c>
      <c r="K579" s="377">
        <f>K574*K577/1000*'Initial Data'!$C$34/'Initial Data'!$C$33</f>
        <v>100895.88688070723</v>
      </c>
      <c r="L579" s="377">
        <f>L574*L577/1000*'Initial Data'!$C$34/'Initial Data'!$C$33</f>
        <v>103599.89664911019</v>
      </c>
      <c r="M579" s="377">
        <f>M574*M577/1000*'Initial Data'!$C$34/'Initial Data'!$C$33</f>
        <v>106376.37387930634</v>
      </c>
      <c r="N579" s="377">
        <f>N574*N577/1000*'Initial Data'!$C$34/'Initial Data'!$C$33</f>
        <v>109227.26069927172</v>
      </c>
      <c r="O579" s="377">
        <f>O574*O577/1000*'Initial Data'!$C$34/'Initial Data'!$C$33</f>
        <v>112154.5512860122</v>
      </c>
      <c r="P579" s="377">
        <f>P574*P577/1000*'Initial Data'!$C$34/'Initial Data'!$C$33</f>
        <v>115160.29326047734</v>
      </c>
      <c r="Q579" s="377">
        <f>Q574*Q577/1000*'Initial Data'!$C$34/'Initial Data'!$C$33</f>
        <v>118246.58911985809</v>
      </c>
    </row>
    <row r="580" spans="1:17" ht="14.4">
      <c r="A580" s="370"/>
      <c r="B580" s="373"/>
      <c r="C580" s="373"/>
      <c r="D580" s="373"/>
      <c r="E580" s="373"/>
      <c r="F580" s="373"/>
      <c r="G580" s="373"/>
      <c r="H580" s="373"/>
      <c r="I580" s="373"/>
      <c r="J580" s="373"/>
      <c r="K580" s="373"/>
      <c r="L580" s="373"/>
      <c r="M580" s="373"/>
      <c r="N580" s="373"/>
      <c r="O580" s="373"/>
      <c r="P580" s="373"/>
      <c r="Q580" s="373"/>
    </row>
    <row r="581" spans="1:17" ht="14.4">
      <c r="A581" s="366" t="s">
        <v>295</v>
      </c>
      <c r="B581" s="378">
        <f>+SUM(C581:Q581)</f>
        <v>1483577.7396476164</v>
      </c>
      <c r="C581" s="367">
        <f>+C579</f>
        <v>81655.714285714304</v>
      </c>
      <c r="D581" s="367">
        <f t="shared" ref="D581:Q581" si="149">+D579</f>
        <v>83844.087428571424</v>
      </c>
      <c r="E581" s="367">
        <f t="shared" si="149"/>
        <v>86091.10897165713</v>
      </c>
      <c r="F581" s="367">
        <f t="shared" si="149"/>
        <v>88398.350692097534</v>
      </c>
      <c r="G581" s="367">
        <f t="shared" si="149"/>
        <v>90767.426490645754</v>
      </c>
      <c r="H581" s="367">
        <f t="shared" si="149"/>
        <v>93199.993520595046</v>
      </c>
      <c r="I581" s="367">
        <f t="shared" si="149"/>
        <v>95697.753346946993</v>
      </c>
      <c r="J581" s="367">
        <f t="shared" si="149"/>
        <v>98262.453136645156</v>
      </c>
      <c r="K581" s="367">
        <f t="shared" si="149"/>
        <v>100895.88688070723</v>
      </c>
      <c r="L581" s="367">
        <f t="shared" si="149"/>
        <v>103599.89664911019</v>
      </c>
      <c r="M581" s="367">
        <f t="shared" si="149"/>
        <v>106376.37387930634</v>
      </c>
      <c r="N581" s="367">
        <f t="shared" si="149"/>
        <v>109227.26069927172</v>
      </c>
      <c r="O581" s="367">
        <f t="shared" si="149"/>
        <v>112154.5512860122</v>
      </c>
      <c r="P581" s="367">
        <f t="shared" si="149"/>
        <v>115160.29326047734</v>
      </c>
      <c r="Q581" s="367">
        <f t="shared" si="149"/>
        <v>118246.58911985809</v>
      </c>
    </row>
    <row r="582" spans="1:17" ht="14.4">
      <c r="A582" s="370"/>
      <c r="B582" s="374"/>
      <c r="C582" s="374"/>
      <c r="D582" s="374"/>
      <c r="E582" s="374"/>
      <c r="F582" s="374"/>
      <c r="G582" s="374"/>
      <c r="H582" s="374"/>
      <c r="I582" s="374"/>
      <c r="J582" s="374"/>
      <c r="K582" s="374"/>
      <c r="L582" s="374"/>
      <c r="M582" s="374"/>
      <c r="N582" s="374"/>
      <c r="O582" s="374"/>
      <c r="P582" s="374"/>
      <c r="Q582" s="374"/>
    </row>
    <row r="583" spans="1:17" ht="14.4">
      <c r="A583" s="366" t="s">
        <v>68</v>
      </c>
      <c r="B583" s="368"/>
      <c r="C583" s="368"/>
      <c r="D583" s="368"/>
      <c r="E583" s="368"/>
      <c r="F583" s="368"/>
      <c r="G583" s="368"/>
      <c r="H583" s="368"/>
      <c r="I583" s="368"/>
      <c r="J583" s="368"/>
      <c r="K583" s="368"/>
      <c r="L583" s="368"/>
      <c r="M583" s="368"/>
      <c r="N583" s="368"/>
      <c r="O583" s="368"/>
      <c r="P583" s="368"/>
      <c r="Q583" s="368"/>
    </row>
    <row r="584" spans="1:17" ht="14.4">
      <c r="A584" s="366" t="s">
        <v>330</v>
      </c>
      <c r="B584" s="378">
        <f>+SUM(C584:Q584)</f>
        <v>17405.991521183645</v>
      </c>
      <c r="C584" s="377">
        <f>+Baseline_NaturalGas!D20</f>
        <v>958.02102749999995</v>
      </c>
      <c r="D584" s="377">
        <f>+Baseline_NaturalGas!E20</f>
        <v>983.69599103699989</v>
      </c>
      <c r="E584" s="377">
        <f>+Baseline_NaturalGas!F20</f>
        <v>1010.0590435967914</v>
      </c>
      <c r="F584" s="377">
        <f>+Baseline_NaturalGas!G20</f>
        <v>1037.1286259651854</v>
      </c>
      <c r="G584" s="377">
        <f>+Baseline_NaturalGas!H20</f>
        <v>1064.9236731410524</v>
      </c>
      <c r="H584" s="377">
        <f>+Baseline_NaturalGas!I20</f>
        <v>1093.4636275812325</v>
      </c>
      <c r="I584" s="377">
        <f>+Baseline_NaturalGas!J20</f>
        <v>1122.7684528004095</v>
      </c>
      <c r="J584" s="377">
        <f>+Baseline_NaturalGas!K20</f>
        <v>1152.8586473354603</v>
      </c>
      <c r="K584" s="377">
        <f>+Baseline_NaturalGas!L20</f>
        <v>1183.7552590840505</v>
      </c>
      <c r="L584" s="377">
        <f>+Baseline_NaturalGas!M20</f>
        <v>1215.4799000275029</v>
      </c>
      <c r="M584" s="377">
        <f>+Baseline_NaturalGas!N20</f>
        <v>1248.0547613482399</v>
      </c>
      <c r="N584" s="377">
        <f>+Baseline_NaturalGas!O20</f>
        <v>1281.5026289523728</v>
      </c>
      <c r="O584" s="377">
        <f>+Baseline_NaturalGas!P20</f>
        <v>1315.8468994082964</v>
      </c>
      <c r="P584" s="377">
        <f>+Baseline_NaturalGas!Q20</f>
        <v>1351.1115963124387</v>
      </c>
      <c r="Q584" s="377">
        <f>+Baseline_NaturalGas!R20</f>
        <v>1387.321387093612</v>
      </c>
    </row>
    <row r="585" spans="1:17" ht="14.4">
      <c r="A585" s="370"/>
      <c r="B585" s="369"/>
      <c r="C585" s="369"/>
      <c r="D585" s="369"/>
      <c r="E585" s="369"/>
      <c r="F585" s="369"/>
      <c r="G585" s="369"/>
      <c r="H585" s="369"/>
      <c r="I585" s="369"/>
      <c r="J585" s="369"/>
      <c r="K585" s="369"/>
      <c r="L585" s="369"/>
      <c r="M585" s="369"/>
      <c r="N585" s="369"/>
      <c r="O585" s="369"/>
      <c r="P585" s="369"/>
      <c r="Q585" s="369"/>
    </row>
    <row r="586" spans="1:17" ht="14.4">
      <c r="A586" s="366" t="s">
        <v>71</v>
      </c>
      <c r="B586" s="379"/>
      <c r="C586" s="379"/>
      <c r="D586" s="379"/>
      <c r="E586" s="379"/>
      <c r="F586" s="379"/>
      <c r="G586" s="379"/>
      <c r="H586" s="379"/>
      <c r="I586" s="379"/>
      <c r="J586" s="379"/>
      <c r="K586" s="379"/>
      <c r="L586" s="379"/>
      <c r="M586" s="379"/>
      <c r="N586" s="379"/>
      <c r="O586" s="379"/>
      <c r="P586" s="379"/>
      <c r="Q586" s="379"/>
    </row>
    <row r="587" spans="1:17" ht="14.4">
      <c r="A587" s="370"/>
      <c r="B587" s="379"/>
      <c r="C587" s="379"/>
      <c r="D587" s="379"/>
      <c r="E587" s="379"/>
      <c r="F587" s="379"/>
      <c r="G587" s="379"/>
      <c r="H587" s="379"/>
      <c r="I587" s="379"/>
      <c r="J587" s="379"/>
      <c r="K587" s="379"/>
      <c r="L587" s="379"/>
      <c r="M587" s="379"/>
      <c r="N587" s="379"/>
      <c r="O587" s="379"/>
      <c r="P587" s="379"/>
      <c r="Q587" s="379"/>
    </row>
    <row r="588" spans="1:17" ht="14.4">
      <c r="A588" s="366" t="s">
        <v>64</v>
      </c>
      <c r="B588" s="373"/>
      <c r="C588" s="377">
        <f>+Baseline_NaturalGas!D24</f>
        <v>1656.5089715892002</v>
      </c>
      <c r="D588" s="377">
        <f>+Baseline_NaturalGas!E24</f>
        <v>1656.5089715892002</v>
      </c>
      <c r="E588" s="377">
        <f>+Baseline_NaturalGas!F24</f>
        <v>1656.5089715892002</v>
      </c>
      <c r="F588" s="377">
        <f>+Baseline_NaturalGas!G24</f>
        <v>1656.5089715892002</v>
      </c>
      <c r="G588" s="377">
        <f>+Baseline_NaturalGas!H24</f>
        <v>1656.5089715892002</v>
      </c>
      <c r="H588" s="377">
        <f>+Baseline_NaturalGas!I24</f>
        <v>1656.5089715892002</v>
      </c>
      <c r="I588" s="377">
        <f>+Baseline_NaturalGas!J24</f>
        <v>1656.5089715892002</v>
      </c>
      <c r="J588" s="377">
        <f>+Baseline_NaturalGas!K24</f>
        <v>1656.5089715892002</v>
      </c>
      <c r="K588" s="377">
        <f>+Baseline_NaturalGas!L24</f>
        <v>1656.5089715892002</v>
      </c>
      <c r="L588" s="377">
        <f>+Baseline_NaturalGas!M24</f>
        <v>1656.5089715892002</v>
      </c>
      <c r="M588" s="377">
        <f>+Baseline_NaturalGas!N24</f>
        <v>1656.5089715892002</v>
      </c>
      <c r="N588" s="377">
        <f>+Baseline_NaturalGas!O24</f>
        <v>1656.5089715892002</v>
      </c>
      <c r="O588" s="377">
        <f>+Baseline_NaturalGas!P24</f>
        <v>1656.5089715892002</v>
      </c>
      <c r="P588" s="377">
        <f>+Baseline_NaturalGas!Q24</f>
        <v>1656.5089715892002</v>
      </c>
      <c r="Q588" s="377">
        <f>+Baseline_NaturalGas!R24</f>
        <v>1656.5089715892002</v>
      </c>
    </row>
    <row r="589" spans="1:17" ht="14.4">
      <c r="A589" s="366" t="s">
        <v>108</v>
      </c>
      <c r="B589" s="387">
        <f>+Baseline_NaturalGas!C25</f>
        <v>0.90200000000000002</v>
      </c>
      <c r="C589" s="373"/>
      <c r="D589" s="373"/>
      <c r="E589" s="373"/>
      <c r="F589" s="373"/>
      <c r="G589" s="373"/>
      <c r="H589" s="373"/>
      <c r="I589" s="373"/>
      <c r="J589" s="373"/>
      <c r="K589" s="373"/>
      <c r="L589" s="373"/>
      <c r="M589" s="373"/>
      <c r="N589" s="373"/>
      <c r="O589" s="373"/>
      <c r="P589" s="373"/>
      <c r="Q589" s="373"/>
    </row>
    <row r="590" spans="1:17" ht="14.4">
      <c r="A590" s="366" t="s">
        <v>346</v>
      </c>
      <c r="B590" s="373"/>
      <c r="C590" s="377">
        <f>+Baseline_NaturalGas!D26</f>
        <v>1741816.7092883086</v>
      </c>
      <c r="D590" s="377">
        <f>+Baseline_NaturalGas!E26</f>
        <v>1741816.7092883086</v>
      </c>
      <c r="E590" s="377">
        <f>+Baseline_NaturalGas!F26</f>
        <v>1741816.7092883086</v>
      </c>
      <c r="F590" s="377">
        <f>+Baseline_NaturalGas!G26</f>
        <v>1741816.7092883086</v>
      </c>
      <c r="G590" s="377">
        <f>+Baseline_NaturalGas!H26</f>
        <v>1741816.7092883086</v>
      </c>
      <c r="H590" s="377">
        <f>+Baseline_NaturalGas!I26</f>
        <v>1741816.7092883086</v>
      </c>
      <c r="I590" s="377">
        <f>+Baseline_NaturalGas!J26</f>
        <v>1741816.7092883086</v>
      </c>
      <c r="J590" s="377">
        <f>+Baseline_NaturalGas!K26</f>
        <v>1741816.7092883086</v>
      </c>
      <c r="K590" s="377">
        <f>+Baseline_NaturalGas!L26</f>
        <v>1741816.7092883086</v>
      </c>
      <c r="L590" s="377">
        <f>+Baseline_NaturalGas!M26</f>
        <v>1741816.7092883086</v>
      </c>
      <c r="M590" s="377">
        <f>+Baseline_NaturalGas!N26</f>
        <v>1741816.7092883086</v>
      </c>
      <c r="N590" s="377">
        <f>+Baseline_NaturalGas!O26</f>
        <v>1741816.7092883086</v>
      </c>
      <c r="O590" s="377">
        <f>+Baseline_NaturalGas!P26</f>
        <v>1741816.7092883086</v>
      </c>
      <c r="P590" s="377">
        <f>+Baseline_NaturalGas!Q26</f>
        <v>1741816.7092883086</v>
      </c>
      <c r="Q590" s="377">
        <f>+Baseline_NaturalGas!R26</f>
        <v>1741816.7092883086</v>
      </c>
    </row>
    <row r="591" spans="1:17" ht="14.4">
      <c r="A591" s="366" t="s">
        <v>66</v>
      </c>
      <c r="B591" s="373"/>
      <c r="C591" s="385">
        <f>+Baseline_NaturalGas!D27</f>
        <v>5.6086944825694198</v>
      </c>
      <c r="D591" s="385">
        <f>+Baseline_NaturalGas!E27</f>
        <v>5.5051083831058802</v>
      </c>
      <c r="E591" s="385">
        <f>+Baseline_NaturalGas!F27</f>
        <v>5.61862622286578</v>
      </c>
      <c r="F591" s="385">
        <f>+Baseline_NaturalGas!G27</f>
        <v>5.8406487933251103</v>
      </c>
      <c r="G591" s="385">
        <f>+Baseline_NaturalGas!H27</f>
        <v>5.8453745748678001</v>
      </c>
      <c r="H591" s="385">
        <f>+Baseline_NaturalGas!I27</f>
        <v>6.0672099673130804</v>
      </c>
      <c r="I591" s="385">
        <f>+Baseline_NaturalGas!J27</f>
        <v>6.39755565092754</v>
      </c>
      <c r="J591" s="385">
        <f>+Baseline_NaturalGas!K27</f>
        <v>6.39755565092754</v>
      </c>
      <c r="K591" s="385">
        <f>+Baseline_NaturalGas!L27</f>
        <v>6.39755565092754</v>
      </c>
      <c r="L591" s="385">
        <f>+Baseline_NaturalGas!M27</f>
        <v>6.39755565092754</v>
      </c>
      <c r="M591" s="385">
        <f>+Baseline_NaturalGas!N27</f>
        <v>6.39755565092754</v>
      </c>
      <c r="N591" s="385">
        <f>+Baseline_NaturalGas!O27</f>
        <v>6.39755565092754</v>
      </c>
      <c r="O591" s="385">
        <f>+Baseline_NaturalGas!P27</f>
        <v>6.39755565092754</v>
      </c>
      <c r="P591" s="385">
        <f>+Baseline_NaturalGas!Q27</f>
        <v>6.39755565092754</v>
      </c>
      <c r="Q591" s="385">
        <f>+Baseline_NaturalGas!R27</f>
        <v>6.39755565092754</v>
      </c>
    </row>
    <row r="592" spans="1:17" ht="14.4">
      <c r="A592" s="370"/>
      <c r="B592" s="379"/>
      <c r="C592" s="379"/>
      <c r="D592" s="379"/>
      <c r="E592" s="379"/>
      <c r="F592" s="379"/>
      <c r="G592" s="379"/>
      <c r="H592" s="379"/>
      <c r="I592" s="379"/>
      <c r="J592" s="379"/>
      <c r="K592" s="379"/>
      <c r="L592" s="379"/>
      <c r="M592" s="379"/>
      <c r="N592" s="379"/>
      <c r="O592" s="379"/>
      <c r="P592" s="379"/>
      <c r="Q592" s="379"/>
    </row>
    <row r="593" spans="1:17" ht="14.4">
      <c r="A593" s="366" t="s">
        <v>102</v>
      </c>
      <c r="B593" s="378">
        <f t="shared" ref="B593" si="150">+SUM(C593:Q593)</f>
        <v>160358.02702356796</v>
      </c>
      <c r="C593" s="375">
        <f>+C590*C591/1000</f>
        <v>9769.3177670325604</v>
      </c>
      <c r="D593" s="375">
        <f>+D590*D591/1000</f>
        <v>9588.8897681369654</v>
      </c>
      <c r="E593" s="375">
        <f t="shared" ref="E593:Q593" si="151">+E590*E591/1000</f>
        <v>9786.6170382330711</v>
      </c>
      <c r="F593" s="375">
        <f t="shared" si="151"/>
        <v>10173.339661298274</v>
      </c>
      <c r="G593" s="375">
        <f t="shared" si="151"/>
        <v>10181.571106553778</v>
      </c>
      <c r="H593" s="375">
        <f t="shared" si="151"/>
        <v>10567.967699826495</v>
      </c>
      <c r="I593" s="375">
        <f t="shared" si="151"/>
        <v>11143.36933138743</v>
      </c>
      <c r="J593" s="375">
        <f t="shared" si="151"/>
        <v>11143.36933138743</v>
      </c>
      <c r="K593" s="375">
        <f t="shared" si="151"/>
        <v>11143.36933138743</v>
      </c>
      <c r="L593" s="375">
        <f t="shared" si="151"/>
        <v>11143.36933138743</v>
      </c>
      <c r="M593" s="375">
        <f t="shared" si="151"/>
        <v>11143.36933138743</v>
      </c>
      <c r="N593" s="375">
        <f t="shared" si="151"/>
        <v>11143.36933138743</v>
      </c>
      <c r="O593" s="375">
        <f t="shared" si="151"/>
        <v>11143.36933138743</v>
      </c>
      <c r="P593" s="375">
        <f t="shared" si="151"/>
        <v>11143.36933138743</v>
      </c>
      <c r="Q593" s="375">
        <f t="shared" si="151"/>
        <v>11143.36933138743</v>
      </c>
    </row>
    <row r="594" spans="1:17" ht="14.4">
      <c r="A594" s="370"/>
      <c r="B594" s="373"/>
      <c r="C594" s="373"/>
      <c r="D594" s="373"/>
      <c r="E594" s="373"/>
      <c r="F594" s="373"/>
      <c r="G594" s="373"/>
      <c r="H594" s="373"/>
      <c r="I594" s="373"/>
      <c r="J594" s="373"/>
      <c r="K594" s="373"/>
      <c r="L594" s="373"/>
      <c r="M594" s="373"/>
      <c r="N594" s="373"/>
      <c r="O594" s="373"/>
      <c r="P594" s="373"/>
      <c r="Q594" s="373"/>
    </row>
    <row r="595" spans="1:17" ht="14.4">
      <c r="A595" s="370"/>
      <c r="B595" s="379"/>
      <c r="C595" s="379"/>
      <c r="D595" s="379"/>
      <c r="E595" s="379"/>
      <c r="F595" s="379"/>
      <c r="G595" s="379"/>
      <c r="H595" s="379"/>
      <c r="I595" s="379"/>
      <c r="J595" s="379"/>
      <c r="K595" s="379"/>
      <c r="L595" s="379"/>
      <c r="M595" s="379"/>
      <c r="N595" s="379"/>
      <c r="O595" s="379"/>
      <c r="P595" s="379"/>
      <c r="Q595" s="379"/>
    </row>
    <row r="596" spans="1:17" ht="14.4">
      <c r="A596" s="366" t="s">
        <v>101</v>
      </c>
      <c r="B596" s="373"/>
      <c r="C596" s="375">
        <f>+C593+C584</f>
        <v>10727.338794532559</v>
      </c>
      <c r="D596" s="375">
        <f t="shared" ref="D596:Q596" si="152">+D593+D584</f>
        <v>10572.585759173966</v>
      </c>
      <c r="E596" s="375">
        <f t="shared" si="152"/>
        <v>10796.676081829863</v>
      </c>
      <c r="F596" s="375">
        <f t="shared" si="152"/>
        <v>11210.46828726346</v>
      </c>
      <c r="G596" s="375">
        <f t="shared" si="152"/>
        <v>11246.494779694831</v>
      </c>
      <c r="H596" s="375">
        <f t="shared" si="152"/>
        <v>11661.431327407727</v>
      </c>
      <c r="I596" s="375">
        <f t="shared" si="152"/>
        <v>12266.13778418784</v>
      </c>
      <c r="J596" s="375">
        <f t="shared" si="152"/>
        <v>12296.227978722891</v>
      </c>
      <c r="K596" s="375">
        <f t="shared" si="152"/>
        <v>12327.124590471481</v>
      </c>
      <c r="L596" s="375">
        <f t="shared" si="152"/>
        <v>12358.849231414933</v>
      </c>
      <c r="M596" s="375">
        <f t="shared" si="152"/>
        <v>12391.42409273567</v>
      </c>
      <c r="N596" s="375">
        <f t="shared" si="152"/>
        <v>12424.871960339802</v>
      </c>
      <c r="O596" s="375">
        <f t="shared" si="152"/>
        <v>12459.216230795726</v>
      </c>
      <c r="P596" s="375">
        <f t="shared" si="152"/>
        <v>12494.480927699869</v>
      </c>
      <c r="Q596" s="375">
        <f t="shared" si="152"/>
        <v>12530.690718481042</v>
      </c>
    </row>
    <row r="597" spans="1:17" ht="14.4">
      <c r="A597" s="370"/>
      <c r="B597" s="379"/>
      <c r="C597" s="379"/>
      <c r="D597" s="379"/>
      <c r="E597" s="379"/>
      <c r="F597" s="379"/>
      <c r="G597" s="379"/>
      <c r="H597" s="379"/>
      <c r="I597" s="379"/>
      <c r="J597" s="379"/>
      <c r="K597" s="379"/>
      <c r="L597" s="379"/>
      <c r="M597" s="379"/>
      <c r="N597" s="379"/>
      <c r="O597" s="379"/>
      <c r="P597" s="379"/>
      <c r="Q597" s="379"/>
    </row>
    <row r="598" spans="1:17" ht="14.4">
      <c r="A598" s="366" t="s">
        <v>73</v>
      </c>
      <c r="B598" s="378">
        <f>+SUM(C598:Q598)</f>
        <v>11487.524395535713</v>
      </c>
      <c r="C598" s="367">
        <f>+Baseline_NaturalGas!$D$5/'Initial Data'!$C$19</f>
        <v>1148.7524395535715</v>
      </c>
      <c r="D598" s="367">
        <f>+Baseline_NaturalGas!$D$5/'Initial Data'!$C$19</f>
        <v>1148.7524395535715</v>
      </c>
      <c r="E598" s="367">
        <f>+Baseline_NaturalGas!$D$5/'Initial Data'!$C$19</f>
        <v>1148.7524395535715</v>
      </c>
      <c r="F598" s="367">
        <f>+Baseline_NaturalGas!$D$5/'Initial Data'!$C$19</f>
        <v>1148.7524395535715</v>
      </c>
      <c r="G598" s="367">
        <f>+Baseline_NaturalGas!$D$5/'Initial Data'!$C$19</f>
        <v>1148.7524395535715</v>
      </c>
      <c r="H598" s="367">
        <f>+Baseline_NaturalGas!$D$5/'Initial Data'!$C$19</f>
        <v>1148.7524395535715</v>
      </c>
      <c r="I598" s="367">
        <f>+Baseline_NaturalGas!$D$5/'Initial Data'!$C$19</f>
        <v>1148.7524395535715</v>
      </c>
      <c r="J598" s="367">
        <f>+Baseline_NaturalGas!$D$5/'Initial Data'!$C$19</f>
        <v>1148.7524395535715</v>
      </c>
      <c r="K598" s="367">
        <f>+Baseline_NaturalGas!$D$5/'Initial Data'!$C$19</f>
        <v>1148.7524395535715</v>
      </c>
      <c r="L598" s="367">
        <f>+Baseline_NaturalGas!$D$5/'Initial Data'!$C$19</f>
        <v>1148.7524395535715</v>
      </c>
      <c r="M598" s="367">
        <v>0</v>
      </c>
      <c r="N598" s="367">
        <v>0</v>
      </c>
      <c r="O598" s="367">
        <v>0</v>
      </c>
      <c r="P598" s="367">
        <v>0</v>
      </c>
      <c r="Q598" s="367">
        <v>0</v>
      </c>
    </row>
    <row r="599" spans="1:17" ht="14.4">
      <c r="A599" s="366" t="s">
        <v>74</v>
      </c>
      <c r="B599" s="378">
        <f>+SUM(C599:Q599)</f>
        <v>11487.524395535713</v>
      </c>
      <c r="C599" s="367">
        <f>SUM(C598:C598)</f>
        <v>1148.7524395535715</v>
      </c>
      <c r="D599" s="367">
        <f t="shared" ref="D599:Q599" si="153">SUM(D598:D598)</f>
        <v>1148.7524395535715</v>
      </c>
      <c r="E599" s="367">
        <f t="shared" si="153"/>
        <v>1148.7524395535715</v>
      </c>
      <c r="F599" s="367">
        <f t="shared" si="153"/>
        <v>1148.7524395535715</v>
      </c>
      <c r="G599" s="367">
        <f t="shared" si="153"/>
        <v>1148.7524395535715</v>
      </c>
      <c r="H599" s="367">
        <f t="shared" si="153"/>
        <v>1148.7524395535715</v>
      </c>
      <c r="I599" s="367">
        <f t="shared" si="153"/>
        <v>1148.7524395535715</v>
      </c>
      <c r="J599" s="367">
        <f t="shared" si="153"/>
        <v>1148.7524395535715</v>
      </c>
      <c r="K599" s="367">
        <f t="shared" si="153"/>
        <v>1148.7524395535715</v>
      </c>
      <c r="L599" s="367">
        <f t="shared" si="153"/>
        <v>1148.7524395535715</v>
      </c>
      <c r="M599" s="367">
        <f t="shared" si="153"/>
        <v>0</v>
      </c>
      <c r="N599" s="367">
        <f t="shared" si="153"/>
        <v>0</v>
      </c>
      <c r="O599" s="367">
        <f t="shared" si="153"/>
        <v>0</v>
      </c>
      <c r="P599" s="367">
        <f t="shared" si="153"/>
        <v>0</v>
      </c>
      <c r="Q599" s="367">
        <f t="shared" si="153"/>
        <v>0</v>
      </c>
    </row>
    <row r="600" spans="1:17" ht="14.4">
      <c r="A600" s="90"/>
      <c r="B600" s="388"/>
      <c r="C600" s="373"/>
      <c r="D600" s="373"/>
      <c r="E600" s="373"/>
      <c r="F600" s="373"/>
      <c r="G600" s="373"/>
      <c r="H600" s="373"/>
      <c r="I600" s="373"/>
      <c r="J600" s="373"/>
      <c r="K600" s="373"/>
      <c r="L600" s="373"/>
      <c r="M600" s="373"/>
      <c r="N600" s="373"/>
      <c r="O600" s="373"/>
      <c r="P600" s="373"/>
      <c r="Q600" s="373"/>
    </row>
    <row r="601" spans="1:17" ht="14.4">
      <c r="A601" s="366" t="s">
        <v>75</v>
      </c>
      <c r="B601" s="378">
        <f>+SUM(C601:Q601)</f>
        <v>189251.54294028736</v>
      </c>
      <c r="C601" s="367">
        <f>+C596+C599</f>
        <v>11876.09123408613</v>
      </c>
      <c r="D601" s="367">
        <f t="shared" ref="D601:Q601" si="154">+D596+D599</f>
        <v>11721.338198727537</v>
      </c>
      <c r="E601" s="367">
        <f t="shared" si="154"/>
        <v>11945.428521383434</v>
      </c>
      <c r="F601" s="367">
        <f t="shared" si="154"/>
        <v>12359.220726817031</v>
      </c>
      <c r="G601" s="367">
        <f t="shared" si="154"/>
        <v>12395.247219248402</v>
      </c>
      <c r="H601" s="367">
        <f t="shared" si="154"/>
        <v>12810.183766961298</v>
      </c>
      <c r="I601" s="367">
        <f t="shared" si="154"/>
        <v>13414.890223741411</v>
      </c>
      <c r="J601" s="367">
        <f t="shared" si="154"/>
        <v>13444.980418276462</v>
      </c>
      <c r="K601" s="367">
        <f t="shared" si="154"/>
        <v>13475.877030025053</v>
      </c>
      <c r="L601" s="367">
        <f t="shared" si="154"/>
        <v>13507.601670968505</v>
      </c>
      <c r="M601" s="367">
        <f t="shared" si="154"/>
        <v>12391.42409273567</v>
      </c>
      <c r="N601" s="367">
        <f t="shared" si="154"/>
        <v>12424.871960339802</v>
      </c>
      <c r="O601" s="367">
        <f t="shared" si="154"/>
        <v>12459.216230795726</v>
      </c>
      <c r="P601" s="367">
        <f t="shared" si="154"/>
        <v>12494.480927699869</v>
      </c>
      <c r="Q601" s="367">
        <f t="shared" si="154"/>
        <v>12530.690718481042</v>
      </c>
    </row>
    <row r="602" spans="1:17">
      <c r="A602" s="74"/>
    </row>
    <row r="603" spans="1:17" ht="14.4">
      <c r="A603" s="366" t="s">
        <v>76</v>
      </c>
      <c r="B603" s="378">
        <f>+SUM(C603:Q603)</f>
        <v>1294326.1967073292</v>
      </c>
      <c r="C603" s="367">
        <f>+C581-C601</f>
        <v>69779.623051628179</v>
      </c>
      <c r="D603" s="367">
        <f t="shared" ref="D603:Q603" si="155">+D581-D601</f>
        <v>72122.749229843888</v>
      </c>
      <c r="E603" s="367">
        <f t="shared" si="155"/>
        <v>74145.680450273692</v>
      </c>
      <c r="F603" s="367">
        <f t="shared" si="155"/>
        <v>76039.129965280503</v>
      </c>
      <c r="G603" s="367">
        <f t="shared" si="155"/>
        <v>78372.179271397355</v>
      </c>
      <c r="H603" s="367">
        <f t="shared" si="155"/>
        <v>80389.809753633745</v>
      </c>
      <c r="I603" s="367">
        <f t="shared" si="155"/>
        <v>82282.863123205578</v>
      </c>
      <c r="J603" s="367">
        <f t="shared" si="155"/>
        <v>84817.472718368692</v>
      </c>
      <c r="K603" s="367">
        <f t="shared" si="155"/>
        <v>87420.009850682181</v>
      </c>
      <c r="L603" s="367">
        <f t="shared" si="155"/>
        <v>90092.294978141683</v>
      </c>
      <c r="M603" s="367">
        <f t="shared" si="155"/>
        <v>93984.949786570665</v>
      </c>
      <c r="N603" s="367">
        <f t="shared" si="155"/>
        <v>96802.388738931913</v>
      </c>
      <c r="O603" s="367">
        <f t="shared" si="155"/>
        <v>99695.335055216477</v>
      </c>
      <c r="P603" s="367">
        <f t="shared" si="155"/>
        <v>102665.81233277747</v>
      </c>
      <c r="Q603" s="367">
        <f t="shared" si="155"/>
        <v>105715.89840137705</v>
      </c>
    </row>
    <row r="604" spans="1:17" ht="14.4">
      <c r="A604" s="369"/>
      <c r="B604" s="373"/>
      <c r="C604" s="373"/>
      <c r="D604" s="373"/>
      <c r="E604" s="373"/>
      <c r="F604" s="373"/>
      <c r="G604" s="373"/>
      <c r="H604" s="373"/>
      <c r="I604" s="373"/>
      <c r="J604" s="373"/>
      <c r="K604" s="373"/>
      <c r="L604" s="373"/>
      <c r="M604" s="373"/>
      <c r="N604" s="373"/>
      <c r="O604" s="373"/>
      <c r="P604" s="373"/>
      <c r="Q604" s="373"/>
    </row>
    <row r="605" spans="1:17" ht="14.4">
      <c r="A605" s="366" t="s">
        <v>222</v>
      </c>
      <c r="B605" s="380">
        <f>+Baseline_NaturalGas!C43</f>
        <v>0.7</v>
      </c>
      <c r="C605" s="367">
        <f>IF((+$B$605*C603)&lt;0,"0",(+$B$605*C603))</f>
        <v>48845.73613613972</v>
      </c>
      <c r="D605" s="367">
        <f t="shared" ref="D605:Q605" si="156">IF((+$B$605*D603)&lt;0,"0",(+$B$605*D603))</f>
        <v>50485.924460890717</v>
      </c>
      <c r="E605" s="367">
        <f t="shared" si="156"/>
        <v>51901.976315191583</v>
      </c>
      <c r="F605" s="367">
        <f t="shared" si="156"/>
        <v>53227.390975696348</v>
      </c>
      <c r="G605" s="367">
        <f t="shared" si="156"/>
        <v>54860.525489978143</v>
      </c>
      <c r="H605" s="367">
        <f t="shared" si="156"/>
        <v>56272.866827543621</v>
      </c>
      <c r="I605" s="367">
        <f t="shared" si="156"/>
        <v>57598.004186243903</v>
      </c>
      <c r="J605" s="367">
        <f t="shared" si="156"/>
        <v>59372.230902858078</v>
      </c>
      <c r="K605" s="367">
        <f t="shared" si="156"/>
        <v>61194.00689547752</v>
      </c>
      <c r="L605" s="367">
        <f t="shared" si="156"/>
        <v>63064.606484699172</v>
      </c>
      <c r="M605" s="367">
        <f t="shared" si="156"/>
        <v>65789.464850599456</v>
      </c>
      <c r="N605" s="367">
        <f t="shared" si="156"/>
        <v>67761.672117252339</v>
      </c>
      <c r="O605" s="367">
        <f t="shared" si="156"/>
        <v>69786.734538651523</v>
      </c>
      <c r="P605" s="367">
        <f t="shared" si="156"/>
        <v>71866.068632944225</v>
      </c>
      <c r="Q605" s="367">
        <f t="shared" si="156"/>
        <v>74001.128880963937</v>
      </c>
    </row>
    <row r="606" spans="1:17" ht="14.4">
      <c r="A606" s="366" t="s">
        <v>77</v>
      </c>
      <c r="B606" s="378">
        <f>+SUM(C606:Q606)</f>
        <v>906028.33769513026</v>
      </c>
      <c r="C606" s="367">
        <f>SUM(C605:C605)</f>
        <v>48845.73613613972</v>
      </c>
      <c r="D606" s="367">
        <f t="shared" ref="D606:Q606" si="157">SUM(D605:D605)</f>
        <v>50485.924460890717</v>
      </c>
      <c r="E606" s="367">
        <f t="shared" si="157"/>
        <v>51901.976315191583</v>
      </c>
      <c r="F606" s="367">
        <f t="shared" si="157"/>
        <v>53227.390975696348</v>
      </c>
      <c r="G606" s="367">
        <f t="shared" si="157"/>
        <v>54860.525489978143</v>
      </c>
      <c r="H606" s="367">
        <f t="shared" si="157"/>
        <v>56272.866827543621</v>
      </c>
      <c r="I606" s="367">
        <f t="shared" si="157"/>
        <v>57598.004186243903</v>
      </c>
      <c r="J606" s="367">
        <f t="shared" si="157"/>
        <v>59372.230902858078</v>
      </c>
      <c r="K606" s="367">
        <f t="shared" si="157"/>
        <v>61194.00689547752</v>
      </c>
      <c r="L606" s="367">
        <f t="shared" si="157"/>
        <v>63064.606484699172</v>
      </c>
      <c r="M606" s="367">
        <f t="shared" si="157"/>
        <v>65789.464850599456</v>
      </c>
      <c r="N606" s="367">
        <f t="shared" si="157"/>
        <v>67761.672117252339</v>
      </c>
      <c r="O606" s="367">
        <f t="shared" si="157"/>
        <v>69786.734538651523</v>
      </c>
      <c r="P606" s="367">
        <f t="shared" si="157"/>
        <v>71866.068632944225</v>
      </c>
      <c r="Q606" s="367">
        <f t="shared" si="157"/>
        <v>74001.128880963937</v>
      </c>
    </row>
    <row r="607" spans="1:17" ht="14.4">
      <c r="A607" s="369"/>
      <c r="B607" s="373"/>
      <c r="C607" s="373"/>
      <c r="D607" s="373"/>
      <c r="E607" s="373"/>
      <c r="F607" s="373"/>
      <c r="G607" s="373"/>
      <c r="H607" s="373"/>
      <c r="I607" s="373"/>
      <c r="J607" s="373"/>
      <c r="K607" s="373"/>
      <c r="L607" s="373"/>
      <c r="M607" s="373"/>
      <c r="N607" s="373"/>
      <c r="O607" s="373"/>
      <c r="P607" s="373"/>
      <c r="Q607" s="373"/>
    </row>
    <row r="608" spans="1:17" ht="14.4">
      <c r="A608" s="366" t="s">
        <v>78</v>
      </c>
      <c r="B608" s="378">
        <f>+SUM(C608:Q608)</f>
        <v>388297.85901219887</v>
      </c>
      <c r="C608" s="367">
        <f>+C603-C606</f>
        <v>20933.88691548846</v>
      </c>
      <c r="D608" s="367">
        <f t="shared" ref="D608:Q608" si="158">+D603-D606</f>
        <v>21636.824768953171</v>
      </c>
      <c r="E608" s="367">
        <f t="shared" si="158"/>
        <v>22243.704135082109</v>
      </c>
      <c r="F608" s="367">
        <f t="shared" si="158"/>
        <v>22811.738989584155</v>
      </c>
      <c r="G608" s="367">
        <f t="shared" si="158"/>
        <v>23511.653781419212</v>
      </c>
      <c r="H608" s="367">
        <f t="shared" si="158"/>
        <v>24116.942926090123</v>
      </c>
      <c r="I608" s="367">
        <f t="shared" si="158"/>
        <v>24684.858936961675</v>
      </c>
      <c r="J608" s="367">
        <f t="shared" si="158"/>
        <v>25445.241815510613</v>
      </c>
      <c r="K608" s="367">
        <f t="shared" si="158"/>
        <v>26226.002955204662</v>
      </c>
      <c r="L608" s="367">
        <f t="shared" si="158"/>
        <v>27027.688493442511</v>
      </c>
      <c r="M608" s="367">
        <f t="shared" si="158"/>
        <v>28195.48493597121</v>
      </c>
      <c r="N608" s="367">
        <f t="shared" si="158"/>
        <v>29040.716621679574</v>
      </c>
      <c r="O608" s="367">
        <f t="shared" si="158"/>
        <v>29908.600516564955</v>
      </c>
      <c r="P608" s="367">
        <f t="shared" si="158"/>
        <v>30799.743699833241</v>
      </c>
      <c r="Q608" s="367">
        <f t="shared" si="158"/>
        <v>31714.769520413116</v>
      </c>
    </row>
    <row r="609" spans="1:17" ht="14.4">
      <c r="A609" s="395" t="s">
        <v>331</v>
      </c>
      <c r="B609" s="378">
        <f>+SUM(C609:Q609)</f>
        <v>11487.524395535713</v>
      </c>
      <c r="C609" s="377">
        <f>+C598</f>
        <v>1148.7524395535715</v>
      </c>
      <c r="D609" s="377">
        <f t="shared" ref="D609:Q609" si="159">+D598</f>
        <v>1148.7524395535715</v>
      </c>
      <c r="E609" s="377">
        <f t="shared" si="159"/>
        <v>1148.7524395535715</v>
      </c>
      <c r="F609" s="377">
        <f t="shared" si="159"/>
        <v>1148.7524395535715</v>
      </c>
      <c r="G609" s="377">
        <f t="shared" si="159"/>
        <v>1148.7524395535715</v>
      </c>
      <c r="H609" s="377">
        <f t="shared" si="159"/>
        <v>1148.7524395535715</v>
      </c>
      <c r="I609" s="377">
        <f t="shared" si="159"/>
        <v>1148.7524395535715</v>
      </c>
      <c r="J609" s="377">
        <f t="shared" si="159"/>
        <v>1148.7524395535715</v>
      </c>
      <c r="K609" s="377">
        <f t="shared" si="159"/>
        <v>1148.7524395535715</v>
      </c>
      <c r="L609" s="377">
        <f t="shared" si="159"/>
        <v>1148.7524395535715</v>
      </c>
      <c r="M609" s="377">
        <f t="shared" si="159"/>
        <v>0</v>
      </c>
      <c r="N609" s="377">
        <f t="shared" si="159"/>
        <v>0</v>
      </c>
      <c r="O609" s="377">
        <f t="shared" si="159"/>
        <v>0</v>
      </c>
      <c r="P609" s="377">
        <f t="shared" si="159"/>
        <v>0</v>
      </c>
      <c r="Q609" s="377">
        <f t="shared" si="159"/>
        <v>0</v>
      </c>
    </row>
    <row r="610" spans="1:17" ht="14.4">
      <c r="A610" s="395" t="s">
        <v>332</v>
      </c>
      <c r="B610" s="378">
        <f>+Baseline_NaturalGas!C543</f>
        <v>0</v>
      </c>
      <c r="C610" s="367">
        <f>+Baseline_NaturalGas!D543</f>
        <v>0</v>
      </c>
      <c r="D610" s="367">
        <f>+Baseline_NaturalGas!E543</f>
        <v>0</v>
      </c>
      <c r="E610" s="367">
        <f>+Baseline_NaturalGas!F543</f>
        <v>0</v>
      </c>
      <c r="F610" s="367">
        <f>+Baseline_NaturalGas!G543</f>
        <v>0</v>
      </c>
      <c r="G610" s="367">
        <f>+Baseline_NaturalGas!H543</f>
        <v>0</v>
      </c>
      <c r="H610" s="367">
        <f>+Baseline_NaturalGas!I543</f>
        <v>0</v>
      </c>
      <c r="I610" s="367">
        <f>+Baseline_NaturalGas!J543</f>
        <v>0</v>
      </c>
      <c r="J610" s="367">
        <f>+Baseline_NaturalGas!K543</f>
        <v>0</v>
      </c>
      <c r="K610" s="367">
        <f>+Baseline_NaturalGas!L543</f>
        <v>0</v>
      </c>
      <c r="L610" s="367">
        <f>+Baseline_NaturalGas!M543</f>
        <v>0</v>
      </c>
      <c r="M610" s="367">
        <f>+Baseline_NaturalGas!N543</f>
        <v>0</v>
      </c>
      <c r="N610" s="367">
        <f>+Baseline_NaturalGas!O543</f>
        <v>0</v>
      </c>
      <c r="O610" s="367">
        <f>+Baseline_NaturalGas!P543</f>
        <v>0</v>
      </c>
      <c r="P610" s="367">
        <f>+Baseline_NaturalGas!Q543</f>
        <v>0</v>
      </c>
      <c r="Q610" s="367">
        <f>+Baseline_NaturalGas!R543</f>
        <v>0</v>
      </c>
    </row>
    <row r="611" spans="1:17" ht="14.4">
      <c r="A611" s="510"/>
      <c r="B611" s="511"/>
      <c r="C611" s="511"/>
      <c r="D611" s="511"/>
      <c r="E611" s="511"/>
      <c r="F611" s="511"/>
      <c r="G611" s="511"/>
      <c r="H611" s="511"/>
      <c r="I611" s="511"/>
      <c r="J611" s="511"/>
      <c r="K611" s="511"/>
      <c r="L611" s="511"/>
      <c r="M611" s="511"/>
      <c r="N611" s="511"/>
      <c r="O611" s="511"/>
      <c r="P611" s="511"/>
      <c r="Q611" s="511"/>
    </row>
    <row r="612" spans="1:17" ht="14.4">
      <c r="A612" s="366" t="s">
        <v>110</v>
      </c>
      <c r="B612" s="378">
        <f>-Baseline_NaturalGas!$D$5</f>
        <v>-11487.524395535715</v>
      </c>
      <c r="C612" s="367">
        <f>+C608+C609+C610</f>
        <v>22082.639355042033</v>
      </c>
      <c r="D612" s="367">
        <f t="shared" ref="D612:Q612" si="160">+D608+D609+D610</f>
        <v>22785.577208506744</v>
      </c>
      <c r="E612" s="367">
        <f t="shared" si="160"/>
        <v>23392.456574635682</v>
      </c>
      <c r="F612" s="367">
        <f t="shared" si="160"/>
        <v>23960.491429137728</v>
      </c>
      <c r="G612" s="367">
        <f t="shared" si="160"/>
        <v>24660.406220972785</v>
      </c>
      <c r="H612" s="367">
        <f t="shared" si="160"/>
        <v>25265.695365643696</v>
      </c>
      <c r="I612" s="367">
        <f t="shared" si="160"/>
        <v>25833.611376515248</v>
      </c>
      <c r="J612" s="367">
        <f t="shared" si="160"/>
        <v>26593.994255064186</v>
      </c>
      <c r="K612" s="367">
        <f t="shared" si="160"/>
        <v>27374.755394758235</v>
      </c>
      <c r="L612" s="367">
        <f t="shared" si="160"/>
        <v>28176.440932996084</v>
      </c>
      <c r="M612" s="367">
        <f t="shared" si="160"/>
        <v>28195.48493597121</v>
      </c>
      <c r="N612" s="367">
        <f t="shared" si="160"/>
        <v>29040.716621679574</v>
      </c>
      <c r="O612" s="367">
        <f t="shared" si="160"/>
        <v>29908.600516564955</v>
      </c>
      <c r="P612" s="367">
        <f t="shared" si="160"/>
        <v>30799.743699833241</v>
      </c>
      <c r="Q612" s="367">
        <f t="shared" si="160"/>
        <v>31714.769520413116</v>
      </c>
    </row>
    <row r="613" spans="1:17" ht="15.6">
      <c r="A613" s="366" t="s">
        <v>51</v>
      </c>
      <c r="B613" s="132">
        <f>IRR(B612:Q612)</f>
        <v>1.9521878887868913</v>
      </c>
      <c r="C613" s="390"/>
      <c r="D613" s="390"/>
      <c r="E613" s="390"/>
      <c r="F613" s="390"/>
      <c r="G613" s="390"/>
      <c r="H613" s="390"/>
      <c r="I613" s="390"/>
      <c r="J613" s="390"/>
      <c r="K613" s="390"/>
      <c r="L613" s="390"/>
      <c r="M613" s="390"/>
      <c r="N613" s="390"/>
      <c r="O613" s="390"/>
      <c r="P613" s="390"/>
      <c r="Q613" s="390"/>
    </row>
    <row r="614" spans="1:17" ht="15.6">
      <c r="A614" s="366" t="s">
        <v>267</v>
      </c>
      <c r="B614" s="303">
        <f>NPV('Initial Data'!$C$21/100,B612:Q612)</f>
        <v>143701.08550769649</v>
      </c>
      <c r="C614" s="373"/>
      <c r="D614" s="373"/>
      <c r="E614" s="373"/>
      <c r="F614" s="373"/>
      <c r="G614" s="373"/>
      <c r="H614" s="373"/>
      <c r="I614" s="373"/>
      <c r="J614" s="373"/>
      <c r="K614" s="373"/>
      <c r="L614" s="373"/>
      <c r="M614" s="373"/>
      <c r="N614" s="373"/>
      <c r="O614" s="373"/>
      <c r="P614" s="373"/>
      <c r="Q614" s="373"/>
    </row>
    <row r="615" spans="1:17" ht="14.4">
      <c r="A615" s="370"/>
      <c r="B615" s="391"/>
      <c r="C615" s="392"/>
      <c r="D615" s="392"/>
      <c r="E615" s="392"/>
      <c r="F615" s="392"/>
      <c r="G615" s="392"/>
      <c r="H615" s="392"/>
      <c r="I615" s="392"/>
      <c r="J615" s="392"/>
      <c r="K615" s="392"/>
      <c r="L615" s="392"/>
      <c r="M615" s="392"/>
      <c r="N615" s="392"/>
      <c r="O615" s="392"/>
      <c r="P615" s="392"/>
      <c r="Q615" s="392"/>
    </row>
    <row r="616" spans="1:17" ht="14.4">
      <c r="A616" s="508" t="s">
        <v>337</v>
      </c>
      <c r="B616" s="509"/>
      <c r="C616" s="509"/>
      <c r="D616" s="509"/>
      <c r="E616" s="509"/>
      <c r="F616" s="509"/>
      <c r="G616" s="509"/>
      <c r="H616" s="509"/>
      <c r="I616" s="509"/>
      <c r="J616" s="509"/>
      <c r="K616" s="509"/>
      <c r="L616" s="509"/>
      <c r="M616" s="509"/>
      <c r="N616" s="509"/>
      <c r="O616" s="509"/>
      <c r="P616" s="509"/>
      <c r="Q616" s="509"/>
    </row>
    <row r="617" spans="1:17" ht="14.4">
      <c r="A617" s="371" t="s">
        <v>321</v>
      </c>
      <c r="B617" s="372"/>
      <c r="C617" s="372"/>
      <c r="D617" s="372"/>
      <c r="E617" s="372"/>
      <c r="F617" s="372"/>
      <c r="G617" s="372"/>
      <c r="H617" s="372"/>
      <c r="I617" s="372"/>
      <c r="J617" s="372"/>
      <c r="K617" s="372"/>
      <c r="L617" s="372"/>
      <c r="M617" s="372"/>
      <c r="N617" s="372"/>
      <c r="O617" s="372"/>
      <c r="P617" s="372"/>
      <c r="Q617" s="372"/>
    </row>
    <row r="618" spans="1:17" ht="27">
      <c r="A618" s="376"/>
      <c r="B618" s="304" t="s">
        <v>35</v>
      </c>
      <c r="C618" s="352" t="s">
        <v>407</v>
      </c>
      <c r="D618" s="352" t="s">
        <v>408</v>
      </c>
      <c r="E618" s="352" t="s">
        <v>409</v>
      </c>
      <c r="F618" s="352" t="s">
        <v>410</v>
      </c>
      <c r="G618" s="352" t="s">
        <v>411</v>
      </c>
      <c r="H618" s="352" t="s">
        <v>412</v>
      </c>
      <c r="I618" s="352" t="s">
        <v>413</v>
      </c>
      <c r="J618" s="352" t="s">
        <v>414</v>
      </c>
      <c r="K618" s="352" t="s">
        <v>415</v>
      </c>
      <c r="L618" s="352" t="s">
        <v>416</v>
      </c>
      <c r="M618" s="352" t="s">
        <v>417</v>
      </c>
      <c r="N618" s="352" t="s">
        <v>418</v>
      </c>
      <c r="O618" s="352" t="s">
        <v>419</v>
      </c>
      <c r="P618" s="352" t="s">
        <v>420</v>
      </c>
      <c r="Q618" s="352" t="s">
        <v>421</v>
      </c>
    </row>
    <row r="619" spans="1:17" ht="14.4">
      <c r="A619" s="363" t="s">
        <v>290</v>
      </c>
      <c r="B619" s="365"/>
      <c r="C619" s="367">
        <f>+Baseline_NaturalGas!D10</f>
        <v>219000</v>
      </c>
      <c r="D619" s="367">
        <f>+Baseline_NaturalGas!E10</f>
        <v>219000</v>
      </c>
      <c r="E619" s="367">
        <f>+Baseline_NaturalGas!F10</f>
        <v>219000</v>
      </c>
      <c r="F619" s="367">
        <f>+Baseline_NaturalGas!G10</f>
        <v>219000</v>
      </c>
      <c r="G619" s="367">
        <f>+Baseline_NaturalGas!H10</f>
        <v>219000</v>
      </c>
      <c r="H619" s="367">
        <f>+Baseline_NaturalGas!I10</f>
        <v>219000</v>
      </c>
      <c r="I619" s="367">
        <f>+Baseline_NaturalGas!J10</f>
        <v>219000</v>
      </c>
      <c r="J619" s="367">
        <f>+Baseline_NaturalGas!K10</f>
        <v>219000</v>
      </c>
      <c r="K619" s="367">
        <f>+Baseline_NaturalGas!L10</f>
        <v>219000</v>
      </c>
      <c r="L619" s="367">
        <f>+Baseline_NaturalGas!M10</f>
        <v>219000</v>
      </c>
      <c r="M619" s="367">
        <f>+Baseline_NaturalGas!N10</f>
        <v>219000</v>
      </c>
      <c r="N619" s="367">
        <f>+Baseline_NaturalGas!O10</f>
        <v>219000</v>
      </c>
      <c r="O619" s="367">
        <f>+Baseline_NaturalGas!P10</f>
        <v>219000</v>
      </c>
      <c r="P619" s="367">
        <f>+Baseline_NaturalGas!Q10</f>
        <v>219000</v>
      </c>
      <c r="Q619" s="367">
        <f>+Baseline_NaturalGas!R10</f>
        <v>219000</v>
      </c>
    </row>
    <row r="620" spans="1:17" ht="14.4">
      <c r="A620" s="364" t="s">
        <v>291</v>
      </c>
      <c r="B620" s="365"/>
      <c r="C620" s="381">
        <f>'Initial Data'!$C$50*(1+'BL Sensitivity Analysis'!$C$7)-'Initial Data'!$C$51</f>
        <v>64</v>
      </c>
      <c r="D620" s="381">
        <f>'Initial Data'!$C$50*(1+'BL Sensitivity Analysis'!$C$7)-'Initial Data'!$C$51</f>
        <v>64</v>
      </c>
      <c r="E620" s="381">
        <f>'Initial Data'!$C$50*(1+'BL Sensitivity Analysis'!$C$7)-'Initial Data'!$C$51</f>
        <v>64</v>
      </c>
      <c r="F620" s="381">
        <f>'Initial Data'!$C$50*(1+'BL Sensitivity Analysis'!$C$7)-'Initial Data'!$C$51</f>
        <v>64</v>
      </c>
      <c r="G620" s="381">
        <f>'Initial Data'!$C$50*(1+'BL Sensitivity Analysis'!$C$7)-'Initial Data'!$C$51</f>
        <v>64</v>
      </c>
      <c r="H620" s="381">
        <f>'Initial Data'!$C$50*(1+'BL Sensitivity Analysis'!$C$7)-'Initial Data'!$C$51</f>
        <v>64</v>
      </c>
      <c r="I620" s="381">
        <f>'Initial Data'!$C$50*(1+'BL Sensitivity Analysis'!$C$7)-'Initial Data'!$C$51</f>
        <v>64</v>
      </c>
      <c r="J620" s="381">
        <f>'Initial Data'!$C$50*(1+'BL Sensitivity Analysis'!$C$7)-'Initial Data'!$C$51</f>
        <v>64</v>
      </c>
      <c r="K620" s="381">
        <f>'Initial Data'!$C$50*(1+'BL Sensitivity Analysis'!$C$7)-'Initial Data'!$C$51</f>
        <v>64</v>
      </c>
      <c r="L620" s="381">
        <f>'Initial Data'!$C$50*(1+'BL Sensitivity Analysis'!$C$7)-'Initial Data'!$C$51</f>
        <v>64</v>
      </c>
      <c r="M620" s="381">
        <f>'Initial Data'!$C$50*(1+'BL Sensitivity Analysis'!$C$7)-'Initial Data'!$C$51</f>
        <v>64</v>
      </c>
      <c r="N620" s="381">
        <f>'Initial Data'!$C$50*(1+'BL Sensitivity Analysis'!$C$7)-'Initial Data'!$C$51</f>
        <v>64</v>
      </c>
      <c r="O620" s="381">
        <f>'Initial Data'!$C$50*(1+'BL Sensitivity Analysis'!$C$7)-'Initial Data'!$C$51</f>
        <v>64</v>
      </c>
      <c r="P620" s="381">
        <f>'Initial Data'!$C$50*(1+'BL Sensitivity Analysis'!$C$7)-'Initial Data'!$C$51</f>
        <v>64</v>
      </c>
      <c r="Q620" s="381">
        <f>'Initial Data'!$C$50*(1+'BL Sensitivity Analysis'!$C$7)-'Initial Data'!$C$51</f>
        <v>64</v>
      </c>
    </row>
    <row r="621" spans="1:17" ht="14.4">
      <c r="A621" s="366" t="s">
        <v>292</v>
      </c>
      <c r="B621" s="365"/>
      <c r="C621" s="375">
        <f>+Baseline_NaturalGas!D12</f>
        <v>6.4285714285714288</v>
      </c>
      <c r="D621" s="375">
        <f>+Baseline_NaturalGas!E12</f>
        <v>6.6008571428571425</v>
      </c>
      <c r="E621" s="375">
        <f>+Baseline_NaturalGas!F12</f>
        <v>6.7777601142857131</v>
      </c>
      <c r="F621" s="375">
        <f>+Baseline_NaturalGas!G12</f>
        <v>6.9594040853485701</v>
      </c>
      <c r="G621" s="375">
        <f>+Baseline_NaturalGas!H12</f>
        <v>7.1459161148359112</v>
      </c>
      <c r="H621" s="375">
        <f>+Baseline_NaturalGas!I12</f>
        <v>7.3374266667135135</v>
      </c>
      <c r="I621" s="375">
        <f>+Baseline_NaturalGas!J12</f>
        <v>7.5340697013814353</v>
      </c>
      <c r="J621" s="375">
        <f>+Baseline_NaturalGas!K12</f>
        <v>7.7359827693784569</v>
      </c>
      <c r="K621" s="375">
        <f>+Baseline_NaturalGas!L12</f>
        <v>7.943307107597799</v>
      </c>
      <c r="L621" s="375">
        <f>+Baseline_NaturalGas!M12</f>
        <v>8.1561877380814192</v>
      </c>
      <c r="M621" s="375">
        <f>+Baseline_NaturalGas!N12</f>
        <v>8.3747735694620005</v>
      </c>
      <c r="N621" s="375">
        <f>+Baseline_NaturalGas!O12</f>
        <v>8.5992175011235812</v>
      </c>
      <c r="O621" s="375">
        <f>+Baseline_NaturalGas!P12</f>
        <v>8.8296765301536926</v>
      </c>
      <c r="P621" s="375">
        <f>+Baseline_NaturalGas!Q12</f>
        <v>9.066311861161811</v>
      </c>
      <c r="Q621" s="375">
        <f>+Baseline_NaturalGas!R12</f>
        <v>9.3092890190409463</v>
      </c>
    </row>
    <row r="622" spans="1:17" ht="14.4">
      <c r="A622" s="366" t="s">
        <v>293</v>
      </c>
      <c r="B622" s="365"/>
      <c r="C622" s="367">
        <f>+C620*C621</f>
        <v>411.42857142857144</v>
      </c>
      <c r="D622" s="367">
        <f t="shared" ref="D622:Q622" si="161">+D620*D621</f>
        <v>422.45485714285712</v>
      </c>
      <c r="E622" s="367">
        <f t="shared" si="161"/>
        <v>433.77664731428564</v>
      </c>
      <c r="F622" s="367">
        <f t="shared" si="161"/>
        <v>445.40186146230849</v>
      </c>
      <c r="G622" s="367">
        <f t="shared" si="161"/>
        <v>457.33863134949831</v>
      </c>
      <c r="H622" s="367">
        <f t="shared" si="161"/>
        <v>469.59530666966486</v>
      </c>
      <c r="I622" s="367">
        <f t="shared" si="161"/>
        <v>482.18046088841186</v>
      </c>
      <c r="J622" s="367">
        <f t="shared" si="161"/>
        <v>495.10289724022124</v>
      </c>
      <c r="K622" s="367">
        <f t="shared" si="161"/>
        <v>508.37165488625914</v>
      </c>
      <c r="L622" s="367">
        <f t="shared" si="161"/>
        <v>521.99601523721083</v>
      </c>
      <c r="M622" s="367">
        <f t="shared" si="161"/>
        <v>535.98550844556803</v>
      </c>
      <c r="N622" s="367">
        <f t="shared" si="161"/>
        <v>550.3499200719092</v>
      </c>
      <c r="O622" s="367">
        <f t="shared" si="161"/>
        <v>565.09929792983633</v>
      </c>
      <c r="P622" s="367">
        <f t="shared" si="161"/>
        <v>580.2439591143559</v>
      </c>
      <c r="Q622" s="367">
        <f t="shared" si="161"/>
        <v>595.79449721862056</v>
      </c>
    </row>
    <row r="623" spans="1:17" ht="14.4">
      <c r="A623" s="370"/>
      <c r="B623" s="373"/>
      <c r="C623" s="373"/>
      <c r="D623" s="373"/>
      <c r="E623" s="373"/>
      <c r="F623" s="373"/>
      <c r="G623" s="373"/>
      <c r="H623" s="373"/>
      <c r="I623" s="373"/>
      <c r="J623" s="373"/>
      <c r="K623" s="373"/>
      <c r="L623" s="373"/>
      <c r="M623" s="373"/>
      <c r="N623" s="373"/>
      <c r="O623" s="373"/>
      <c r="P623" s="373"/>
      <c r="Q623" s="373"/>
    </row>
    <row r="624" spans="1:17" ht="14.4">
      <c r="A624" s="366" t="s">
        <v>294</v>
      </c>
      <c r="B624" s="378">
        <f>+SUM(C624:Q624)</f>
        <v>1637051.2989215078</v>
      </c>
      <c r="C624" s="377">
        <f>C619*C622/1000*'Initial Data'!$C$34/'Initial Data'!$C$33</f>
        <v>90102.857142857145</v>
      </c>
      <c r="D624" s="377">
        <f>D619*D622/1000*'Initial Data'!$C$34/'Initial Data'!$C$33</f>
        <v>92517.613714285719</v>
      </c>
      <c r="E624" s="377">
        <f>E619*E622/1000*'Initial Data'!$C$34/'Initial Data'!$C$33</f>
        <v>94997.085761828552</v>
      </c>
      <c r="F624" s="377">
        <f>F619*F622/1000*'Initial Data'!$C$34/'Initial Data'!$C$33</f>
        <v>97543.007660245552</v>
      </c>
      <c r="G624" s="377">
        <f>G619*G622/1000*'Initial Data'!$C$34/'Initial Data'!$C$33</f>
        <v>100157.16026554014</v>
      </c>
      <c r="H624" s="377">
        <f>H619*H622/1000*'Initial Data'!$C$34/'Initial Data'!$C$33</f>
        <v>102841.3721606566</v>
      </c>
      <c r="I624" s="377">
        <f>I619*I622/1000*'Initial Data'!$C$34/'Initial Data'!$C$33</f>
        <v>105597.52093456218</v>
      </c>
      <c r="J624" s="377">
        <f>J619*J622/1000*'Initial Data'!$C$34/'Initial Data'!$C$33</f>
        <v>108427.53449560844</v>
      </c>
      <c r="K624" s="377">
        <f>K619*K622/1000*'Initial Data'!$C$34/'Initial Data'!$C$33</f>
        <v>111333.39242009075</v>
      </c>
      <c r="L624" s="377">
        <f>L619*L622/1000*'Initial Data'!$C$34/'Initial Data'!$C$33</f>
        <v>114317.12733694917</v>
      </c>
      <c r="M624" s="377">
        <f>M619*M622/1000*'Initial Data'!$C$34/'Initial Data'!$C$33</f>
        <v>117380.82634957939</v>
      </c>
      <c r="N624" s="377">
        <f>N619*N622/1000*'Initial Data'!$C$34/'Initial Data'!$C$33</f>
        <v>120526.63249574811</v>
      </c>
      <c r="O624" s="377">
        <f>O619*O622/1000*'Initial Data'!$C$34/'Initial Data'!$C$33</f>
        <v>123756.74624663414</v>
      </c>
      <c r="P624" s="377">
        <f>P619*P622/1000*'Initial Data'!$C$34/'Initial Data'!$C$33</f>
        <v>127073.42704604393</v>
      </c>
      <c r="Q624" s="377">
        <f>Q619*Q622/1000*'Initial Data'!$C$34/'Initial Data'!$C$33</f>
        <v>130478.99489087792</v>
      </c>
    </row>
    <row r="625" spans="1:17" ht="14.4">
      <c r="A625" s="370"/>
      <c r="B625" s="373"/>
      <c r="C625" s="373"/>
      <c r="D625" s="373"/>
      <c r="E625" s="373"/>
      <c r="F625" s="373"/>
      <c r="G625" s="373"/>
      <c r="H625" s="373"/>
      <c r="I625" s="373"/>
      <c r="J625" s="373"/>
      <c r="K625" s="373"/>
      <c r="L625" s="373"/>
      <c r="M625" s="373"/>
      <c r="N625" s="373"/>
      <c r="O625" s="373"/>
      <c r="P625" s="373"/>
      <c r="Q625" s="373"/>
    </row>
    <row r="626" spans="1:17" ht="14.4">
      <c r="A626" s="366" t="s">
        <v>295</v>
      </c>
      <c r="B626" s="378">
        <f>+SUM(C626:Q626)</f>
        <v>1637051.2989215078</v>
      </c>
      <c r="C626" s="367">
        <f>+C624</f>
        <v>90102.857142857145</v>
      </c>
      <c r="D626" s="367">
        <f t="shared" ref="D626:Q626" si="162">+D624</f>
        <v>92517.613714285719</v>
      </c>
      <c r="E626" s="367">
        <f t="shared" si="162"/>
        <v>94997.085761828552</v>
      </c>
      <c r="F626" s="367">
        <f t="shared" si="162"/>
        <v>97543.007660245552</v>
      </c>
      <c r="G626" s="367">
        <f t="shared" si="162"/>
        <v>100157.16026554014</v>
      </c>
      <c r="H626" s="367">
        <f t="shared" si="162"/>
        <v>102841.3721606566</v>
      </c>
      <c r="I626" s="367">
        <f t="shared" si="162"/>
        <v>105597.52093456218</v>
      </c>
      <c r="J626" s="367">
        <f t="shared" si="162"/>
        <v>108427.53449560844</v>
      </c>
      <c r="K626" s="367">
        <f t="shared" si="162"/>
        <v>111333.39242009075</v>
      </c>
      <c r="L626" s="367">
        <f t="shared" si="162"/>
        <v>114317.12733694917</v>
      </c>
      <c r="M626" s="367">
        <f t="shared" si="162"/>
        <v>117380.82634957939</v>
      </c>
      <c r="N626" s="367">
        <f t="shared" si="162"/>
        <v>120526.63249574811</v>
      </c>
      <c r="O626" s="367">
        <f t="shared" si="162"/>
        <v>123756.74624663414</v>
      </c>
      <c r="P626" s="367">
        <f t="shared" si="162"/>
        <v>127073.42704604393</v>
      </c>
      <c r="Q626" s="367">
        <f t="shared" si="162"/>
        <v>130478.99489087792</v>
      </c>
    </row>
    <row r="627" spans="1:17" ht="14.4">
      <c r="A627" s="370"/>
      <c r="B627" s="374"/>
      <c r="C627" s="374"/>
      <c r="D627" s="374"/>
      <c r="E627" s="374"/>
      <c r="F627" s="374"/>
      <c r="G627" s="374"/>
      <c r="H627" s="374"/>
      <c r="I627" s="374"/>
      <c r="J627" s="374"/>
      <c r="K627" s="374"/>
      <c r="L627" s="374"/>
      <c r="M627" s="374"/>
      <c r="N627" s="374"/>
      <c r="O627" s="374"/>
      <c r="P627" s="374"/>
      <c r="Q627" s="374"/>
    </row>
    <row r="628" spans="1:17" ht="14.4">
      <c r="A628" s="366" t="s">
        <v>68</v>
      </c>
      <c r="B628" s="368"/>
      <c r="C628" s="368"/>
      <c r="D628" s="368"/>
      <c r="E628" s="368"/>
      <c r="F628" s="368"/>
      <c r="G628" s="368"/>
      <c r="H628" s="368"/>
      <c r="I628" s="368"/>
      <c r="J628" s="368"/>
      <c r="K628" s="368"/>
      <c r="L628" s="368"/>
      <c r="M628" s="368"/>
      <c r="N628" s="368"/>
      <c r="O628" s="368"/>
      <c r="P628" s="368"/>
      <c r="Q628" s="368"/>
    </row>
    <row r="629" spans="1:17" ht="14.4">
      <c r="A629" s="366" t="s">
        <v>330</v>
      </c>
      <c r="B629" s="378">
        <f>+SUM(C629:Q629)</f>
        <v>17405.991521183645</v>
      </c>
      <c r="C629" s="377">
        <f>+Baseline_NaturalGas!D20</f>
        <v>958.02102749999995</v>
      </c>
      <c r="D629" s="377">
        <f>+Baseline_NaturalGas!E20</f>
        <v>983.69599103699989</v>
      </c>
      <c r="E629" s="377">
        <f>+Baseline_NaturalGas!F20</f>
        <v>1010.0590435967914</v>
      </c>
      <c r="F629" s="377">
        <f>+Baseline_NaturalGas!G20</f>
        <v>1037.1286259651854</v>
      </c>
      <c r="G629" s="377">
        <f>+Baseline_NaturalGas!H20</f>
        <v>1064.9236731410524</v>
      </c>
      <c r="H629" s="377">
        <f>+Baseline_NaturalGas!I20</f>
        <v>1093.4636275812325</v>
      </c>
      <c r="I629" s="377">
        <f>+Baseline_NaturalGas!J20</f>
        <v>1122.7684528004095</v>
      </c>
      <c r="J629" s="377">
        <f>+Baseline_NaturalGas!K20</f>
        <v>1152.8586473354603</v>
      </c>
      <c r="K629" s="377">
        <f>+Baseline_NaturalGas!L20</f>
        <v>1183.7552590840505</v>
      </c>
      <c r="L629" s="377">
        <f>+Baseline_NaturalGas!M20</f>
        <v>1215.4799000275029</v>
      </c>
      <c r="M629" s="377">
        <f>+Baseline_NaturalGas!N20</f>
        <v>1248.0547613482399</v>
      </c>
      <c r="N629" s="377">
        <f>+Baseline_NaturalGas!O20</f>
        <v>1281.5026289523728</v>
      </c>
      <c r="O629" s="377">
        <f>+Baseline_NaturalGas!P20</f>
        <v>1315.8468994082964</v>
      </c>
      <c r="P629" s="377">
        <f>+Baseline_NaturalGas!Q20</f>
        <v>1351.1115963124387</v>
      </c>
      <c r="Q629" s="377">
        <f>+Baseline_NaturalGas!R20</f>
        <v>1387.321387093612</v>
      </c>
    </row>
    <row r="630" spans="1:17" ht="14.4">
      <c r="A630" s="370"/>
      <c r="B630" s="369"/>
      <c r="C630" s="369"/>
      <c r="D630" s="369"/>
      <c r="E630" s="369"/>
      <c r="F630" s="369"/>
      <c r="G630" s="369"/>
      <c r="H630" s="369"/>
      <c r="I630" s="369"/>
      <c r="J630" s="369"/>
      <c r="K630" s="369"/>
      <c r="L630" s="369"/>
      <c r="M630" s="369"/>
      <c r="N630" s="369"/>
      <c r="O630" s="369"/>
      <c r="P630" s="369"/>
      <c r="Q630" s="369"/>
    </row>
    <row r="631" spans="1:17" ht="14.4">
      <c r="A631" s="366" t="s">
        <v>71</v>
      </c>
      <c r="B631" s="379"/>
      <c r="C631" s="379"/>
      <c r="D631" s="379"/>
      <c r="E631" s="379"/>
      <c r="F631" s="379"/>
      <c r="G631" s="379"/>
      <c r="H631" s="379"/>
      <c r="I631" s="379"/>
      <c r="J631" s="379"/>
      <c r="K631" s="379"/>
      <c r="L631" s="379"/>
      <c r="M631" s="379"/>
      <c r="N631" s="379"/>
      <c r="O631" s="379"/>
      <c r="P631" s="379"/>
      <c r="Q631" s="379"/>
    </row>
    <row r="632" spans="1:17" ht="14.4">
      <c r="A632" s="370"/>
      <c r="B632" s="379"/>
      <c r="C632" s="379"/>
      <c r="D632" s="379"/>
      <c r="E632" s="379"/>
      <c r="F632" s="379"/>
      <c r="G632" s="379"/>
      <c r="H632" s="379"/>
      <c r="I632" s="379"/>
      <c r="J632" s="379"/>
      <c r="K632" s="379"/>
      <c r="L632" s="379"/>
      <c r="M632" s="379"/>
      <c r="N632" s="379"/>
      <c r="O632" s="379"/>
      <c r="P632" s="379"/>
      <c r="Q632" s="379"/>
    </row>
    <row r="633" spans="1:17" ht="14.4">
      <c r="A633" s="366" t="s">
        <v>64</v>
      </c>
      <c r="B633" s="373"/>
      <c r="C633" s="377">
        <f>+Baseline_NaturalGas!D24</f>
        <v>1656.5089715892002</v>
      </c>
      <c r="D633" s="377">
        <f>+Baseline_NaturalGas!E24</f>
        <v>1656.5089715892002</v>
      </c>
      <c r="E633" s="377">
        <f>+Baseline_NaturalGas!F24</f>
        <v>1656.5089715892002</v>
      </c>
      <c r="F633" s="377">
        <f>+Baseline_NaturalGas!G24</f>
        <v>1656.5089715892002</v>
      </c>
      <c r="G633" s="377">
        <f>+Baseline_NaturalGas!H24</f>
        <v>1656.5089715892002</v>
      </c>
      <c r="H633" s="377">
        <f>+Baseline_NaturalGas!I24</f>
        <v>1656.5089715892002</v>
      </c>
      <c r="I633" s="377">
        <f>+Baseline_NaturalGas!J24</f>
        <v>1656.5089715892002</v>
      </c>
      <c r="J633" s="377">
        <f>+Baseline_NaturalGas!K24</f>
        <v>1656.5089715892002</v>
      </c>
      <c r="K633" s="377">
        <f>+Baseline_NaturalGas!L24</f>
        <v>1656.5089715892002</v>
      </c>
      <c r="L633" s="377">
        <f>+Baseline_NaturalGas!M24</f>
        <v>1656.5089715892002</v>
      </c>
      <c r="M633" s="377">
        <f>+Baseline_NaturalGas!N24</f>
        <v>1656.5089715892002</v>
      </c>
      <c r="N633" s="377">
        <f>+Baseline_NaturalGas!O24</f>
        <v>1656.5089715892002</v>
      </c>
      <c r="O633" s="377">
        <f>+Baseline_NaturalGas!P24</f>
        <v>1656.5089715892002</v>
      </c>
      <c r="P633" s="377">
        <f>+Baseline_NaturalGas!Q24</f>
        <v>1656.5089715892002</v>
      </c>
      <c r="Q633" s="377">
        <f>+Baseline_NaturalGas!R24</f>
        <v>1656.5089715892002</v>
      </c>
    </row>
    <row r="634" spans="1:17" ht="14.4">
      <c r="A634" s="366" t="s">
        <v>108</v>
      </c>
      <c r="B634" s="387">
        <f>+Baseline_NaturalGas!C25</f>
        <v>0.90200000000000002</v>
      </c>
      <c r="C634" s="373"/>
      <c r="D634" s="373"/>
      <c r="E634" s="373"/>
      <c r="F634" s="373"/>
      <c r="G634" s="373"/>
      <c r="H634" s="373"/>
      <c r="I634" s="373"/>
      <c r="J634" s="373"/>
      <c r="K634" s="373"/>
      <c r="L634" s="373"/>
      <c r="M634" s="373"/>
      <c r="N634" s="373"/>
      <c r="O634" s="373"/>
      <c r="P634" s="373"/>
      <c r="Q634" s="373"/>
    </row>
    <row r="635" spans="1:17" ht="14.4">
      <c r="A635" s="366" t="s">
        <v>346</v>
      </c>
      <c r="B635" s="373"/>
      <c r="C635" s="377">
        <f>+Baseline_NaturalGas!D26</f>
        <v>1741816.7092883086</v>
      </c>
      <c r="D635" s="377">
        <f>+Baseline_NaturalGas!E26</f>
        <v>1741816.7092883086</v>
      </c>
      <c r="E635" s="377">
        <f>+Baseline_NaturalGas!F26</f>
        <v>1741816.7092883086</v>
      </c>
      <c r="F635" s="377">
        <f>+Baseline_NaturalGas!G26</f>
        <v>1741816.7092883086</v>
      </c>
      <c r="G635" s="377">
        <f>+Baseline_NaturalGas!H26</f>
        <v>1741816.7092883086</v>
      </c>
      <c r="H635" s="377">
        <f>+Baseline_NaturalGas!I26</f>
        <v>1741816.7092883086</v>
      </c>
      <c r="I635" s="377">
        <f>+Baseline_NaturalGas!J26</f>
        <v>1741816.7092883086</v>
      </c>
      <c r="J635" s="377">
        <f>+Baseline_NaturalGas!K26</f>
        <v>1741816.7092883086</v>
      </c>
      <c r="K635" s="377">
        <f>+Baseline_NaturalGas!L26</f>
        <v>1741816.7092883086</v>
      </c>
      <c r="L635" s="377">
        <f>+Baseline_NaturalGas!M26</f>
        <v>1741816.7092883086</v>
      </c>
      <c r="M635" s="377">
        <f>+Baseline_NaturalGas!N26</f>
        <v>1741816.7092883086</v>
      </c>
      <c r="N635" s="377">
        <f>+Baseline_NaturalGas!O26</f>
        <v>1741816.7092883086</v>
      </c>
      <c r="O635" s="377">
        <f>+Baseline_NaturalGas!P26</f>
        <v>1741816.7092883086</v>
      </c>
      <c r="P635" s="377">
        <f>+Baseline_NaturalGas!Q26</f>
        <v>1741816.7092883086</v>
      </c>
      <c r="Q635" s="377">
        <f>+Baseline_NaturalGas!R26</f>
        <v>1741816.7092883086</v>
      </c>
    </row>
    <row r="636" spans="1:17" ht="14.4">
      <c r="A636" s="366" t="s">
        <v>66</v>
      </c>
      <c r="B636" s="373"/>
      <c r="C636" s="377">
        <f>+Baseline_NaturalGas!D27</f>
        <v>5.6086944825694198</v>
      </c>
      <c r="D636" s="377">
        <f>+Baseline_NaturalGas!E27</f>
        <v>5.5051083831058802</v>
      </c>
      <c r="E636" s="377">
        <f>+Baseline_NaturalGas!F27</f>
        <v>5.61862622286578</v>
      </c>
      <c r="F636" s="377">
        <f>+Baseline_NaturalGas!G27</f>
        <v>5.8406487933251103</v>
      </c>
      <c r="G636" s="377">
        <f>+Baseline_NaturalGas!H27</f>
        <v>5.8453745748678001</v>
      </c>
      <c r="H636" s="377">
        <f>+Baseline_NaturalGas!I27</f>
        <v>6.0672099673130804</v>
      </c>
      <c r="I636" s="377">
        <f>+Baseline_NaturalGas!J27</f>
        <v>6.39755565092754</v>
      </c>
      <c r="J636" s="377">
        <f>+Baseline_NaturalGas!K27</f>
        <v>6.39755565092754</v>
      </c>
      <c r="K636" s="377">
        <f>+Baseline_NaturalGas!L27</f>
        <v>6.39755565092754</v>
      </c>
      <c r="L636" s="377">
        <f>+Baseline_NaturalGas!M27</f>
        <v>6.39755565092754</v>
      </c>
      <c r="M636" s="377">
        <f>+Baseline_NaturalGas!N27</f>
        <v>6.39755565092754</v>
      </c>
      <c r="N636" s="377">
        <f>+Baseline_NaturalGas!O27</f>
        <v>6.39755565092754</v>
      </c>
      <c r="O636" s="377">
        <f>+Baseline_NaturalGas!P27</f>
        <v>6.39755565092754</v>
      </c>
      <c r="P636" s="377">
        <f>+Baseline_NaturalGas!Q27</f>
        <v>6.39755565092754</v>
      </c>
      <c r="Q636" s="377">
        <f>+Baseline_NaturalGas!R27</f>
        <v>6.39755565092754</v>
      </c>
    </row>
    <row r="637" spans="1:17" ht="14.4">
      <c r="A637" s="370"/>
      <c r="B637" s="379"/>
      <c r="C637" s="379"/>
      <c r="D637" s="379"/>
      <c r="E637" s="379"/>
      <c r="F637" s="379"/>
      <c r="G637" s="379"/>
      <c r="H637" s="379"/>
      <c r="I637" s="379"/>
      <c r="J637" s="379"/>
      <c r="K637" s="379"/>
      <c r="L637" s="379"/>
      <c r="M637" s="379"/>
      <c r="N637" s="379"/>
      <c r="O637" s="379"/>
      <c r="P637" s="379"/>
      <c r="Q637" s="379"/>
    </row>
    <row r="638" spans="1:17" ht="14.4">
      <c r="A638" s="366" t="s">
        <v>102</v>
      </c>
      <c r="B638" s="378">
        <f t="shared" ref="B638" si="163">+SUM(C638:Q638)</f>
        <v>160358.02702356796</v>
      </c>
      <c r="C638" s="375">
        <f>+C635*C636/1000</f>
        <v>9769.3177670325604</v>
      </c>
      <c r="D638" s="375">
        <f>+D635*D636/1000</f>
        <v>9588.8897681369654</v>
      </c>
      <c r="E638" s="375">
        <f t="shared" ref="E638:Q638" si="164">+E635*E636/1000</f>
        <v>9786.6170382330711</v>
      </c>
      <c r="F638" s="375">
        <f t="shared" si="164"/>
        <v>10173.339661298274</v>
      </c>
      <c r="G638" s="375">
        <f t="shared" si="164"/>
        <v>10181.571106553778</v>
      </c>
      <c r="H638" s="375">
        <f t="shared" si="164"/>
        <v>10567.967699826495</v>
      </c>
      <c r="I638" s="375">
        <f t="shared" si="164"/>
        <v>11143.36933138743</v>
      </c>
      <c r="J638" s="375">
        <f t="shared" si="164"/>
        <v>11143.36933138743</v>
      </c>
      <c r="K638" s="375">
        <f t="shared" si="164"/>
        <v>11143.36933138743</v>
      </c>
      <c r="L638" s="375">
        <f t="shared" si="164"/>
        <v>11143.36933138743</v>
      </c>
      <c r="M638" s="375">
        <f t="shared" si="164"/>
        <v>11143.36933138743</v>
      </c>
      <c r="N638" s="375">
        <f t="shared" si="164"/>
        <v>11143.36933138743</v>
      </c>
      <c r="O638" s="375">
        <f t="shared" si="164"/>
        <v>11143.36933138743</v>
      </c>
      <c r="P638" s="375">
        <f t="shared" si="164"/>
        <v>11143.36933138743</v>
      </c>
      <c r="Q638" s="375">
        <f t="shared" si="164"/>
        <v>11143.36933138743</v>
      </c>
    </row>
    <row r="639" spans="1:17" ht="14.4">
      <c r="A639" s="370"/>
      <c r="B639" s="373"/>
      <c r="C639" s="373"/>
      <c r="D639" s="373"/>
      <c r="E639" s="373"/>
      <c r="F639" s="373"/>
      <c r="G639" s="373"/>
      <c r="H639" s="373"/>
      <c r="I639" s="373"/>
      <c r="J639" s="373"/>
      <c r="K639" s="373"/>
      <c r="L639" s="373"/>
      <c r="M639" s="373"/>
      <c r="N639" s="373"/>
      <c r="O639" s="373"/>
      <c r="P639" s="373"/>
      <c r="Q639" s="373"/>
    </row>
    <row r="640" spans="1:17" ht="14.4">
      <c r="A640" s="370"/>
      <c r="B640" s="379"/>
      <c r="C640" s="379"/>
      <c r="D640" s="379"/>
      <c r="E640" s="379"/>
      <c r="F640" s="379"/>
      <c r="G640" s="379"/>
      <c r="H640" s="379"/>
      <c r="I640" s="379"/>
      <c r="J640" s="379"/>
      <c r="K640" s="379"/>
      <c r="L640" s="379"/>
      <c r="M640" s="379"/>
      <c r="N640" s="379"/>
      <c r="O640" s="379"/>
      <c r="P640" s="379"/>
      <c r="Q640" s="379"/>
    </row>
    <row r="641" spans="1:17" ht="14.4">
      <c r="A641" s="366" t="s">
        <v>101</v>
      </c>
      <c r="B641" s="373"/>
      <c r="C641" s="375">
        <f>+C638+C629</f>
        <v>10727.338794532559</v>
      </c>
      <c r="D641" s="375">
        <f t="shared" ref="D641:Q641" si="165">+D638+D629</f>
        <v>10572.585759173966</v>
      </c>
      <c r="E641" s="375">
        <f t="shared" si="165"/>
        <v>10796.676081829863</v>
      </c>
      <c r="F641" s="375">
        <f t="shared" si="165"/>
        <v>11210.46828726346</v>
      </c>
      <c r="G641" s="375">
        <f t="shared" si="165"/>
        <v>11246.494779694831</v>
      </c>
      <c r="H641" s="375">
        <f t="shared" si="165"/>
        <v>11661.431327407727</v>
      </c>
      <c r="I641" s="375">
        <f t="shared" si="165"/>
        <v>12266.13778418784</v>
      </c>
      <c r="J641" s="375">
        <f t="shared" si="165"/>
        <v>12296.227978722891</v>
      </c>
      <c r="K641" s="375">
        <f t="shared" si="165"/>
        <v>12327.124590471481</v>
      </c>
      <c r="L641" s="375">
        <f t="shared" si="165"/>
        <v>12358.849231414933</v>
      </c>
      <c r="M641" s="375">
        <f t="shared" si="165"/>
        <v>12391.42409273567</v>
      </c>
      <c r="N641" s="375">
        <f t="shared" si="165"/>
        <v>12424.871960339802</v>
      </c>
      <c r="O641" s="375">
        <f t="shared" si="165"/>
        <v>12459.216230795726</v>
      </c>
      <c r="P641" s="375">
        <f t="shared" si="165"/>
        <v>12494.480927699869</v>
      </c>
      <c r="Q641" s="375">
        <f t="shared" si="165"/>
        <v>12530.690718481042</v>
      </c>
    </row>
    <row r="642" spans="1:17" ht="14.4">
      <c r="A642" s="370"/>
      <c r="B642" s="379"/>
      <c r="C642" s="379"/>
      <c r="D642" s="379"/>
      <c r="E642" s="379"/>
      <c r="F642" s="379"/>
      <c r="G642" s="379"/>
      <c r="H642" s="379"/>
      <c r="I642" s="379"/>
      <c r="J642" s="379"/>
      <c r="K642" s="379"/>
      <c r="L642" s="379"/>
      <c r="M642" s="379"/>
      <c r="N642" s="379"/>
      <c r="O642" s="379"/>
      <c r="P642" s="379"/>
      <c r="Q642" s="379"/>
    </row>
    <row r="643" spans="1:17" ht="14.4">
      <c r="A643" s="366" t="s">
        <v>73</v>
      </c>
      <c r="B643" s="378">
        <f>+SUM(C643:Q643)</f>
        <v>11487.524395535713</v>
      </c>
      <c r="C643" s="367">
        <f>+Baseline_NaturalGas!$D$5/'Initial Data'!$C$19</f>
        <v>1148.7524395535715</v>
      </c>
      <c r="D643" s="367">
        <f>+Baseline_NaturalGas!$D$5/'Initial Data'!$C$19</f>
        <v>1148.7524395535715</v>
      </c>
      <c r="E643" s="367">
        <f>+Baseline_NaturalGas!$D$5/'Initial Data'!$C$19</f>
        <v>1148.7524395535715</v>
      </c>
      <c r="F643" s="367">
        <f>+Baseline_NaturalGas!$D$5/'Initial Data'!$C$19</f>
        <v>1148.7524395535715</v>
      </c>
      <c r="G643" s="367">
        <f>+Baseline_NaturalGas!$D$5/'Initial Data'!$C$19</f>
        <v>1148.7524395535715</v>
      </c>
      <c r="H643" s="367">
        <f>+Baseline_NaturalGas!$D$5/'Initial Data'!$C$19</f>
        <v>1148.7524395535715</v>
      </c>
      <c r="I643" s="367">
        <f>+Baseline_NaturalGas!$D$5/'Initial Data'!$C$19</f>
        <v>1148.7524395535715</v>
      </c>
      <c r="J643" s="367">
        <f>+Baseline_NaturalGas!$D$5/'Initial Data'!$C$19</f>
        <v>1148.7524395535715</v>
      </c>
      <c r="K643" s="367">
        <f>+Baseline_NaturalGas!$D$5/'Initial Data'!$C$19</f>
        <v>1148.7524395535715</v>
      </c>
      <c r="L643" s="367">
        <f>+Baseline_NaturalGas!$D$5/'Initial Data'!$C$19</f>
        <v>1148.7524395535715</v>
      </c>
      <c r="M643" s="367">
        <v>0</v>
      </c>
      <c r="N643" s="367">
        <v>0</v>
      </c>
      <c r="O643" s="367">
        <v>0</v>
      </c>
      <c r="P643" s="367">
        <v>0</v>
      </c>
      <c r="Q643" s="367">
        <v>0</v>
      </c>
    </row>
    <row r="644" spans="1:17" ht="14.4">
      <c r="A644" s="366" t="s">
        <v>74</v>
      </c>
      <c r="B644" s="378">
        <f>+SUM(C644:Q644)</f>
        <v>11487.524395535713</v>
      </c>
      <c r="C644" s="367">
        <f>SUM(C643:C643)</f>
        <v>1148.7524395535715</v>
      </c>
      <c r="D644" s="367">
        <f t="shared" ref="D644:Q644" si="166">SUM(D643:D643)</f>
        <v>1148.7524395535715</v>
      </c>
      <c r="E644" s="367">
        <f t="shared" si="166"/>
        <v>1148.7524395535715</v>
      </c>
      <c r="F644" s="367">
        <f t="shared" si="166"/>
        <v>1148.7524395535715</v>
      </c>
      <c r="G644" s="367">
        <f t="shared" si="166"/>
        <v>1148.7524395535715</v>
      </c>
      <c r="H644" s="367">
        <f t="shared" si="166"/>
        <v>1148.7524395535715</v>
      </c>
      <c r="I644" s="367">
        <f t="shared" si="166"/>
        <v>1148.7524395535715</v>
      </c>
      <c r="J644" s="367">
        <f t="shared" si="166"/>
        <v>1148.7524395535715</v>
      </c>
      <c r="K644" s="367">
        <f t="shared" si="166"/>
        <v>1148.7524395535715</v>
      </c>
      <c r="L644" s="367">
        <f t="shared" si="166"/>
        <v>1148.7524395535715</v>
      </c>
      <c r="M644" s="367">
        <f t="shared" si="166"/>
        <v>0</v>
      </c>
      <c r="N644" s="367">
        <f t="shared" si="166"/>
        <v>0</v>
      </c>
      <c r="O644" s="367">
        <f t="shared" si="166"/>
        <v>0</v>
      </c>
      <c r="P644" s="367">
        <f t="shared" si="166"/>
        <v>0</v>
      </c>
      <c r="Q644" s="367">
        <f t="shared" si="166"/>
        <v>0</v>
      </c>
    </row>
    <row r="645" spans="1:17" ht="14.4">
      <c r="A645" s="90"/>
      <c r="B645" s="388"/>
      <c r="C645" s="373"/>
      <c r="D645" s="373"/>
      <c r="E645" s="373"/>
      <c r="F645" s="373"/>
      <c r="G645" s="373"/>
      <c r="H645" s="373"/>
      <c r="I645" s="373"/>
      <c r="J645" s="373"/>
      <c r="K645" s="373"/>
      <c r="L645" s="373"/>
      <c r="M645" s="373"/>
      <c r="N645" s="373"/>
      <c r="O645" s="373"/>
      <c r="P645" s="373"/>
      <c r="Q645" s="373"/>
    </row>
    <row r="646" spans="1:17" ht="14.4">
      <c r="A646" s="366" t="s">
        <v>75</v>
      </c>
      <c r="B646" s="378">
        <f>+SUM(C646:Q646)</f>
        <v>189251.54294028736</v>
      </c>
      <c r="C646" s="367">
        <f>+C641+C644</f>
        <v>11876.09123408613</v>
      </c>
      <c r="D646" s="367">
        <f t="shared" ref="D646:Q646" si="167">+D641+D644</f>
        <v>11721.338198727537</v>
      </c>
      <c r="E646" s="367">
        <f t="shared" si="167"/>
        <v>11945.428521383434</v>
      </c>
      <c r="F646" s="367">
        <f t="shared" si="167"/>
        <v>12359.220726817031</v>
      </c>
      <c r="G646" s="367">
        <f t="shared" si="167"/>
        <v>12395.247219248402</v>
      </c>
      <c r="H646" s="367">
        <f t="shared" si="167"/>
        <v>12810.183766961298</v>
      </c>
      <c r="I646" s="367">
        <f t="shared" si="167"/>
        <v>13414.890223741411</v>
      </c>
      <c r="J646" s="367">
        <f t="shared" si="167"/>
        <v>13444.980418276462</v>
      </c>
      <c r="K646" s="367">
        <f t="shared" si="167"/>
        <v>13475.877030025053</v>
      </c>
      <c r="L646" s="367">
        <f t="shared" si="167"/>
        <v>13507.601670968505</v>
      </c>
      <c r="M646" s="367">
        <f t="shared" si="167"/>
        <v>12391.42409273567</v>
      </c>
      <c r="N646" s="367">
        <f t="shared" si="167"/>
        <v>12424.871960339802</v>
      </c>
      <c r="O646" s="367">
        <f t="shared" si="167"/>
        <v>12459.216230795726</v>
      </c>
      <c r="P646" s="367">
        <f t="shared" si="167"/>
        <v>12494.480927699869</v>
      </c>
      <c r="Q646" s="367">
        <f t="shared" si="167"/>
        <v>12530.690718481042</v>
      </c>
    </row>
    <row r="647" spans="1:17">
      <c r="A647" s="74"/>
    </row>
    <row r="648" spans="1:17" ht="14.4">
      <c r="A648" s="366" t="s">
        <v>76</v>
      </c>
      <c r="B648" s="378">
        <f>+SUM(C648:Q648)</f>
        <v>1447799.7559812204</v>
      </c>
      <c r="C648" s="367">
        <f>+C626-C646</f>
        <v>78226.76590877102</v>
      </c>
      <c r="D648" s="367">
        <f t="shared" ref="D648:Q648" si="168">+D626-D646</f>
        <v>80796.275515558184</v>
      </c>
      <c r="E648" s="367">
        <f t="shared" si="168"/>
        <v>83051.657240445114</v>
      </c>
      <c r="F648" s="367">
        <f t="shared" si="168"/>
        <v>85183.786933428521</v>
      </c>
      <c r="G648" s="367">
        <f t="shared" si="168"/>
        <v>87761.913046291738</v>
      </c>
      <c r="H648" s="367">
        <f t="shared" si="168"/>
        <v>90031.188393695295</v>
      </c>
      <c r="I648" s="367">
        <f t="shared" si="168"/>
        <v>92182.630710820769</v>
      </c>
      <c r="J648" s="367">
        <f t="shared" si="168"/>
        <v>94982.554077331981</v>
      </c>
      <c r="K648" s="367">
        <f t="shared" si="168"/>
        <v>97857.515390065702</v>
      </c>
      <c r="L648" s="367">
        <f t="shared" si="168"/>
        <v>100809.52566598066</v>
      </c>
      <c r="M648" s="367">
        <f t="shared" si="168"/>
        <v>104989.40225684372</v>
      </c>
      <c r="N648" s="367">
        <f t="shared" si="168"/>
        <v>108101.76053540831</v>
      </c>
      <c r="O648" s="367">
        <f t="shared" si="168"/>
        <v>111297.53001583842</v>
      </c>
      <c r="P648" s="367">
        <f t="shared" si="168"/>
        <v>114578.94611834406</v>
      </c>
      <c r="Q648" s="367">
        <f t="shared" si="168"/>
        <v>117948.30417239688</v>
      </c>
    </row>
    <row r="649" spans="1:17" ht="14.4">
      <c r="A649" s="369"/>
      <c r="B649" s="373"/>
      <c r="C649" s="373"/>
      <c r="D649" s="373"/>
      <c r="E649" s="373"/>
      <c r="F649" s="373"/>
      <c r="G649" s="373"/>
      <c r="H649" s="373"/>
      <c r="I649" s="373"/>
      <c r="J649" s="373"/>
      <c r="K649" s="373"/>
      <c r="L649" s="373"/>
      <c r="M649" s="373"/>
      <c r="N649" s="373"/>
      <c r="O649" s="373"/>
      <c r="P649" s="373"/>
      <c r="Q649" s="373"/>
    </row>
    <row r="650" spans="1:17" ht="14.4">
      <c r="A650" s="366" t="s">
        <v>222</v>
      </c>
      <c r="B650" s="380">
        <f>+Baseline_NaturalGas!C43</f>
        <v>0.7</v>
      </c>
      <c r="C650" s="367">
        <f>IF((+$B$650*C648)&lt;0,"0",(+$B$650*C648))</f>
        <v>54758.736136139712</v>
      </c>
      <c r="D650" s="367">
        <f t="shared" ref="D650:Q650" si="169">IF((+$B$650*D648)&lt;0,"0",(+$B$650*D648))</f>
        <v>56557.392860890723</v>
      </c>
      <c r="E650" s="367">
        <f t="shared" si="169"/>
        <v>58136.160068311576</v>
      </c>
      <c r="F650" s="367">
        <f t="shared" si="169"/>
        <v>59628.650853399959</v>
      </c>
      <c r="G650" s="367">
        <f t="shared" si="169"/>
        <v>61433.33913240421</v>
      </c>
      <c r="H650" s="367">
        <f t="shared" si="169"/>
        <v>63021.8318755867</v>
      </c>
      <c r="I650" s="367">
        <f t="shared" si="169"/>
        <v>64527.841497574533</v>
      </c>
      <c r="J650" s="367">
        <f t="shared" si="169"/>
        <v>66487.787854132388</v>
      </c>
      <c r="K650" s="367">
        <f t="shared" si="169"/>
        <v>68500.260773045986</v>
      </c>
      <c r="L650" s="367">
        <f t="shared" si="169"/>
        <v>70566.667966186462</v>
      </c>
      <c r="M650" s="367">
        <f t="shared" si="169"/>
        <v>73492.581579790596</v>
      </c>
      <c r="N650" s="367">
        <f t="shared" si="169"/>
        <v>75671.232374785803</v>
      </c>
      <c r="O650" s="367">
        <f t="shared" si="169"/>
        <v>77908.271011086894</v>
      </c>
      <c r="P650" s="367">
        <f t="shared" si="169"/>
        <v>80205.262282840835</v>
      </c>
      <c r="Q650" s="367">
        <f t="shared" si="169"/>
        <v>82563.81292067781</v>
      </c>
    </row>
    <row r="651" spans="1:17" ht="14.4">
      <c r="A651" s="366" t="s">
        <v>77</v>
      </c>
      <c r="B651" s="378">
        <f>+SUM(C651:Q651)</f>
        <v>1013459.8291868541</v>
      </c>
      <c r="C651" s="367">
        <f>SUM(C650:C650)</f>
        <v>54758.736136139712</v>
      </c>
      <c r="D651" s="367">
        <f t="shared" ref="D651:Q651" si="170">SUM(D650:D650)</f>
        <v>56557.392860890723</v>
      </c>
      <c r="E651" s="367">
        <f t="shared" si="170"/>
        <v>58136.160068311576</v>
      </c>
      <c r="F651" s="367">
        <f t="shared" si="170"/>
        <v>59628.650853399959</v>
      </c>
      <c r="G651" s="367">
        <f t="shared" si="170"/>
        <v>61433.33913240421</v>
      </c>
      <c r="H651" s="367">
        <f t="shared" si="170"/>
        <v>63021.8318755867</v>
      </c>
      <c r="I651" s="367">
        <f t="shared" si="170"/>
        <v>64527.841497574533</v>
      </c>
      <c r="J651" s="367">
        <f t="shared" si="170"/>
        <v>66487.787854132388</v>
      </c>
      <c r="K651" s="367">
        <f t="shared" si="170"/>
        <v>68500.260773045986</v>
      </c>
      <c r="L651" s="367">
        <f t="shared" si="170"/>
        <v>70566.667966186462</v>
      </c>
      <c r="M651" s="367">
        <f t="shared" si="170"/>
        <v>73492.581579790596</v>
      </c>
      <c r="N651" s="367">
        <f t="shared" si="170"/>
        <v>75671.232374785803</v>
      </c>
      <c r="O651" s="367">
        <f t="shared" si="170"/>
        <v>77908.271011086894</v>
      </c>
      <c r="P651" s="367">
        <f t="shared" si="170"/>
        <v>80205.262282840835</v>
      </c>
      <c r="Q651" s="367">
        <f t="shared" si="170"/>
        <v>82563.81292067781</v>
      </c>
    </row>
    <row r="652" spans="1:17" ht="14.4">
      <c r="A652" s="369"/>
      <c r="B652" s="373"/>
      <c r="C652" s="373"/>
      <c r="D652" s="373"/>
      <c r="E652" s="373"/>
      <c r="F652" s="373"/>
      <c r="G652" s="373"/>
      <c r="H652" s="373"/>
      <c r="I652" s="373"/>
      <c r="J652" s="373"/>
      <c r="K652" s="373"/>
      <c r="L652" s="373"/>
      <c r="M652" s="373"/>
      <c r="N652" s="373"/>
      <c r="O652" s="373"/>
      <c r="P652" s="373"/>
      <c r="Q652" s="373"/>
    </row>
    <row r="653" spans="1:17" ht="14.4">
      <c r="A653" s="366" t="s">
        <v>78</v>
      </c>
      <c r="B653" s="378">
        <f>+SUM(C653:Q653)</f>
        <v>434339.92679436621</v>
      </c>
      <c r="C653" s="367">
        <f>+C648-C651</f>
        <v>23468.029772631307</v>
      </c>
      <c r="D653" s="367">
        <f t="shared" ref="D653:Q653" si="171">+D648-D651</f>
        <v>24238.882654667461</v>
      </c>
      <c r="E653" s="367">
        <f t="shared" si="171"/>
        <v>24915.497172133539</v>
      </c>
      <c r="F653" s="367">
        <f t="shared" si="171"/>
        <v>25555.136080028562</v>
      </c>
      <c r="G653" s="367">
        <f t="shared" si="171"/>
        <v>26328.573913887529</v>
      </c>
      <c r="H653" s="367">
        <f t="shared" si="171"/>
        <v>27009.356518108594</v>
      </c>
      <c r="I653" s="367">
        <f t="shared" si="171"/>
        <v>27654.789213246237</v>
      </c>
      <c r="J653" s="367">
        <f t="shared" si="171"/>
        <v>28494.766223199593</v>
      </c>
      <c r="K653" s="367">
        <f t="shared" si="171"/>
        <v>29357.254617019717</v>
      </c>
      <c r="L653" s="367">
        <f t="shared" si="171"/>
        <v>30242.8576997942</v>
      </c>
      <c r="M653" s="367">
        <f t="shared" si="171"/>
        <v>31496.820677053125</v>
      </c>
      <c r="N653" s="367">
        <f t="shared" si="171"/>
        <v>32430.528160622503</v>
      </c>
      <c r="O653" s="367">
        <f t="shared" si="171"/>
        <v>33389.259004751526</v>
      </c>
      <c r="P653" s="367">
        <f t="shared" si="171"/>
        <v>34373.683835503223</v>
      </c>
      <c r="Q653" s="367">
        <f t="shared" si="171"/>
        <v>35384.491251719068</v>
      </c>
    </row>
    <row r="654" spans="1:17" ht="14.4">
      <c r="A654" s="395" t="s">
        <v>331</v>
      </c>
      <c r="B654" s="378">
        <f>+SUM(C654:Q654)</f>
        <v>11487.524395535713</v>
      </c>
      <c r="C654" s="377">
        <f>+C643</f>
        <v>1148.7524395535715</v>
      </c>
      <c r="D654" s="377">
        <f t="shared" ref="D654:Q654" si="172">+D643</f>
        <v>1148.7524395535715</v>
      </c>
      <c r="E654" s="377">
        <f t="shared" si="172"/>
        <v>1148.7524395535715</v>
      </c>
      <c r="F654" s="377">
        <f t="shared" si="172"/>
        <v>1148.7524395535715</v>
      </c>
      <c r="G654" s="377">
        <f t="shared" si="172"/>
        <v>1148.7524395535715</v>
      </c>
      <c r="H654" s="377">
        <f t="shared" si="172"/>
        <v>1148.7524395535715</v>
      </c>
      <c r="I654" s="377">
        <f t="shared" si="172"/>
        <v>1148.7524395535715</v>
      </c>
      <c r="J654" s="377">
        <f t="shared" si="172"/>
        <v>1148.7524395535715</v>
      </c>
      <c r="K654" s="377">
        <f t="shared" si="172"/>
        <v>1148.7524395535715</v>
      </c>
      <c r="L654" s="377">
        <f t="shared" si="172"/>
        <v>1148.7524395535715</v>
      </c>
      <c r="M654" s="377">
        <f t="shared" si="172"/>
        <v>0</v>
      </c>
      <c r="N654" s="377">
        <f t="shared" si="172"/>
        <v>0</v>
      </c>
      <c r="O654" s="377">
        <f t="shared" si="172"/>
        <v>0</v>
      </c>
      <c r="P654" s="377">
        <f t="shared" si="172"/>
        <v>0</v>
      </c>
      <c r="Q654" s="377">
        <f t="shared" si="172"/>
        <v>0</v>
      </c>
    </row>
    <row r="655" spans="1:17" ht="14.4">
      <c r="A655" s="395" t="s">
        <v>332</v>
      </c>
      <c r="B655" s="378">
        <f>+Baseline_NaturalGas!C588</f>
        <v>0</v>
      </c>
      <c r="C655" s="367">
        <f>+Baseline_NaturalGas!D588</f>
        <v>0</v>
      </c>
      <c r="D655" s="367">
        <f>+Baseline_NaturalGas!E588</f>
        <v>0</v>
      </c>
      <c r="E655" s="367">
        <f>+Baseline_NaturalGas!F588</f>
        <v>0</v>
      </c>
      <c r="F655" s="367">
        <f>+Baseline_NaturalGas!G588</f>
        <v>0</v>
      </c>
      <c r="G655" s="367">
        <f>+Baseline_NaturalGas!H588</f>
        <v>0</v>
      </c>
      <c r="H655" s="367">
        <f>+Baseline_NaturalGas!I588</f>
        <v>0</v>
      </c>
      <c r="I655" s="367">
        <f>+Baseline_NaturalGas!J588</f>
        <v>0</v>
      </c>
      <c r="J655" s="367">
        <f>+Baseline_NaturalGas!K588</f>
        <v>0</v>
      </c>
      <c r="K655" s="367">
        <f>+Baseline_NaturalGas!L588</f>
        <v>0</v>
      </c>
      <c r="L655" s="367">
        <f>+Baseline_NaturalGas!M588</f>
        <v>0</v>
      </c>
      <c r="M655" s="367">
        <f>+Baseline_NaturalGas!N588</f>
        <v>0</v>
      </c>
      <c r="N655" s="367">
        <f>+Baseline_NaturalGas!O588</f>
        <v>0</v>
      </c>
      <c r="O655" s="367">
        <f>+Baseline_NaturalGas!P588</f>
        <v>0</v>
      </c>
      <c r="P655" s="367">
        <f>+Baseline_NaturalGas!Q588</f>
        <v>0</v>
      </c>
      <c r="Q655" s="367">
        <f>+Baseline_NaturalGas!R588</f>
        <v>0</v>
      </c>
    </row>
    <row r="656" spans="1:17" ht="14.4">
      <c r="A656" s="510"/>
      <c r="B656" s="511"/>
      <c r="C656" s="511"/>
      <c r="D656" s="511"/>
      <c r="E656" s="511"/>
      <c r="F656" s="511"/>
      <c r="G656" s="511"/>
      <c r="H656" s="511"/>
      <c r="I656" s="511"/>
      <c r="J656" s="511"/>
      <c r="K656" s="511"/>
      <c r="L656" s="511"/>
      <c r="M656" s="511"/>
      <c r="N656" s="511"/>
      <c r="O656" s="511"/>
      <c r="P656" s="511"/>
      <c r="Q656" s="511"/>
    </row>
    <row r="657" spans="1:17" ht="14.4">
      <c r="A657" s="366" t="s">
        <v>110</v>
      </c>
      <c r="B657" s="378">
        <f>-Baseline_NaturalGas!$D$5</f>
        <v>-11487.524395535715</v>
      </c>
      <c r="C657" s="367">
        <f>+C653+C654+C655</f>
        <v>24616.78221218488</v>
      </c>
      <c r="D657" s="367">
        <f t="shared" ref="D657:Q657" si="173">+D653+D654+D655</f>
        <v>25387.635094221034</v>
      </c>
      <c r="E657" s="367">
        <f t="shared" si="173"/>
        <v>26064.249611687112</v>
      </c>
      <c r="F657" s="367">
        <f t="shared" si="173"/>
        <v>26703.888519582135</v>
      </c>
      <c r="G657" s="367">
        <f t="shared" si="173"/>
        <v>27477.326353441102</v>
      </c>
      <c r="H657" s="367">
        <f t="shared" si="173"/>
        <v>28158.108957662167</v>
      </c>
      <c r="I657" s="367">
        <f t="shared" si="173"/>
        <v>28803.54165279981</v>
      </c>
      <c r="J657" s="367">
        <f t="shared" si="173"/>
        <v>29643.518662753166</v>
      </c>
      <c r="K657" s="367">
        <f t="shared" si="173"/>
        <v>30506.007056573289</v>
      </c>
      <c r="L657" s="367">
        <f t="shared" si="173"/>
        <v>31391.610139347773</v>
      </c>
      <c r="M657" s="367">
        <f t="shared" si="173"/>
        <v>31496.820677053125</v>
      </c>
      <c r="N657" s="367">
        <f t="shared" si="173"/>
        <v>32430.528160622503</v>
      </c>
      <c r="O657" s="367">
        <f t="shared" si="173"/>
        <v>33389.259004751526</v>
      </c>
      <c r="P657" s="367">
        <f t="shared" si="173"/>
        <v>34373.683835503223</v>
      </c>
      <c r="Q657" s="367">
        <f t="shared" si="173"/>
        <v>35384.491251719068</v>
      </c>
    </row>
    <row r="658" spans="1:17" ht="15.6">
      <c r="A658" s="366" t="s">
        <v>51</v>
      </c>
      <c r="B658" s="132">
        <f>IRR(B657:Q657)</f>
        <v>2.1725975159448967</v>
      </c>
      <c r="C658" s="390"/>
      <c r="D658" s="390"/>
      <c r="E658" s="390"/>
      <c r="F658" s="390"/>
      <c r="G658" s="390"/>
      <c r="H658" s="390"/>
      <c r="I658" s="390"/>
      <c r="J658" s="390"/>
      <c r="K658" s="390"/>
      <c r="L658" s="390"/>
      <c r="M658" s="390"/>
      <c r="N658" s="390"/>
      <c r="O658" s="390"/>
      <c r="P658" s="390"/>
      <c r="Q658" s="390"/>
    </row>
    <row r="659" spans="1:17" ht="15.6">
      <c r="A659" s="366" t="s">
        <v>267</v>
      </c>
      <c r="B659" s="303">
        <f>NPV('Initial Data'!$C$21/100,B657:Q657)</f>
        <v>161383.20638787153</v>
      </c>
      <c r="C659" s="373"/>
      <c r="D659" s="373"/>
      <c r="E659" s="373"/>
      <c r="F659" s="373"/>
      <c r="G659" s="373"/>
      <c r="H659" s="373"/>
      <c r="I659" s="373"/>
      <c r="J659" s="373"/>
      <c r="K659" s="373"/>
      <c r="L659" s="373"/>
      <c r="M659" s="373"/>
      <c r="N659" s="373"/>
      <c r="O659" s="373"/>
      <c r="P659" s="373"/>
      <c r="Q659" s="373"/>
    </row>
    <row r="660" spans="1:17" ht="14.4">
      <c r="A660" s="370"/>
      <c r="B660" s="393"/>
      <c r="C660" s="393"/>
      <c r="D660" s="393"/>
      <c r="E660" s="393"/>
      <c r="F660" s="393"/>
      <c r="G660" s="393"/>
      <c r="H660" s="393"/>
      <c r="I660" s="393"/>
      <c r="J660" s="393"/>
      <c r="K660" s="393"/>
      <c r="L660" s="393"/>
      <c r="M660" s="393"/>
      <c r="N660" s="393"/>
      <c r="O660" s="393"/>
      <c r="P660" s="393"/>
      <c r="Q660" s="393"/>
    </row>
    <row r="661" spans="1:17" ht="14.4">
      <c r="A661" s="508" t="s">
        <v>337</v>
      </c>
      <c r="B661" s="509"/>
      <c r="C661" s="509"/>
      <c r="D661" s="509"/>
      <c r="E661" s="509"/>
      <c r="F661" s="509"/>
      <c r="G661" s="509"/>
      <c r="H661" s="509"/>
      <c r="I661" s="509"/>
      <c r="J661" s="509"/>
      <c r="K661" s="509"/>
      <c r="L661" s="509"/>
      <c r="M661" s="509"/>
      <c r="N661" s="509"/>
      <c r="O661" s="509"/>
      <c r="P661" s="509"/>
      <c r="Q661" s="509"/>
    </row>
    <row r="662" spans="1:17" ht="14.4">
      <c r="A662" s="371" t="s">
        <v>339</v>
      </c>
      <c r="B662" s="372"/>
      <c r="C662" s="372"/>
      <c r="D662" s="372"/>
      <c r="E662" s="372"/>
      <c r="F662" s="372"/>
      <c r="G662" s="372"/>
      <c r="H662" s="372"/>
      <c r="I662" s="372"/>
      <c r="J662" s="372"/>
      <c r="K662" s="372"/>
      <c r="L662" s="372"/>
      <c r="M662" s="372"/>
      <c r="N662" s="372"/>
      <c r="O662" s="372"/>
      <c r="P662" s="372"/>
      <c r="Q662" s="372"/>
    </row>
    <row r="663" spans="1:17" ht="27">
      <c r="A663" s="376"/>
      <c r="B663" s="304" t="s">
        <v>35</v>
      </c>
      <c r="C663" s="352" t="s">
        <v>407</v>
      </c>
      <c r="D663" s="352" t="s">
        <v>408</v>
      </c>
      <c r="E663" s="352" t="s">
        <v>409</v>
      </c>
      <c r="F663" s="352" t="s">
        <v>410</v>
      </c>
      <c r="G663" s="352" t="s">
        <v>411</v>
      </c>
      <c r="H663" s="352" t="s">
        <v>412</v>
      </c>
      <c r="I663" s="352" t="s">
        <v>413</v>
      </c>
      <c r="J663" s="352" t="s">
        <v>414</v>
      </c>
      <c r="K663" s="352" t="s">
        <v>415</v>
      </c>
      <c r="L663" s="352" t="s">
        <v>416</v>
      </c>
      <c r="M663" s="352" t="s">
        <v>417</v>
      </c>
      <c r="N663" s="352" t="s">
        <v>418</v>
      </c>
      <c r="O663" s="352" t="s">
        <v>419</v>
      </c>
      <c r="P663" s="352" t="s">
        <v>420</v>
      </c>
      <c r="Q663" s="352" t="s">
        <v>421</v>
      </c>
    </row>
    <row r="664" spans="1:17" ht="14.4">
      <c r="A664" s="363" t="s">
        <v>290</v>
      </c>
      <c r="B664" s="365"/>
      <c r="C664" s="367">
        <f>+Baseline_NaturalGas!D10</f>
        <v>219000</v>
      </c>
      <c r="D664" s="367">
        <f>+Baseline_NaturalGas!E10</f>
        <v>219000</v>
      </c>
      <c r="E664" s="367">
        <f>+Baseline_NaturalGas!F10</f>
        <v>219000</v>
      </c>
      <c r="F664" s="367">
        <f>+Baseline_NaturalGas!G10</f>
        <v>219000</v>
      </c>
      <c r="G664" s="367">
        <f>+Baseline_NaturalGas!H10</f>
        <v>219000</v>
      </c>
      <c r="H664" s="367">
        <f>+Baseline_NaturalGas!I10</f>
        <v>219000</v>
      </c>
      <c r="I664" s="367">
        <f>+Baseline_NaturalGas!J10</f>
        <v>219000</v>
      </c>
      <c r="J664" s="367">
        <f>+Baseline_NaturalGas!K10</f>
        <v>219000</v>
      </c>
      <c r="K664" s="367">
        <f>+Baseline_NaturalGas!L10</f>
        <v>219000</v>
      </c>
      <c r="L664" s="367">
        <f>+Baseline_NaturalGas!M10</f>
        <v>219000</v>
      </c>
      <c r="M664" s="367">
        <f>+Baseline_NaturalGas!N10</f>
        <v>219000</v>
      </c>
      <c r="N664" s="367">
        <f>+Baseline_NaturalGas!O10</f>
        <v>219000</v>
      </c>
      <c r="O664" s="367">
        <f>+Baseline_NaturalGas!P10</f>
        <v>219000</v>
      </c>
      <c r="P664" s="367">
        <f>+Baseline_NaturalGas!Q10</f>
        <v>219000</v>
      </c>
      <c r="Q664" s="367">
        <f>+Baseline_NaturalGas!R10</f>
        <v>219000</v>
      </c>
    </row>
    <row r="665" spans="1:17" ht="14.4">
      <c r="A665" s="364" t="s">
        <v>291</v>
      </c>
      <c r="B665" s="365"/>
      <c r="C665" s="381">
        <f>'Initial Data'!$C$50*(1+'BL Sensitivity Analysis'!$E$7)-'Initial Data'!$C$51</f>
        <v>76</v>
      </c>
      <c r="D665" s="381">
        <f>'Initial Data'!$C$50*(1+'BL Sensitivity Analysis'!$E$7)-'Initial Data'!$C$51</f>
        <v>76</v>
      </c>
      <c r="E665" s="381">
        <f>'Initial Data'!$C$50*(1+'BL Sensitivity Analysis'!$E$7)-'Initial Data'!$C$51</f>
        <v>76</v>
      </c>
      <c r="F665" s="381">
        <f>'Initial Data'!$C$50*(1+'BL Sensitivity Analysis'!$E$7)-'Initial Data'!$C$51</f>
        <v>76</v>
      </c>
      <c r="G665" s="381">
        <f>'Initial Data'!$C$50*(1+'BL Sensitivity Analysis'!$E$7)-'Initial Data'!$C$51</f>
        <v>76</v>
      </c>
      <c r="H665" s="381">
        <f>'Initial Data'!$C$50*(1+'BL Sensitivity Analysis'!$E$7)-'Initial Data'!$C$51</f>
        <v>76</v>
      </c>
      <c r="I665" s="381">
        <f>'Initial Data'!$C$50*(1+'BL Sensitivity Analysis'!$E$7)-'Initial Data'!$C$51</f>
        <v>76</v>
      </c>
      <c r="J665" s="381">
        <f>'Initial Data'!$C$50*(1+'BL Sensitivity Analysis'!$E$7)-'Initial Data'!$C$51</f>
        <v>76</v>
      </c>
      <c r="K665" s="381">
        <f>'Initial Data'!$C$50*(1+'BL Sensitivity Analysis'!$E$7)-'Initial Data'!$C$51</f>
        <v>76</v>
      </c>
      <c r="L665" s="381">
        <f>'Initial Data'!$C$50*(1+'BL Sensitivity Analysis'!$E$7)-'Initial Data'!$C$51</f>
        <v>76</v>
      </c>
      <c r="M665" s="381">
        <f>'Initial Data'!$C$50*(1+'BL Sensitivity Analysis'!$E$7)-'Initial Data'!$C$51</f>
        <v>76</v>
      </c>
      <c r="N665" s="381">
        <f>'Initial Data'!$C$50*(1+'BL Sensitivity Analysis'!$E$7)-'Initial Data'!$C$51</f>
        <v>76</v>
      </c>
      <c r="O665" s="381">
        <f>'Initial Data'!$C$50*(1+'BL Sensitivity Analysis'!$E$7)-'Initial Data'!$C$51</f>
        <v>76</v>
      </c>
      <c r="P665" s="381">
        <f>'Initial Data'!$C$50*(1+'BL Sensitivity Analysis'!$E$7)-'Initial Data'!$C$51</f>
        <v>76</v>
      </c>
      <c r="Q665" s="381">
        <f>'Initial Data'!$C$50*(1+'BL Sensitivity Analysis'!$E$7)-'Initial Data'!$C$51</f>
        <v>76</v>
      </c>
    </row>
    <row r="666" spans="1:17" ht="14.4">
      <c r="A666" s="366" t="s">
        <v>292</v>
      </c>
      <c r="B666" s="365"/>
      <c r="C666" s="375">
        <f>+Baseline_NaturalGas!D12</f>
        <v>6.4285714285714288</v>
      </c>
      <c r="D666" s="375">
        <f>+Baseline_NaturalGas!E12</f>
        <v>6.6008571428571425</v>
      </c>
      <c r="E666" s="375">
        <f>+Baseline_NaturalGas!F12</f>
        <v>6.7777601142857131</v>
      </c>
      <c r="F666" s="375">
        <f>+Baseline_NaturalGas!G12</f>
        <v>6.9594040853485701</v>
      </c>
      <c r="G666" s="375">
        <f>+Baseline_NaturalGas!H12</f>
        <v>7.1459161148359112</v>
      </c>
      <c r="H666" s="375">
        <f>+Baseline_NaturalGas!I12</f>
        <v>7.3374266667135135</v>
      </c>
      <c r="I666" s="375">
        <f>+Baseline_NaturalGas!J12</f>
        <v>7.5340697013814353</v>
      </c>
      <c r="J666" s="375">
        <f>+Baseline_NaturalGas!K12</f>
        <v>7.7359827693784569</v>
      </c>
      <c r="K666" s="375">
        <f>+Baseline_NaturalGas!L12</f>
        <v>7.943307107597799</v>
      </c>
      <c r="L666" s="375">
        <f>+Baseline_NaturalGas!M12</f>
        <v>8.1561877380814192</v>
      </c>
      <c r="M666" s="375">
        <f>+Baseline_NaturalGas!N12</f>
        <v>8.3747735694620005</v>
      </c>
      <c r="N666" s="375">
        <f>+Baseline_NaturalGas!O12</f>
        <v>8.5992175011235812</v>
      </c>
      <c r="O666" s="375">
        <f>+Baseline_NaturalGas!P12</f>
        <v>8.8296765301536926</v>
      </c>
      <c r="P666" s="375">
        <f>+Baseline_NaturalGas!Q12</f>
        <v>9.066311861161811</v>
      </c>
      <c r="Q666" s="375">
        <f>+Baseline_NaturalGas!R12</f>
        <v>9.3092890190409463</v>
      </c>
    </row>
    <row r="667" spans="1:17" ht="14.4">
      <c r="A667" s="366" t="s">
        <v>293</v>
      </c>
      <c r="B667" s="365"/>
      <c r="C667" s="367">
        <f>+C665*C666</f>
        <v>488.57142857142861</v>
      </c>
      <c r="D667" s="367">
        <f t="shared" ref="D667:Q667" si="174">+D665*D666</f>
        <v>501.66514285714283</v>
      </c>
      <c r="E667" s="367">
        <f t="shared" si="174"/>
        <v>515.10976868571424</v>
      </c>
      <c r="F667" s="367">
        <f t="shared" si="174"/>
        <v>528.91471048649134</v>
      </c>
      <c r="G667" s="367">
        <f t="shared" si="174"/>
        <v>543.08962472752921</v>
      </c>
      <c r="H667" s="367">
        <f t="shared" si="174"/>
        <v>557.64442667022706</v>
      </c>
      <c r="I667" s="367">
        <f t="shared" si="174"/>
        <v>572.58929730498903</v>
      </c>
      <c r="J667" s="367">
        <f t="shared" si="174"/>
        <v>587.93469047276267</v>
      </c>
      <c r="K667" s="367">
        <f t="shared" si="174"/>
        <v>603.69134017743272</v>
      </c>
      <c r="L667" s="367">
        <f t="shared" si="174"/>
        <v>619.87026809418785</v>
      </c>
      <c r="M667" s="367">
        <f t="shared" si="174"/>
        <v>636.48279127911201</v>
      </c>
      <c r="N667" s="367">
        <f t="shared" si="174"/>
        <v>653.54053008539222</v>
      </c>
      <c r="O667" s="367">
        <f t="shared" si="174"/>
        <v>671.05541629168067</v>
      </c>
      <c r="P667" s="367">
        <f t="shared" si="174"/>
        <v>689.03970144829759</v>
      </c>
      <c r="Q667" s="367">
        <f t="shared" si="174"/>
        <v>707.50596544711198</v>
      </c>
    </row>
    <row r="668" spans="1:17" ht="14.4">
      <c r="A668" s="370"/>
      <c r="B668" s="373"/>
      <c r="C668" s="373"/>
      <c r="D668" s="373"/>
      <c r="E668" s="373"/>
      <c r="F668" s="373"/>
      <c r="G668" s="373"/>
      <c r="H668" s="373"/>
      <c r="I668" s="373"/>
      <c r="J668" s="373"/>
      <c r="K668" s="373"/>
      <c r="L668" s="373"/>
      <c r="M668" s="373"/>
      <c r="N668" s="373"/>
      <c r="O668" s="373"/>
      <c r="P668" s="373"/>
      <c r="Q668" s="373"/>
    </row>
    <row r="669" spans="1:17" ht="14.4">
      <c r="A669" s="366" t="s">
        <v>294</v>
      </c>
      <c r="B669" s="378">
        <f>+SUM(C669:Q669)</f>
        <v>1943998.4174692906</v>
      </c>
      <c r="C669" s="377">
        <f>C664*C667/1000*'Initial Data'!$C$34/'Initial Data'!$C$33</f>
        <v>106997.14285714287</v>
      </c>
      <c r="D669" s="377">
        <f>D664*D667/1000*'Initial Data'!$C$34/'Initial Data'!$C$33</f>
        <v>109864.66628571428</v>
      </c>
      <c r="E669" s="377">
        <f>E664*E667/1000*'Initial Data'!$C$34/'Initial Data'!$C$33</f>
        <v>112809.03934217141</v>
      </c>
      <c r="F669" s="377">
        <f>F664*F667/1000*'Initial Data'!$C$34/'Initial Data'!$C$33</f>
        <v>115832.3215965416</v>
      </c>
      <c r="G669" s="377">
        <f>G664*G667/1000*'Initial Data'!$C$34/'Initial Data'!$C$33</f>
        <v>118936.6278153289</v>
      </c>
      <c r="H669" s="377">
        <f>H664*H667/1000*'Initial Data'!$C$34/'Initial Data'!$C$33</f>
        <v>122124.12944077972</v>
      </c>
      <c r="I669" s="377">
        <f>I664*I667/1000*'Initial Data'!$C$34/'Initial Data'!$C$33</f>
        <v>125397.05610979263</v>
      </c>
      <c r="J669" s="377">
        <f>J664*J667/1000*'Initial Data'!$C$34/'Initial Data'!$C$33</f>
        <v>128757.69721353504</v>
      </c>
      <c r="K669" s="377">
        <f>K664*K667/1000*'Initial Data'!$C$34/'Initial Data'!$C$33</f>
        <v>132208.40349885778</v>
      </c>
      <c r="L669" s="377">
        <f>L664*L667/1000*'Initial Data'!$C$34/'Initial Data'!$C$33</f>
        <v>135751.58871262716</v>
      </c>
      <c r="M669" s="377">
        <f>M664*M667/1000*'Initial Data'!$C$34/'Initial Data'!$C$33</f>
        <v>139389.73129012552</v>
      </c>
      <c r="N669" s="377">
        <f>N664*N667/1000*'Initial Data'!$C$34/'Initial Data'!$C$33</f>
        <v>143125.3760887009</v>
      </c>
      <c r="O669" s="377">
        <f>O664*O667/1000*'Initial Data'!$C$34/'Initial Data'!$C$33</f>
        <v>146961.13616787805</v>
      </c>
      <c r="P669" s="377">
        <f>P664*P667/1000*'Initial Data'!$C$34/'Initial Data'!$C$33</f>
        <v>150899.69461717716</v>
      </c>
      <c r="Q669" s="377">
        <f>Q664*Q667/1000*'Initial Data'!$C$34/'Initial Data'!$C$33</f>
        <v>154943.80643291754</v>
      </c>
    </row>
    <row r="670" spans="1:17" ht="14.4">
      <c r="A670" s="370"/>
      <c r="B670" s="373"/>
      <c r="C670" s="373"/>
      <c r="D670" s="373"/>
      <c r="E670" s="373"/>
      <c r="F670" s="373"/>
      <c r="G670" s="373"/>
      <c r="H670" s="373"/>
      <c r="I670" s="373"/>
      <c r="J670" s="373"/>
      <c r="K670" s="373"/>
      <c r="L670" s="373"/>
      <c r="M670" s="373"/>
      <c r="N670" s="373"/>
      <c r="O670" s="373"/>
      <c r="P670" s="373"/>
      <c r="Q670" s="373"/>
    </row>
    <row r="671" spans="1:17" ht="14.4">
      <c r="A671" s="366" t="s">
        <v>295</v>
      </c>
      <c r="B671" s="378">
        <f>+SUM(C671:Q671)</f>
        <v>1943998.4174692906</v>
      </c>
      <c r="C671" s="367">
        <f>+C669</f>
        <v>106997.14285714287</v>
      </c>
      <c r="D671" s="367">
        <f t="shared" ref="D671:Q671" si="175">+D669</f>
        <v>109864.66628571428</v>
      </c>
      <c r="E671" s="367">
        <f t="shared" si="175"/>
        <v>112809.03934217141</v>
      </c>
      <c r="F671" s="367">
        <f t="shared" si="175"/>
        <v>115832.3215965416</v>
      </c>
      <c r="G671" s="367">
        <f t="shared" si="175"/>
        <v>118936.6278153289</v>
      </c>
      <c r="H671" s="367">
        <f t="shared" si="175"/>
        <v>122124.12944077972</v>
      </c>
      <c r="I671" s="367">
        <f t="shared" si="175"/>
        <v>125397.05610979263</v>
      </c>
      <c r="J671" s="367">
        <f t="shared" si="175"/>
        <v>128757.69721353504</v>
      </c>
      <c r="K671" s="367">
        <f t="shared" si="175"/>
        <v>132208.40349885778</v>
      </c>
      <c r="L671" s="367">
        <f t="shared" si="175"/>
        <v>135751.58871262716</v>
      </c>
      <c r="M671" s="367">
        <f t="shared" si="175"/>
        <v>139389.73129012552</v>
      </c>
      <c r="N671" s="367">
        <f t="shared" si="175"/>
        <v>143125.3760887009</v>
      </c>
      <c r="O671" s="367">
        <f t="shared" si="175"/>
        <v>146961.13616787805</v>
      </c>
      <c r="P671" s="367">
        <f t="shared" si="175"/>
        <v>150899.69461717716</v>
      </c>
      <c r="Q671" s="367">
        <f t="shared" si="175"/>
        <v>154943.80643291754</v>
      </c>
    </row>
    <row r="672" spans="1:17" ht="14.4">
      <c r="A672" s="370"/>
      <c r="B672" s="374"/>
      <c r="C672" s="374"/>
      <c r="D672" s="374"/>
      <c r="E672" s="374"/>
      <c r="F672" s="374"/>
      <c r="G672" s="374"/>
      <c r="H672" s="374"/>
      <c r="I672" s="374"/>
      <c r="J672" s="374"/>
      <c r="K672" s="374"/>
      <c r="L672" s="374"/>
      <c r="M672" s="374"/>
      <c r="N672" s="374"/>
      <c r="O672" s="374"/>
      <c r="P672" s="374"/>
      <c r="Q672" s="374"/>
    </row>
    <row r="673" spans="1:17" ht="14.4">
      <c r="A673" s="366" t="s">
        <v>68</v>
      </c>
      <c r="B673" s="368"/>
      <c r="C673" s="368"/>
      <c r="D673" s="368"/>
      <c r="E673" s="368"/>
      <c r="F673" s="368"/>
      <c r="G673" s="368"/>
      <c r="H673" s="368"/>
      <c r="I673" s="368"/>
      <c r="J673" s="368"/>
      <c r="K673" s="368"/>
      <c r="L673" s="368"/>
      <c r="M673" s="368"/>
      <c r="N673" s="368"/>
      <c r="O673" s="368"/>
      <c r="P673" s="368"/>
      <c r="Q673" s="368"/>
    </row>
    <row r="674" spans="1:17" ht="14.4">
      <c r="A674" s="366" t="s">
        <v>330</v>
      </c>
      <c r="B674" s="378">
        <f>+SUM(C674:Q674)</f>
        <v>17405.991521183645</v>
      </c>
      <c r="C674" s="375">
        <f>+Baseline_NaturalGas!D20</f>
        <v>958.02102749999995</v>
      </c>
      <c r="D674" s="375">
        <f>+Baseline_NaturalGas!E20</f>
        <v>983.69599103699989</v>
      </c>
      <c r="E674" s="375">
        <f>+Baseline_NaturalGas!F20</f>
        <v>1010.0590435967914</v>
      </c>
      <c r="F674" s="375">
        <f>+Baseline_NaturalGas!G20</f>
        <v>1037.1286259651854</v>
      </c>
      <c r="G674" s="375">
        <f>+Baseline_NaturalGas!H20</f>
        <v>1064.9236731410524</v>
      </c>
      <c r="H674" s="375">
        <f>+Baseline_NaturalGas!I20</f>
        <v>1093.4636275812325</v>
      </c>
      <c r="I674" s="375">
        <f>+Baseline_NaturalGas!J20</f>
        <v>1122.7684528004095</v>
      </c>
      <c r="J674" s="375">
        <f>+Baseline_NaturalGas!K20</f>
        <v>1152.8586473354603</v>
      </c>
      <c r="K674" s="375">
        <f>+Baseline_NaturalGas!L20</f>
        <v>1183.7552590840505</v>
      </c>
      <c r="L674" s="375">
        <f>+Baseline_NaturalGas!M20</f>
        <v>1215.4799000275029</v>
      </c>
      <c r="M674" s="375">
        <f>+Baseline_NaturalGas!N20</f>
        <v>1248.0547613482399</v>
      </c>
      <c r="N674" s="375">
        <f>+Baseline_NaturalGas!O20</f>
        <v>1281.5026289523728</v>
      </c>
      <c r="O674" s="375">
        <f>+Baseline_NaturalGas!P20</f>
        <v>1315.8468994082964</v>
      </c>
      <c r="P674" s="375">
        <f>+Baseline_NaturalGas!Q20</f>
        <v>1351.1115963124387</v>
      </c>
      <c r="Q674" s="375">
        <f>+Baseline_NaturalGas!R20</f>
        <v>1387.321387093612</v>
      </c>
    </row>
    <row r="675" spans="1:17" ht="14.4">
      <c r="A675" s="370"/>
      <c r="B675" s="369"/>
      <c r="C675" s="369"/>
      <c r="D675" s="369"/>
      <c r="E675" s="369"/>
      <c r="F675" s="369"/>
      <c r="G675" s="369"/>
      <c r="H675" s="369"/>
      <c r="I675" s="369"/>
      <c r="J675" s="369"/>
      <c r="K675" s="369"/>
      <c r="L675" s="369"/>
      <c r="M675" s="369"/>
      <c r="N675" s="369"/>
      <c r="O675" s="369"/>
      <c r="P675" s="369"/>
      <c r="Q675" s="369"/>
    </row>
    <row r="676" spans="1:17" ht="14.4">
      <c r="A676" s="366" t="s">
        <v>71</v>
      </c>
      <c r="B676" s="379"/>
      <c r="C676" s="379"/>
      <c r="D676" s="379"/>
      <c r="E676" s="379"/>
      <c r="F676" s="379"/>
      <c r="G676" s="379"/>
      <c r="H676" s="379"/>
      <c r="I676" s="379"/>
      <c r="J676" s="379"/>
      <c r="K676" s="379"/>
      <c r="L676" s="379"/>
      <c r="M676" s="379"/>
      <c r="N676" s="379"/>
      <c r="O676" s="379"/>
      <c r="P676" s="379"/>
      <c r="Q676" s="379"/>
    </row>
    <row r="677" spans="1:17" ht="14.4">
      <c r="A677" s="370"/>
      <c r="B677" s="379"/>
      <c r="C677" s="379"/>
      <c r="D677" s="379"/>
      <c r="E677" s="379"/>
      <c r="F677" s="379"/>
      <c r="G677" s="379"/>
      <c r="H677" s="379"/>
      <c r="I677" s="379"/>
      <c r="J677" s="379"/>
      <c r="K677" s="379"/>
      <c r="L677" s="379"/>
      <c r="M677" s="379"/>
      <c r="N677" s="379"/>
      <c r="O677" s="379"/>
      <c r="P677" s="379"/>
      <c r="Q677" s="379"/>
    </row>
    <row r="678" spans="1:17" ht="14.4">
      <c r="A678" s="366" t="s">
        <v>64</v>
      </c>
      <c r="B678" s="373"/>
      <c r="C678" s="375">
        <f>+Baseline_NaturalGas!D24</f>
        <v>1656.5089715892002</v>
      </c>
      <c r="D678" s="375">
        <f>+Baseline_NaturalGas!E24</f>
        <v>1656.5089715892002</v>
      </c>
      <c r="E678" s="375">
        <f>+Baseline_NaturalGas!F24</f>
        <v>1656.5089715892002</v>
      </c>
      <c r="F678" s="375">
        <f>+Baseline_NaturalGas!G24</f>
        <v>1656.5089715892002</v>
      </c>
      <c r="G678" s="375">
        <f>+Baseline_NaturalGas!H24</f>
        <v>1656.5089715892002</v>
      </c>
      <c r="H678" s="375">
        <f>+Baseline_NaturalGas!I24</f>
        <v>1656.5089715892002</v>
      </c>
      <c r="I678" s="375">
        <f>+Baseline_NaturalGas!J24</f>
        <v>1656.5089715892002</v>
      </c>
      <c r="J678" s="375">
        <f>+Baseline_NaturalGas!K24</f>
        <v>1656.5089715892002</v>
      </c>
      <c r="K678" s="375">
        <f>+Baseline_NaturalGas!L24</f>
        <v>1656.5089715892002</v>
      </c>
      <c r="L678" s="375">
        <f>+Baseline_NaturalGas!M24</f>
        <v>1656.5089715892002</v>
      </c>
      <c r="M678" s="375">
        <f>+Baseline_NaturalGas!N24</f>
        <v>1656.5089715892002</v>
      </c>
      <c r="N678" s="375">
        <f>+Baseline_NaturalGas!O24</f>
        <v>1656.5089715892002</v>
      </c>
      <c r="O678" s="375">
        <f>+Baseline_NaturalGas!P24</f>
        <v>1656.5089715892002</v>
      </c>
      <c r="P678" s="375">
        <f>+Baseline_NaturalGas!Q24</f>
        <v>1656.5089715892002</v>
      </c>
      <c r="Q678" s="375">
        <f>+Baseline_NaturalGas!R24</f>
        <v>1656.5089715892002</v>
      </c>
    </row>
    <row r="679" spans="1:17" ht="14.4">
      <c r="A679" s="366" t="s">
        <v>108</v>
      </c>
      <c r="B679" s="387">
        <f>+Baseline_NaturalGas!C25</f>
        <v>0.90200000000000002</v>
      </c>
      <c r="C679" s="373"/>
      <c r="D679" s="373"/>
      <c r="E679" s="373"/>
      <c r="F679" s="373"/>
      <c r="G679" s="373"/>
      <c r="H679" s="373"/>
      <c r="I679" s="373"/>
      <c r="J679" s="373"/>
      <c r="K679" s="373"/>
      <c r="L679" s="373"/>
      <c r="M679" s="373"/>
      <c r="N679" s="373"/>
      <c r="O679" s="373"/>
      <c r="P679" s="373"/>
      <c r="Q679" s="373"/>
    </row>
    <row r="680" spans="1:17" ht="14.4">
      <c r="A680" s="366" t="s">
        <v>346</v>
      </c>
      <c r="B680" s="373"/>
      <c r="C680" s="375">
        <f>+Baseline_NaturalGas!D26</f>
        <v>1741816.7092883086</v>
      </c>
      <c r="D680" s="375">
        <f>+Baseline_NaturalGas!E26</f>
        <v>1741816.7092883086</v>
      </c>
      <c r="E680" s="375">
        <f>+Baseline_NaturalGas!F26</f>
        <v>1741816.7092883086</v>
      </c>
      <c r="F680" s="375">
        <f>+Baseline_NaturalGas!G26</f>
        <v>1741816.7092883086</v>
      </c>
      <c r="G680" s="375">
        <f>+Baseline_NaturalGas!H26</f>
        <v>1741816.7092883086</v>
      </c>
      <c r="H680" s="375">
        <f>+Baseline_NaturalGas!I26</f>
        <v>1741816.7092883086</v>
      </c>
      <c r="I680" s="375">
        <f>+Baseline_NaturalGas!J26</f>
        <v>1741816.7092883086</v>
      </c>
      <c r="J680" s="375">
        <f>+Baseline_NaturalGas!K26</f>
        <v>1741816.7092883086</v>
      </c>
      <c r="K680" s="375">
        <f>+Baseline_NaturalGas!L26</f>
        <v>1741816.7092883086</v>
      </c>
      <c r="L680" s="375">
        <f>+Baseline_NaturalGas!M26</f>
        <v>1741816.7092883086</v>
      </c>
      <c r="M680" s="375">
        <f>+Baseline_NaturalGas!N26</f>
        <v>1741816.7092883086</v>
      </c>
      <c r="N680" s="375">
        <f>+Baseline_NaturalGas!O26</f>
        <v>1741816.7092883086</v>
      </c>
      <c r="O680" s="375">
        <f>+Baseline_NaturalGas!P26</f>
        <v>1741816.7092883086</v>
      </c>
      <c r="P680" s="375">
        <f>+Baseline_NaturalGas!Q26</f>
        <v>1741816.7092883086</v>
      </c>
      <c r="Q680" s="375">
        <f>+Baseline_NaturalGas!R26</f>
        <v>1741816.7092883086</v>
      </c>
    </row>
    <row r="681" spans="1:17" ht="14.4">
      <c r="A681" s="366" t="s">
        <v>66</v>
      </c>
      <c r="B681" s="373"/>
      <c r="C681" s="375">
        <f>+Baseline_NaturalGas!D27</f>
        <v>5.6086944825694198</v>
      </c>
      <c r="D681" s="375">
        <f>+Baseline_NaturalGas!E27</f>
        <v>5.5051083831058802</v>
      </c>
      <c r="E681" s="375">
        <f>+Baseline_NaturalGas!F27</f>
        <v>5.61862622286578</v>
      </c>
      <c r="F681" s="375">
        <f>+Baseline_NaturalGas!G27</f>
        <v>5.8406487933251103</v>
      </c>
      <c r="G681" s="375">
        <f>+Baseline_NaturalGas!H27</f>
        <v>5.8453745748678001</v>
      </c>
      <c r="H681" s="375">
        <f>+Baseline_NaturalGas!I27</f>
        <v>6.0672099673130804</v>
      </c>
      <c r="I681" s="375">
        <f>+Baseline_NaturalGas!J27</f>
        <v>6.39755565092754</v>
      </c>
      <c r="J681" s="375">
        <f>+Baseline_NaturalGas!K27</f>
        <v>6.39755565092754</v>
      </c>
      <c r="K681" s="375">
        <f>+Baseline_NaturalGas!L27</f>
        <v>6.39755565092754</v>
      </c>
      <c r="L681" s="375">
        <f>+Baseline_NaturalGas!M27</f>
        <v>6.39755565092754</v>
      </c>
      <c r="M681" s="375">
        <f>+Baseline_NaturalGas!N27</f>
        <v>6.39755565092754</v>
      </c>
      <c r="N681" s="375">
        <f>+Baseline_NaturalGas!O27</f>
        <v>6.39755565092754</v>
      </c>
      <c r="O681" s="375">
        <f>+Baseline_NaturalGas!P27</f>
        <v>6.39755565092754</v>
      </c>
      <c r="P681" s="375">
        <f>+Baseline_NaturalGas!Q27</f>
        <v>6.39755565092754</v>
      </c>
      <c r="Q681" s="375">
        <f>+Baseline_NaturalGas!R27</f>
        <v>6.39755565092754</v>
      </c>
    </row>
    <row r="682" spans="1:17" ht="14.4">
      <c r="A682" s="370"/>
      <c r="B682" s="379"/>
      <c r="C682" s="379"/>
      <c r="D682" s="379"/>
      <c r="E682" s="379"/>
      <c r="F682" s="379"/>
      <c r="G682" s="379"/>
      <c r="H682" s="379"/>
      <c r="I682" s="379"/>
      <c r="J682" s="379"/>
      <c r="K682" s="379"/>
      <c r="L682" s="379"/>
      <c r="M682" s="379"/>
      <c r="N682" s="379"/>
      <c r="O682" s="379"/>
      <c r="P682" s="379"/>
      <c r="Q682" s="379"/>
    </row>
    <row r="683" spans="1:17" ht="14.4">
      <c r="A683" s="366" t="s">
        <v>102</v>
      </c>
      <c r="B683" s="378">
        <f t="shared" ref="B683" si="176">+SUM(C683:Q683)</f>
        <v>160358.02702356796</v>
      </c>
      <c r="C683" s="375">
        <f>+C680*C681/1000</f>
        <v>9769.3177670325604</v>
      </c>
      <c r="D683" s="375">
        <f>+D680*D681/1000</f>
        <v>9588.8897681369654</v>
      </c>
      <c r="E683" s="375">
        <f t="shared" ref="E683:Q683" si="177">+E680*E681/1000</f>
        <v>9786.6170382330711</v>
      </c>
      <c r="F683" s="375">
        <f t="shared" si="177"/>
        <v>10173.339661298274</v>
      </c>
      <c r="G683" s="375">
        <f t="shared" si="177"/>
        <v>10181.571106553778</v>
      </c>
      <c r="H683" s="375">
        <f t="shared" si="177"/>
        <v>10567.967699826495</v>
      </c>
      <c r="I683" s="375">
        <f t="shared" si="177"/>
        <v>11143.36933138743</v>
      </c>
      <c r="J683" s="375">
        <f t="shared" si="177"/>
        <v>11143.36933138743</v>
      </c>
      <c r="K683" s="375">
        <f t="shared" si="177"/>
        <v>11143.36933138743</v>
      </c>
      <c r="L683" s="375">
        <f t="shared" si="177"/>
        <v>11143.36933138743</v>
      </c>
      <c r="M683" s="375">
        <f t="shared" si="177"/>
        <v>11143.36933138743</v>
      </c>
      <c r="N683" s="375">
        <f t="shared" si="177"/>
        <v>11143.36933138743</v>
      </c>
      <c r="O683" s="375">
        <f t="shared" si="177"/>
        <v>11143.36933138743</v>
      </c>
      <c r="P683" s="375">
        <f t="shared" si="177"/>
        <v>11143.36933138743</v>
      </c>
      <c r="Q683" s="375">
        <f t="shared" si="177"/>
        <v>11143.36933138743</v>
      </c>
    </row>
    <row r="684" spans="1:17" ht="14.4">
      <c r="A684" s="370"/>
      <c r="B684" s="373"/>
      <c r="C684" s="373"/>
      <c r="D684" s="373"/>
      <c r="E684" s="373"/>
      <c r="F684" s="373"/>
      <c r="G684" s="373"/>
      <c r="H684" s="373"/>
      <c r="I684" s="373"/>
      <c r="J684" s="373"/>
      <c r="K684" s="373"/>
      <c r="L684" s="373"/>
      <c r="M684" s="373"/>
      <c r="N684" s="373"/>
      <c r="O684" s="373"/>
      <c r="P684" s="373"/>
      <c r="Q684" s="373"/>
    </row>
    <row r="685" spans="1:17" ht="14.4">
      <c r="A685" s="370"/>
      <c r="B685" s="379"/>
      <c r="C685" s="379"/>
      <c r="D685" s="379"/>
      <c r="E685" s="379"/>
      <c r="F685" s="379"/>
      <c r="G685" s="379"/>
      <c r="H685" s="379"/>
      <c r="I685" s="379"/>
      <c r="J685" s="379"/>
      <c r="K685" s="379"/>
      <c r="L685" s="379"/>
      <c r="M685" s="379"/>
      <c r="N685" s="379"/>
      <c r="O685" s="379"/>
      <c r="P685" s="379"/>
      <c r="Q685" s="379"/>
    </row>
    <row r="686" spans="1:17" ht="14.4">
      <c r="A686" s="366" t="s">
        <v>101</v>
      </c>
      <c r="B686" s="373"/>
      <c r="C686" s="375">
        <f>+C683+C674</f>
        <v>10727.338794532559</v>
      </c>
      <c r="D686" s="375">
        <f t="shared" ref="D686:Q686" si="178">+D683+D674</f>
        <v>10572.585759173966</v>
      </c>
      <c r="E686" s="375">
        <f t="shared" si="178"/>
        <v>10796.676081829863</v>
      </c>
      <c r="F686" s="375">
        <f t="shared" si="178"/>
        <v>11210.46828726346</v>
      </c>
      <c r="G686" s="375">
        <f t="shared" si="178"/>
        <v>11246.494779694831</v>
      </c>
      <c r="H686" s="375">
        <f t="shared" si="178"/>
        <v>11661.431327407727</v>
      </c>
      <c r="I686" s="375">
        <f t="shared" si="178"/>
        <v>12266.13778418784</v>
      </c>
      <c r="J686" s="375">
        <f t="shared" si="178"/>
        <v>12296.227978722891</v>
      </c>
      <c r="K686" s="375">
        <f t="shared" si="178"/>
        <v>12327.124590471481</v>
      </c>
      <c r="L686" s="375">
        <f t="shared" si="178"/>
        <v>12358.849231414933</v>
      </c>
      <c r="M686" s="375">
        <f t="shared" si="178"/>
        <v>12391.42409273567</v>
      </c>
      <c r="N686" s="375">
        <f t="shared" si="178"/>
        <v>12424.871960339802</v>
      </c>
      <c r="O686" s="375">
        <f t="shared" si="178"/>
        <v>12459.216230795726</v>
      </c>
      <c r="P686" s="375">
        <f t="shared" si="178"/>
        <v>12494.480927699869</v>
      </c>
      <c r="Q686" s="375">
        <f t="shared" si="178"/>
        <v>12530.690718481042</v>
      </c>
    </row>
    <row r="687" spans="1:17" ht="14.4">
      <c r="A687" s="370"/>
      <c r="B687" s="379"/>
      <c r="C687" s="379"/>
      <c r="D687" s="379"/>
      <c r="E687" s="379"/>
      <c r="F687" s="379"/>
      <c r="G687" s="379"/>
      <c r="H687" s="379"/>
      <c r="I687" s="379"/>
      <c r="J687" s="379"/>
      <c r="K687" s="379"/>
      <c r="L687" s="379"/>
      <c r="M687" s="379"/>
      <c r="N687" s="379"/>
      <c r="O687" s="379"/>
      <c r="P687" s="379"/>
      <c r="Q687" s="379"/>
    </row>
    <row r="688" spans="1:17" ht="14.4">
      <c r="A688" s="366" t="s">
        <v>73</v>
      </c>
      <c r="B688" s="378">
        <f>+SUM(C688:Q688)</f>
        <v>11487.524395535713</v>
      </c>
      <c r="C688" s="367">
        <f>+Baseline_NaturalGas!$D$5/'Initial Data'!$C$19</f>
        <v>1148.7524395535715</v>
      </c>
      <c r="D688" s="367">
        <f>+Baseline_NaturalGas!$D$5/'Initial Data'!$C$19</f>
        <v>1148.7524395535715</v>
      </c>
      <c r="E688" s="367">
        <f>+Baseline_NaturalGas!$D$5/'Initial Data'!$C$19</f>
        <v>1148.7524395535715</v>
      </c>
      <c r="F688" s="367">
        <f>+Baseline_NaturalGas!$D$5/'Initial Data'!$C$19</f>
        <v>1148.7524395535715</v>
      </c>
      <c r="G688" s="367">
        <f>+Baseline_NaturalGas!$D$5/'Initial Data'!$C$19</f>
        <v>1148.7524395535715</v>
      </c>
      <c r="H688" s="367">
        <f>+Baseline_NaturalGas!$D$5/'Initial Data'!$C$19</f>
        <v>1148.7524395535715</v>
      </c>
      <c r="I688" s="367">
        <f>+Baseline_NaturalGas!$D$5/'Initial Data'!$C$19</f>
        <v>1148.7524395535715</v>
      </c>
      <c r="J688" s="367">
        <f>+Baseline_NaturalGas!$D$5/'Initial Data'!$C$19</f>
        <v>1148.7524395535715</v>
      </c>
      <c r="K688" s="367">
        <f>+Baseline_NaturalGas!$D$5/'Initial Data'!$C$19</f>
        <v>1148.7524395535715</v>
      </c>
      <c r="L688" s="367">
        <f>+Baseline_NaturalGas!$D$5/'Initial Data'!$C$19</f>
        <v>1148.7524395535715</v>
      </c>
      <c r="M688" s="367">
        <v>0</v>
      </c>
      <c r="N688" s="367">
        <v>0</v>
      </c>
      <c r="O688" s="367">
        <v>0</v>
      </c>
      <c r="P688" s="367">
        <v>0</v>
      </c>
      <c r="Q688" s="367">
        <v>0</v>
      </c>
    </row>
    <row r="689" spans="1:17" ht="14.4">
      <c r="A689" s="366" t="s">
        <v>74</v>
      </c>
      <c r="B689" s="378">
        <f>+SUM(C689:Q689)</f>
        <v>11487.524395535713</v>
      </c>
      <c r="C689" s="367">
        <f>SUM(C688:C688)</f>
        <v>1148.7524395535715</v>
      </c>
      <c r="D689" s="367">
        <f t="shared" ref="D689:Q689" si="179">SUM(D688:D688)</f>
        <v>1148.7524395535715</v>
      </c>
      <c r="E689" s="367">
        <f t="shared" si="179"/>
        <v>1148.7524395535715</v>
      </c>
      <c r="F689" s="367">
        <f t="shared" si="179"/>
        <v>1148.7524395535715</v>
      </c>
      <c r="G689" s="367">
        <f t="shared" si="179"/>
        <v>1148.7524395535715</v>
      </c>
      <c r="H689" s="367">
        <f t="shared" si="179"/>
        <v>1148.7524395535715</v>
      </c>
      <c r="I689" s="367">
        <f t="shared" si="179"/>
        <v>1148.7524395535715</v>
      </c>
      <c r="J689" s="367">
        <f t="shared" si="179"/>
        <v>1148.7524395535715</v>
      </c>
      <c r="K689" s="367">
        <f t="shared" si="179"/>
        <v>1148.7524395535715</v>
      </c>
      <c r="L689" s="367">
        <f t="shared" si="179"/>
        <v>1148.7524395535715</v>
      </c>
      <c r="M689" s="367">
        <f t="shared" si="179"/>
        <v>0</v>
      </c>
      <c r="N689" s="367">
        <f t="shared" si="179"/>
        <v>0</v>
      </c>
      <c r="O689" s="367">
        <f t="shared" si="179"/>
        <v>0</v>
      </c>
      <c r="P689" s="367">
        <f t="shared" si="179"/>
        <v>0</v>
      </c>
      <c r="Q689" s="367">
        <f t="shared" si="179"/>
        <v>0</v>
      </c>
    </row>
    <row r="690" spans="1:17" ht="14.4">
      <c r="A690" s="90"/>
      <c r="B690" s="388"/>
      <c r="C690" s="373"/>
      <c r="D690" s="373"/>
      <c r="E690" s="373"/>
      <c r="F690" s="373"/>
      <c r="G690" s="373"/>
      <c r="H690" s="373"/>
      <c r="I690" s="373"/>
      <c r="J690" s="373"/>
      <c r="K690" s="373"/>
      <c r="L690" s="373"/>
      <c r="M690" s="373"/>
      <c r="N690" s="373"/>
      <c r="O690" s="373"/>
      <c r="P690" s="373"/>
      <c r="Q690" s="373"/>
    </row>
    <row r="691" spans="1:17" ht="14.4">
      <c r="A691" s="366" t="s">
        <v>75</v>
      </c>
      <c r="B691" s="378">
        <f>+SUM(C691:Q691)</f>
        <v>189251.54294028736</v>
      </c>
      <c r="C691" s="367">
        <f>+C686+C689</f>
        <v>11876.09123408613</v>
      </c>
      <c r="D691" s="367">
        <f t="shared" ref="D691:Q691" si="180">+D686+D689</f>
        <v>11721.338198727537</v>
      </c>
      <c r="E691" s="367">
        <f t="shared" si="180"/>
        <v>11945.428521383434</v>
      </c>
      <c r="F691" s="367">
        <f t="shared" si="180"/>
        <v>12359.220726817031</v>
      </c>
      <c r="G691" s="367">
        <f t="shared" si="180"/>
        <v>12395.247219248402</v>
      </c>
      <c r="H691" s="367">
        <f t="shared" si="180"/>
        <v>12810.183766961298</v>
      </c>
      <c r="I691" s="367">
        <f t="shared" si="180"/>
        <v>13414.890223741411</v>
      </c>
      <c r="J691" s="367">
        <f t="shared" si="180"/>
        <v>13444.980418276462</v>
      </c>
      <c r="K691" s="367">
        <f t="shared" si="180"/>
        <v>13475.877030025053</v>
      </c>
      <c r="L691" s="367">
        <f t="shared" si="180"/>
        <v>13507.601670968505</v>
      </c>
      <c r="M691" s="367">
        <f t="shared" si="180"/>
        <v>12391.42409273567</v>
      </c>
      <c r="N691" s="367">
        <f t="shared" si="180"/>
        <v>12424.871960339802</v>
      </c>
      <c r="O691" s="367">
        <f t="shared" si="180"/>
        <v>12459.216230795726</v>
      </c>
      <c r="P691" s="367">
        <f t="shared" si="180"/>
        <v>12494.480927699869</v>
      </c>
      <c r="Q691" s="367">
        <f t="shared" si="180"/>
        <v>12530.690718481042</v>
      </c>
    </row>
    <row r="692" spans="1:17">
      <c r="A692" s="74"/>
    </row>
    <row r="693" spans="1:17" ht="14.4">
      <c r="A693" s="366" t="s">
        <v>76</v>
      </c>
      <c r="B693" s="378">
        <f>+SUM(C693:Q693)</f>
        <v>1754746.8745290032</v>
      </c>
      <c r="C693" s="367">
        <f>+C671-C691</f>
        <v>95121.051623056745</v>
      </c>
      <c r="D693" s="367">
        <f t="shared" ref="D693:Q693" si="181">+D671-D691</f>
        <v>98143.328086986745</v>
      </c>
      <c r="E693" s="367">
        <f t="shared" si="181"/>
        <v>100863.61082078797</v>
      </c>
      <c r="F693" s="367">
        <f t="shared" si="181"/>
        <v>103473.10086972457</v>
      </c>
      <c r="G693" s="367">
        <f t="shared" si="181"/>
        <v>106541.3805960805</v>
      </c>
      <c r="H693" s="367">
        <f t="shared" si="181"/>
        <v>109313.94567381842</v>
      </c>
      <c r="I693" s="367">
        <f t="shared" si="181"/>
        <v>111982.16588605121</v>
      </c>
      <c r="J693" s="367">
        <f t="shared" si="181"/>
        <v>115312.71679525857</v>
      </c>
      <c r="K693" s="367">
        <f t="shared" si="181"/>
        <v>118732.52646883273</v>
      </c>
      <c r="L693" s="367">
        <f t="shared" si="181"/>
        <v>122243.98704165865</v>
      </c>
      <c r="M693" s="367">
        <f t="shared" si="181"/>
        <v>126998.30719738985</v>
      </c>
      <c r="N693" s="367">
        <f t="shared" si="181"/>
        <v>130700.50412836109</v>
      </c>
      <c r="O693" s="367">
        <f t="shared" si="181"/>
        <v>134501.91993708233</v>
      </c>
      <c r="P693" s="367">
        <f t="shared" si="181"/>
        <v>138405.2136894773</v>
      </c>
      <c r="Q693" s="367">
        <f t="shared" si="181"/>
        <v>142413.11571443648</v>
      </c>
    </row>
    <row r="694" spans="1:17" ht="14.4">
      <c r="A694" s="369"/>
      <c r="B694" s="373"/>
      <c r="C694" s="373"/>
      <c r="D694" s="373"/>
      <c r="E694" s="373"/>
      <c r="F694" s="373"/>
      <c r="G694" s="373"/>
      <c r="H694" s="373"/>
      <c r="I694" s="373"/>
      <c r="J694" s="373"/>
      <c r="K694" s="373"/>
      <c r="L694" s="373"/>
      <c r="M694" s="373"/>
      <c r="N694" s="373"/>
      <c r="O694" s="373"/>
      <c r="P694" s="373"/>
      <c r="Q694" s="373"/>
    </row>
    <row r="695" spans="1:17" ht="14.4">
      <c r="A695" s="366" t="s">
        <v>222</v>
      </c>
      <c r="B695" s="380">
        <f>+Baseline_NaturalGas!C43</f>
        <v>0.7</v>
      </c>
      <c r="C695" s="367">
        <f>IF((+$B$650*C693)&lt;0,"0",(+$B$650*C693))</f>
        <v>66584.73613613972</v>
      </c>
      <c r="D695" s="367">
        <f t="shared" ref="D695:Q695" si="182">IF((+$B$650*D693)&lt;0,"0",(+$B$650*D693))</f>
        <v>68700.329660890711</v>
      </c>
      <c r="E695" s="367">
        <f t="shared" si="182"/>
        <v>70604.527574551583</v>
      </c>
      <c r="F695" s="367">
        <f t="shared" si="182"/>
        <v>72431.170608807195</v>
      </c>
      <c r="G695" s="367">
        <f t="shared" si="182"/>
        <v>74578.96641725635</v>
      </c>
      <c r="H695" s="367">
        <f t="shared" si="182"/>
        <v>76519.761971672895</v>
      </c>
      <c r="I695" s="367">
        <f t="shared" si="182"/>
        <v>78387.516120235843</v>
      </c>
      <c r="J695" s="367">
        <f t="shared" si="182"/>
        <v>80718.901756680993</v>
      </c>
      <c r="K695" s="367">
        <f t="shared" si="182"/>
        <v>83112.768528182904</v>
      </c>
      <c r="L695" s="367">
        <f t="shared" si="182"/>
        <v>85570.790929161056</v>
      </c>
      <c r="M695" s="367">
        <f t="shared" si="182"/>
        <v>88898.815038172892</v>
      </c>
      <c r="N695" s="367">
        <f t="shared" si="182"/>
        <v>91490.352889852758</v>
      </c>
      <c r="O695" s="367">
        <f t="shared" si="182"/>
        <v>94151.343955957622</v>
      </c>
      <c r="P695" s="367">
        <f t="shared" si="182"/>
        <v>96883.649582634098</v>
      </c>
      <c r="Q695" s="367">
        <f t="shared" si="182"/>
        <v>99689.181000105527</v>
      </c>
    </row>
    <row r="696" spans="1:17" ht="14.4">
      <c r="A696" s="366" t="s">
        <v>77</v>
      </c>
      <c r="B696" s="378">
        <f>+SUM(C696:Q696)</f>
        <v>1228322.812170302</v>
      </c>
      <c r="C696" s="367">
        <f>SUM(C695:C695)</f>
        <v>66584.73613613972</v>
      </c>
      <c r="D696" s="367">
        <f t="shared" ref="D696:Q696" si="183">SUM(D695:D695)</f>
        <v>68700.329660890711</v>
      </c>
      <c r="E696" s="367">
        <f t="shared" si="183"/>
        <v>70604.527574551583</v>
      </c>
      <c r="F696" s="367">
        <f t="shared" si="183"/>
        <v>72431.170608807195</v>
      </c>
      <c r="G696" s="367">
        <f t="shared" si="183"/>
        <v>74578.96641725635</v>
      </c>
      <c r="H696" s="367">
        <f t="shared" si="183"/>
        <v>76519.761971672895</v>
      </c>
      <c r="I696" s="367">
        <f t="shared" si="183"/>
        <v>78387.516120235843</v>
      </c>
      <c r="J696" s="367">
        <f t="shared" si="183"/>
        <v>80718.901756680993</v>
      </c>
      <c r="K696" s="367">
        <f t="shared" si="183"/>
        <v>83112.768528182904</v>
      </c>
      <c r="L696" s="367">
        <f t="shared" si="183"/>
        <v>85570.790929161056</v>
      </c>
      <c r="M696" s="367">
        <f t="shared" si="183"/>
        <v>88898.815038172892</v>
      </c>
      <c r="N696" s="367">
        <f t="shared" si="183"/>
        <v>91490.352889852758</v>
      </c>
      <c r="O696" s="367">
        <f t="shared" si="183"/>
        <v>94151.343955957622</v>
      </c>
      <c r="P696" s="367">
        <f t="shared" si="183"/>
        <v>96883.649582634098</v>
      </c>
      <c r="Q696" s="367">
        <f t="shared" si="183"/>
        <v>99689.181000105527</v>
      </c>
    </row>
    <row r="697" spans="1:17" ht="14.4">
      <c r="A697" s="369"/>
      <c r="B697" s="373"/>
      <c r="C697" s="373"/>
      <c r="D697" s="373"/>
      <c r="E697" s="373"/>
      <c r="F697" s="373"/>
      <c r="G697" s="373"/>
      <c r="H697" s="373"/>
      <c r="I697" s="373"/>
      <c r="J697" s="373"/>
      <c r="K697" s="373"/>
      <c r="L697" s="373"/>
      <c r="M697" s="373"/>
      <c r="N697" s="373"/>
      <c r="O697" s="373"/>
      <c r="P697" s="373"/>
      <c r="Q697" s="373"/>
    </row>
    <row r="698" spans="1:17" ht="14.4">
      <c r="A698" s="366" t="s">
        <v>78</v>
      </c>
      <c r="B698" s="378">
        <f>+SUM(C698:Q698)</f>
        <v>526424.06235870102</v>
      </c>
      <c r="C698" s="367">
        <f>+C693-C696</f>
        <v>28536.315486917025</v>
      </c>
      <c r="D698" s="367">
        <f t="shared" ref="D698:Q698" si="184">+D693-D696</f>
        <v>29442.998426096034</v>
      </c>
      <c r="E698" s="367">
        <f t="shared" si="184"/>
        <v>30259.083246236391</v>
      </c>
      <c r="F698" s="367">
        <f t="shared" si="184"/>
        <v>31041.930260917376</v>
      </c>
      <c r="G698" s="367">
        <f t="shared" si="184"/>
        <v>31962.414178824154</v>
      </c>
      <c r="H698" s="367">
        <f t="shared" si="184"/>
        <v>32794.183702145529</v>
      </c>
      <c r="I698" s="367">
        <f t="shared" si="184"/>
        <v>33594.649765815368</v>
      </c>
      <c r="J698" s="367">
        <f t="shared" si="184"/>
        <v>34593.815038577581</v>
      </c>
      <c r="K698" s="367">
        <f t="shared" si="184"/>
        <v>35619.757940649826</v>
      </c>
      <c r="L698" s="367">
        <f t="shared" si="184"/>
        <v>36673.196112497593</v>
      </c>
      <c r="M698" s="367">
        <f t="shared" si="184"/>
        <v>38099.492159216956</v>
      </c>
      <c r="N698" s="367">
        <f t="shared" si="184"/>
        <v>39210.151238508333</v>
      </c>
      <c r="O698" s="367">
        <f t="shared" si="184"/>
        <v>40350.575981124712</v>
      </c>
      <c r="P698" s="367">
        <f t="shared" si="184"/>
        <v>41521.564106843201</v>
      </c>
      <c r="Q698" s="367">
        <f t="shared" si="184"/>
        <v>42723.934714330957</v>
      </c>
    </row>
    <row r="699" spans="1:17" ht="14.4">
      <c r="A699" s="395" t="s">
        <v>331</v>
      </c>
      <c r="B699" s="378">
        <f>+SUM(C699:Q699)</f>
        <v>11487.524395535713</v>
      </c>
      <c r="C699" s="377">
        <f>+C688</f>
        <v>1148.7524395535715</v>
      </c>
      <c r="D699" s="377">
        <f t="shared" ref="D699:Q699" si="185">+D688</f>
        <v>1148.7524395535715</v>
      </c>
      <c r="E699" s="377">
        <f t="shared" si="185"/>
        <v>1148.7524395535715</v>
      </c>
      <c r="F699" s="377">
        <f t="shared" si="185"/>
        <v>1148.7524395535715</v>
      </c>
      <c r="G699" s="377">
        <f t="shared" si="185"/>
        <v>1148.7524395535715</v>
      </c>
      <c r="H699" s="377">
        <f t="shared" si="185"/>
        <v>1148.7524395535715</v>
      </c>
      <c r="I699" s="377">
        <f t="shared" si="185"/>
        <v>1148.7524395535715</v>
      </c>
      <c r="J699" s="377">
        <f t="shared" si="185"/>
        <v>1148.7524395535715</v>
      </c>
      <c r="K699" s="377">
        <f t="shared" si="185"/>
        <v>1148.7524395535715</v>
      </c>
      <c r="L699" s="377">
        <f t="shared" si="185"/>
        <v>1148.7524395535715</v>
      </c>
      <c r="M699" s="377">
        <f t="shared" si="185"/>
        <v>0</v>
      </c>
      <c r="N699" s="377">
        <f t="shared" si="185"/>
        <v>0</v>
      </c>
      <c r="O699" s="377">
        <f t="shared" si="185"/>
        <v>0</v>
      </c>
      <c r="P699" s="377">
        <f t="shared" si="185"/>
        <v>0</v>
      </c>
      <c r="Q699" s="377">
        <f t="shared" si="185"/>
        <v>0</v>
      </c>
    </row>
    <row r="700" spans="1:17" ht="14.4">
      <c r="A700" s="395" t="s">
        <v>332</v>
      </c>
      <c r="B700" s="378">
        <f>+Baseline_NaturalGas!C633</f>
        <v>0</v>
      </c>
      <c r="C700" s="367">
        <f>+Baseline_NaturalGas!D633</f>
        <v>0</v>
      </c>
      <c r="D700" s="367">
        <f>+Baseline_NaturalGas!E633</f>
        <v>0</v>
      </c>
      <c r="E700" s="367">
        <f>+Baseline_NaturalGas!F633</f>
        <v>0</v>
      </c>
      <c r="F700" s="367">
        <f>+Baseline_NaturalGas!G633</f>
        <v>0</v>
      </c>
      <c r="G700" s="367">
        <f>+Baseline_NaturalGas!H633</f>
        <v>0</v>
      </c>
      <c r="H700" s="367">
        <f>+Baseline_NaturalGas!I633</f>
        <v>0</v>
      </c>
      <c r="I700" s="367">
        <f>+Baseline_NaturalGas!J633</f>
        <v>0</v>
      </c>
      <c r="J700" s="367">
        <f>+Baseline_NaturalGas!K633</f>
        <v>0</v>
      </c>
      <c r="K700" s="367">
        <f>+Baseline_NaturalGas!L633</f>
        <v>0</v>
      </c>
      <c r="L700" s="367">
        <f>+Baseline_NaturalGas!M633</f>
        <v>0</v>
      </c>
      <c r="M700" s="367">
        <f>+Baseline_NaturalGas!N633</f>
        <v>0</v>
      </c>
      <c r="N700" s="367">
        <f>+Baseline_NaturalGas!O633</f>
        <v>0</v>
      </c>
      <c r="O700" s="367">
        <f>+Baseline_NaturalGas!P633</f>
        <v>0</v>
      </c>
      <c r="P700" s="367">
        <f>+Baseline_NaturalGas!Q633</f>
        <v>0</v>
      </c>
      <c r="Q700" s="367">
        <f>+Baseline_NaturalGas!R633</f>
        <v>0</v>
      </c>
    </row>
    <row r="701" spans="1:17" ht="14.4">
      <c r="A701" s="510"/>
      <c r="B701" s="511"/>
      <c r="C701" s="511"/>
      <c r="D701" s="511"/>
      <c r="E701" s="511"/>
      <c r="F701" s="511"/>
      <c r="G701" s="511"/>
      <c r="H701" s="511"/>
      <c r="I701" s="511"/>
      <c r="J701" s="511"/>
      <c r="K701" s="511"/>
      <c r="L701" s="511"/>
      <c r="M701" s="511"/>
      <c r="N701" s="511"/>
      <c r="O701" s="511"/>
      <c r="P701" s="511"/>
      <c r="Q701" s="511"/>
    </row>
    <row r="702" spans="1:17" ht="14.4">
      <c r="A702" s="366" t="s">
        <v>110</v>
      </c>
      <c r="B702" s="378">
        <f>-Baseline_NaturalGas!$D$5</f>
        <v>-11487.524395535715</v>
      </c>
      <c r="C702" s="367">
        <f>+C698+C699+C700</f>
        <v>29685.067926470598</v>
      </c>
      <c r="D702" s="367">
        <f t="shared" ref="D702:Q702" si="186">+D698+D699+D700</f>
        <v>30591.750865649607</v>
      </c>
      <c r="E702" s="367">
        <f t="shared" si="186"/>
        <v>31407.835685789963</v>
      </c>
      <c r="F702" s="367">
        <f t="shared" si="186"/>
        <v>32190.682700470948</v>
      </c>
      <c r="G702" s="367">
        <f t="shared" si="186"/>
        <v>33111.166618377727</v>
      </c>
      <c r="H702" s="367">
        <f t="shared" si="186"/>
        <v>33942.936141699101</v>
      </c>
      <c r="I702" s="367">
        <f t="shared" si="186"/>
        <v>34743.40220536894</v>
      </c>
      <c r="J702" s="367">
        <f t="shared" si="186"/>
        <v>35742.567478131154</v>
      </c>
      <c r="K702" s="367">
        <f t="shared" si="186"/>
        <v>36768.510380203399</v>
      </c>
      <c r="L702" s="367">
        <f t="shared" si="186"/>
        <v>37821.948552051166</v>
      </c>
      <c r="M702" s="367">
        <f t="shared" si="186"/>
        <v>38099.492159216956</v>
      </c>
      <c r="N702" s="367">
        <f t="shared" si="186"/>
        <v>39210.151238508333</v>
      </c>
      <c r="O702" s="367">
        <f t="shared" si="186"/>
        <v>40350.575981124712</v>
      </c>
      <c r="P702" s="367">
        <f t="shared" si="186"/>
        <v>41521.564106843201</v>
      </c>
      <c r="Q702" s="367">
        <f t="shared" si="186"/>
        <v>42723.934714330957</v>
      </c>
    </row>
    <row r="703" spans="1:17" ht="15.6">
      <c r="A703" s="366" t="s">
        <v>51</v>
      </c>
      <c r="B703" s="132">
        <f>IRR(B702:Q702)</f>
        <v>2.6134750084132046</v>
      </c>
      <c r="C703" s="390"/>
      <c r="D703" s="390"/>
      <c r="E703" s="390"/>
      <c r="F703" s="390"/>
      <c r="G703" s="390"/>
      <c r="H703" s="390"/>
      <c r="I703" s="390"/>
      <c r="J703" s="390"/>
      <c r="K703" s="390"/>
      <c r="L703" s="390"/>
      <c r="M703" s="390"/>
      <c r="N703" s="390"/>
      <c r="O703" s="390"/>
      <c r="P703" s="390"/>
      <c r="Q703" s="390"/>
    </row>
    <row r="704" spans="1:17" ht="15.6">
      <c r="A704" s="366" t="s">
        <v>267</v>
      </c>
      <c r="B704" s="303">
        <f>NPV('Initial Data'!$C$21/100,B702:Q702)</f>
        <v>196747.44814822165</v>
      </c>
      <c r="C704" s="373"/>
      <c r="D704" s="373"/>
      <c r="E704" s="373"/>
      <c r="F704" s="373"/>
      <c r="G704" s="373"/>
      <c r="H704" s="373"/>
      <c r="I704" s="373"/>
      <c r="J704" s="373"/>
      <c r="K704" s="373"/>
      <c r="L704" s="373"/>
      <c r="M704" s="373"/>
      <c r="N704" s="373"/>
      <c r="O704" s="373"/>
      <c r="P704" s="373"/>
      <c r="Q704" s="373"/>
    </row>
    <row r="705" spans="1:17" ht="14.4">
      <c r="A705" s="370"/>
      <c r="B705" s="379"/>
      <c r="C705" s="379"/>
      <c r="D705" s="379"/>
      <c r="E705" s="379"/>
      <c r="F705" s="379"/>
      <c r="G705" s="379"/>
      <c r="H705" s="379"/>
      <c r="I705" s="379"/>
      <c r="J705" s="379"/>
      <c r="K705" s="379"/>
      <c r="L705" s="379"/>
      <c r="M705" s="379"/>
      <c r="N705" s="379"/>
      <c r="O705" s="379"/>
      <c r="P705" s="379"/>
      <c r="Q705" s="379"/>
    </row>
    <row r="706" spans="1:17" ht="14.4">
      <c r="A706" s="508" t="s">
        <v>337</v>
      </c>
      <c r="B706" s="509"/>
      <c r="C706" s="509"/>
      <c r="D706" s="509"/>
      <c r="E706" s="509"/>
      <c r="F706" s="509"/>
      <c r="G706" s="509"/>
      <c r="H706" s="509"/>
      <c r="I706" s="509"/>
      <c r="J706" s="509"/>
      <c r="K706" s="509"/>
      <c r="L706" s="509"/>
      <c r="M706" s="509"/>
      <c r="N706" s="509"/>
      <c r="O706" s="509"/>
      <c r="P706" s="509"/>
      <c r="Q706" s="509"/>
    </row>
    <row r="707" spans="1:17" ht="14.4">
      <c r="A707" s="371" t="s">
        <v>340</v>
      </c>
      <c r="B707" s="372"/>
      <c r="C707" s="372"/>
      <c r="D707" s="372"/>
      <c r="E707" s="372"/>
      <c r="F707" s="372"/>
      <c r="G707" s="372"/>
      <c r="H707" s="372"/>
      <c r="I707" s="372"/>
      <c r="J707" s="372"/>
      <c r="K707" s="372"/>
      <c r="L707" s="372"/>
      <c r="M707" s="372"/>
      <c r="N707" s="372"/>
      <c r="O707" s="372"/>
      <c r="P707" s="372"/>
      <c r="Q707" s="372"/>
    </row>
    <row r="708" spans="1:17" ht="27">
      <c r="A708" s="376"/>
      <c r="B708" s="304" t="s">
        <v>35</v>
      </c>
      <c r="C708" s="352" t="s">
        <v>407</v>
      </c>
      <c r="D708" s="352" t="s">
        <v>408</v>
      </c>
      <c r="E708" s="352" t="s">
        <v>409</v>
      </c>
      <c r="F708" s="352" t="s">
        <v>410</v>
      </c>
      <c r="G708" s="352" t="s">
        <v>411</v>
      </c>
      <c r="H708" s="352" t="s">
        <v>412</v>
      </c>
      <c r="I708" s="352" t="s">
        <v>413</v>
      </c>
      <c r="J708" s="352" t="s">
        <v>414</v>
      </c>
      <c r="K708" s="352" t="s">
        <v>415</v>
      </c>
      <c r="L708" s="352" t="s">
        <v>416</v>
      </c>
      <c r="M708" s="352" t="s">
        <v>417</v>
      </c>
      <c r="N708" s="352" t="s">
        <v>418</v>
      </c>
      <c r="O708" s="352" t="s">
        <v>419</v>
      </c>
      <c r="P708" s="352" t="s">
        <v>420</v>
      </c>
      <c r="Q708" s="352" t="s">
        <v>421</v>
      </c>
    </row>
    <row r="709" spans="1:17" ht="14.4">
      <c r="A709" s="363" t="s">
        <v>290</v>
      </c>
      <c r="B709" s="365"/>
      <c r="C709" s="367">
        <f>+Baseline_NaturalGas!D10</f>
        <v>219000</v>
      </c>
      <c r="D709" s="367">
        <f>+Baseline_NaturalGas!E10</f>
        <v>219000</v>
      </c>
      <c r="E709" s="367">
        <f>+Baseline_NaturalGas!F10</f>
        <v>219000</v>
      </c>
      <c r="F709" s="367">
        <f>+Baseline_NaturalGas!G10</f>
        <v>219000</v>
      </c>
      <c r="G709" s="367">
        <f>+Baseline_NaturalGas!H10</f>
        <v>219000</v>
      </c>
      <c r="H709" s="367">
        <f>+Baseline_NaturalGas!I10</f>
        <v>219000</v>
      </c>
      <c r="I709" s="367">
        <f>+Baseline_NaturalGas!J10</f>
        <v>219000</v>
      </c>
      <c r="J709" s="367">
        <f>+Baseline_NaturalGas!K10</f>
        <v>219000</v>
      </c>
      <c r="K709" s="367">
        <f>+Baseline_NaturalGas!L10</f>
        <v>219000</v>
      </c>
      <c r="L709" s="367">
        <f>+Baseline_NaturalGas!M10</f>
        <v>219000</v>
      </c>
      <c r="M709" s="367">
        <f>+Baseline_NaturalGas!N10</f>
        <v>219000</v>
      </c>
      <c r="N709" s="367">
        <f>+Baseline_NaturalGas!O10</f>
        <v>219000</v>
      </c>
      <c r="O709" s="367">
        <f>+Baseline_NaturalGas!P10</f>
        <v>219000</v>
      </c>
      <c r="P709" s="367">
        <f>+Baseline_NaturalGas!Q10</f>
        <v>219000</v>
      </c>
      <c r="Q709" s="367">
        <f>+Baseline_NaturalGas!R10</f>
        <v>219000</v>
      </c>
    </row>
    <row r="710" spans="1:17" ht="14.4">
      <c r="A710" s="364" t="s">
        <v>291</v>
      </c>
      <c r="B710" s="365"/>
      <c r="C710" s="381">
        <f>'Initial Data'!$C$50*(1+'BL Sensitivity Analysis'!$F$7)-'Initial Data'!$C$51</f>
        <v>82</v>
      </c>
      <c r="D710" s="381">
        <f>'Initial Data'!$C$50*(1+'BL Sensitivity Analysis'!$F$7)-'Initial Data'!$C$51</f>
        <v>82</v>
      </c>
      <c r="E710" s="381">
        <f>'Initial Data'!$C$50*(1+'BL Sensitivity Analysis'!$F$7)-'Initial Data'!$C$51</f>
        <v>82</v>
      </c>
      <c r="F710" s="381">
        <f>'Initial Data'!$C$50*(1+'BL Sensitivity Analysis'!$F$7)-'Initial Data'!$C$51</f>
        <v>82</v>
      </c>
      <c r="G710" s="381">
        <f>'Initial Data'!$C$50*(1+'BL Sensitivity Analysis'!$F$7)-'Initial Data'!$C$51</f>
        <v>82</v>
      </c>
      <c r="H710" s="381">
        <f>'Initial Data'!$C$50*(1+'BL Sensitivity Analysis'!$F$7)-'Initial Data'!$C$51</f>
        <v>82</v>
      </c>
      <c r="I710" s="381">
        <f>'Initial Data'!$C$50*(1+'BL Sensitivity Analysis'!$F$7)-'Initial Data'!$C$51</f>
        <v>82</v>
      </c>
      <c r="J710" s="381">
        <f>'Initial Data'!$C$50*(1+'BL Sensitivity Analysis'!$F$7)-'Initial Data'!$C$51</f>
        <v>82</v>
      </c>
      <c r="K710" s="381">
        <f>'Initial Data'!$C$50*(1+'BL Sensitivity Analysis'!$F$7)-'Initial Data'!$C$51</f>
        <v>82</v>
      </c>
      <c r="L710" s="381">
        <f>'Initial Data'!$C$50*(1+'BL Sensitivity Analysis'!$F$7)-'Initial Data'!$C$51</f>
        <v>82</v>
      </c>
      <c r="M710" s="381">
        <f>'Initial Data'!$C$50*(1+'BL Sensitivity Analysis'!$F$7)-'Initial Data'!$C$51</f>
        <v>82</v>
      </c>
      <c r="N710" s="381">
        <f>'Initial Data'!$C$50*(1+'BL Sensitivity Analysis'!$F$7)-'Initial Data'!$C$51</f>
        <v>82</v>
      </c>
      <c r="O710" s="381">
        <f>'Initial Data'!$C$50*(1+'BL Sensitivity Analysis'!$F$7)-'Initial Data'!$C$51</f>
        <v>82</v>
      </c>
      <c r="P710" s="381">
        <f>'Initial Data'!$C$50*(1+'BL Sensitivity Analysis'!$F$7)-'Initial Data'!$C$51</f>
        <v>82</v>
      </c>
      <c r="Q710" s="381">
        <f>'Initial Data'!$C$50*(1+'BL Sensitivity Analysis'!$F$7)-'Initial Data'!$C$51</f>
        <v>82</v>
      </c>
    </row>
    <row r="711" spans="1:17" ht="14.4">
      <c r="A711" s="366" t="s">
        <v>292</v>
      </c>
      <c r="B711" s="365"/>
      <c r="C711" s="375">
        <f>+Baseline_NaturalGas!D12</f>
        <v>6.4285714285714288</v>
      </c>
      <c r="D711" s="375">
        <f>+Baseline_NaturalGas!E12</f>
        <v>6.6008571428571425</v>
      </c>
      <c r="E711" s="375">
        <f>+Baseline_NaturalGas!F12</f>
        <v>6.7777601142857131</v>
      </c>
      <c r="F711" s="375">
        <f>+Baseline_NaturalGas!G12</f>
        <v>6.9594040853485701</v>
      </c>
      <c r="G711" s="375">
        <f>+Baseline_NaturalGas!H12</f>
        <v>7.1459161148359112</v>
      </c>
      <c r="H711" s="375">
        <f>+Baseline_NaturalGas!I12</f>
        <v>7.3374266667135135</v>
      </c>
      <c r="I711" s="375">
        <f>+Baseline_NaturalGas!J12</f>
        <v>7.5340697013814353</v>
      </c>
      <c r="J711" s="375">
        <f>+Baseline_NaturalGas!K12</f>
        <v>7.7359827693784569</v>
      </c>
      <c r="K711" s="375">
        <f>+Baseline_NaturalGas!L12</f>
        <v>7.943307107597799</v>
      </c>
      <c r="L711" s="375">
        <f>+Baseline_NaturalGas!M12</f>
        <v>8.1561877380814192</v>
      </c>
      <c r="M711" s="375">
        <f>+Baseline_NaturalGas!N12</f>
        <v>8.3747735694620005</v>
      </c>
      <c r="N711" s="375">
        <f>+Baseline_NaturalGas!O12</f>
        <v>8.5992175011235812</v>
      </c>
      <c r="O711" s="375">
        <f>+Baseline_NaturalGas!P12</f>
        <v>8.8296765301536926</v>
      </c>
      <c r="P711" s="375">
        <f>+Baseline_NaturalGas!Q12</f>
        <v>9.066311861161811</v>
      </c>
      <c r="Q711" s="375">
        <f>+Baseline_NaturalGas!R12</f>
        <v>9.3092890190409463</v>
      </c>
    </row>
    <row r="712" spans="1:17" ht="14.4">
      <c r="A712" s="366" t="s">
        <v>293</v>
      </c>
      <c r="B712" s="365"/>
      <c r="C712" s="367">
        <f>+C710*C711</f>
        <v>527.14285714285711</v>
      </c>
      <c r="D712" s="367">
        <f t="shared" ref="D712:Q712" si="187">+D710*D711</f>
        <v>541.27028571428571</v>
      </c>
      <c r="E712" s="367">
        <f t="shared" si="187"/>
        <v>555.77632937142846</v>
      </c>
      <c r="F712" s="367">
        <f t="shared" si="187"/>
        <v>570.67113499858272</v>
      </c>
      <c r="G712" s="367">
        <f t="shared" si="187"/>
        <v>585.96512141654466</v>
      </c>
      <c r="H712" s="367">
        <f t="shared" si="187"/>
        <v>601.66898667050816</v>
      </c>
      <c r="I712" s="367">
        <f t="shared" si="187"/>
        <v>617.79371551327768</v>
      </c>
      <c r="J712" s="367">
        <f t="shared" si="187"/>
        <v>634.35058708903341</v>
      </c>
      <c r="K712" s="367">
        <f t="shared" si="187"/>
        <v>651.35118282301949</v>
      </c>
      <c r="L712" s="367">
        <f t="shared" si="187"/>
        <v>668.80739452267642</v>
      </c>
      <c r="M712" s="367">
        <f t="shared" si="187"/>
        <v>686.731432695884</v>
      </c>
      <c r="N712" s="367">
        <f t="shared" si="187"/>
        <v>705.13583509213368</v>
      </c>
      <c r="O712" s="367">
        <f t="shared" si="187"/>
        <v>724.03347547260285</v>
      </c>
      <c r="P712" s="367">
        <f t="shared" si="187"/>
        <v>743.43757261526855</v>
      </c>
      <c r="Q712" s="367">
        <f t="shared" si="187"/>
        <v>763.36169956135757</v>
      </c>
    </row>
    <row r="713" spans="1:17" ht="14.4">
      <c r="A713" s="370"/>
      <c r="B713" s="373"/>
      <c r="C713" s="373"/>
      <c r="D713" s="373"/>
      <c r="E713" s="373"/>
      <c r="F713" s="373"/>
      <c r="G713" s="373"/>
      <c r="H713" s="373"/>
      <c r="I713" s="373"/>
      <c r="J713" s="373"/>
      <c r="K713" s="373"/>
      <c r="L713" s="373"/>
      <c r="M713" s="373"/>
      <c r="N713" s="373"/>
      <c r="O713" s="373"/>
      <c r="P713" s="373"/>
      <c r="Q713" s="373"/>
    </row>
    <row r="714" spans="1:17" ht="14.4">
      <c r="A714" s="366" t="s">
        <v>294</v>
      </c>
      <c r="B714" s="378">
        <f>+SUM(C714:Q714)</f>
        <v>2097471.9767431817</v>
      </c>
      <c r="C714" s="377">
        <f>C709*C712/1000*'Initial Data'!$C$34/'Initial Data'!$C$33</f>
        <v>115444.2857142857</v>
      </c>
      <c r="D714" s="377">
        <f>D709*D712/1000*'Initial Data'!$C$34/'Initial Data'!$C$33</f>
        <v>118538.19257142856</v>
      </c>
      <c r="E714" s="377">
        <f>E709*E712/1000*'Initial Data'!$C$34/'Initial Data'!$C$33</f>
        <v>121715.01613234283</v>
      </c>
      <c r="F714" s="377">
        <f>F709*F712/1000*'Initial Data'!$C$34/'Initial Data'!$C$33</f>
        <v>124976.97856468961</v>
      </c>
      <c r="G714" s="377">
        <f>G709*G712/1000*'Initial Data'!$C$34/'Initial Data'!$C$33</f>
        <v>128326.36159022329</v>
      </c>
      <c r="H714" s="377">
        <f>H709*H712/1000*'Initial Data'!$C$34/'Initial Data'!$C$33</f>
        <v>131765.50808084127</v>
      </c>
      <c r="I714" s="377">
        <f>I709*I712/1000*'Initial Data'!$C$34/'Initial Data'!$C$33</f>
        <v>135296.82369740782</v>
      </c>
      <c r="J714" s="377">
        <f>J709*J712/1000*'Initial Data'!$C$34/'Initial Data'!$C$33</f>
        <v>138922.77857249833</v>
      </c>
      <c r="K714" s="377">
        <f>K709*K712/1000*'Initial Data'!$C$34/'Initial Data'!$C$33</f>
        <v>142645.90903824125</v>
      </c>
      <c r="L714" s="377">
        <f>L709*L712/1000*'Initial Data'!$C$34/'Initial Data'!$C$33</f>
        <v>146468.81940046613</v>
      </c>
      <c r="M714" s="377">
        <f>M709*M712/1000*'Initial Data'!$C$34/'Initial Data'!$C$33</f>
        <v>150394.18376039859</v>
      </c>
      <c r="N714" s="377">
        <f>N709*N712/1000*'Initial Data'!$C$34/'Initial Data'!$C$33</f>
        <v>154424.74788517729</v>
      </c>
      <c r="O714" s="377">
        <f>O709*O712/1000*'Initial Data'!$C$34/'Initial Data'!$C$33</f>
        <v>158563.33112850002</v>
      </c>
      <c r="P714" s="377">
        <f>P709*P712/1000*'Initial Data'!$C$34/'Initial Data'!$C$33</f>
        <v>162812.82840274382</v>
      </c>
      <c r="Q714" s="377">
        <f>Q709*Q712/1000*'Initial Data'!$C$34/'Initial Data'!$C$33</f>
        <v>167176.21220393732</v>
      </c>
    </row>
    <row r="715" spans="1:17" ht="14.4">
      <c r="A715" s="370"/>
      <c r="B715" s="373"/>
      <c r="C715" s="373"/>
      <c r="D715" s="373"/>
      <c r="E715" s="373"/>
      <c r="F715" s="373"/>
      <c r="G715" s="373"/>
      <c r="H715" s="373"/>
      <c r="I715" s="373"/>
      <c r="J715" s="373"/>
      <c r="K715" s="373"/>
      <c r="L715" s="373"/>
      <c r="M715" s="373"/>
      <c r="N715" s="373"/>
      <c r="O715" s="373"/>
      <c r="P715" s="373"/>
      <c r="Q715" s="373"/>
    </row>
    <row r="716" spans="1:17" ht="14.4">
      <c r="A716" s="366" t="s">
        <v>295</v>
      </c>
      <c r="B716" s="378">
        <f>+SUM(C716:Q716)</f>
        <v>2097471.9767431817</v>
      </c>
      <c r="C716" s="367">
        <f>+C714</f>
        <v>115444.2857142857</v>
      </c>
      <c r="D716" s="367">
        <f t="shared" ref="D716:Q716" si="188">+D714</f>
        <v>118538.19257142856</v>
      </c>
      <c r="E716" s="367">
        <f t="shared" si="188"/>
        <v>121715.01613234283</v>
      </c>
      <c r="F716" s="367">
        <f t="shared" si="188"/>
        <v>124976.97856468961</v>
      </c>
      <c r="G716" s="367">
        <f t="shared" si="188"/>
        <v>128326.36159022329</v>
      </c>
      <c r="H716" s="367">
        <f t="shared" si="188"/>
        <v>131765.50808084127</v>
      </c>
      <c r="I716" s="367">
        <f t="shared" si="188"/>
        <v>135296.82369740782</v>
      </c>
      <c r="J716" s="367">
        <f t="shared" si="188"/>
        <v>138922.77857249833</v>
      </c>
      <c r="K716" s="367">
        <f t="shared" si="188"/>
        <v>142645.90903824125</v>
      </c>
      <c r="L716" s="367">
        <f t="shared" si="188"/>
        <v>146468.81940046613</v>
      </c>
      <c r="M716" s="367">
        <f t="shared" si="188"/>
        <v>150394.18376039859</v>
      </c>
      <c r="N716" s="367">
        <f t="shared" si="188"/>
        <v>154424.74788517729</v>
      </c>
      <c r="O716" s="367">
        <f t="shared" si="188"/>
        <v>158563.33112850002</v>
      </c>
      <c r="P716" s="367">
        <f t="shared" si="188"/>
        <v>162812.82840274382</v>
      </c>
      <c r="Q716" s="367">
        <f t="shared" si="188"/>
        <v>167176.21220393732</v>
      </c>
    </row>
    <row r="717" spans="1:17" ht="14.4">
      <c r="A717" s="370"/>
      <c r="B717" s="374"/>
      <c r="C717" s="374"/>
      <c r="D717" s="374"/>
      <c r="E717" s="374"/>
      <c r="F717" s="374"/>
      <c r="G717" s="374"/>
      <c r="H717" s="374"/>
      <c r="I717" s="374"/>
      <c r="J717" s="374"/>
      <c r="K717" s="374"/>
      <c r="L717" s="374"/>
      <c r="M717" s="374"/>
      <c r="N717" s="374"/>
      <c r="O717" s="374"/>
      <c r="P717" s="374"/>
      <c r="Q717" s="374"/>
    </row>
    <row r="718" spans="1:17" ht="14.4">
      <c r="A718" s="366" t="s">
        <v>68</v>
      </c>
      <c r="B718" s="368"/>
      <c r="C718" s="368"/>
      <c r="D718" s="368"/>
      <c r="E718" s="368"/>
      <c r="F718" s="368"/>
      <c r="G718" s="368"/>
      <c r="H718" s="368"/>
      <c r="I718" s="368"/>
      <c r="J718" s="368"/>
      <c r="K718" s="368"/>
      <c r="L718" s="368"/>
      <c r="M718" s="368"/>
      <c r="N718" s="368"/>
      <c r="O718" s="368"/>
      <c r="P718" s="368"/>
      <c r="Q718" s="368"/>
    </row>
    <row r="719" spans="1:17" ht="14.4">
      <c r="A719" s="366" t="s">
        <v>330</v>
      </c>
      <c r="B719" s="378">
        <f>+SUM(C719:Q719)</f>
        <v>17405.991521183645</v>
      </c>
      <c r="C719" s="367">
        <f>+Baseline_NaturalGas!D20</f>
        <v>958.02102749999995</v>
      </c>
      <c r="D719" s="367">
        <f>+Baseline_NaturalGas!E20</f>
        <v>983.69599103699989</v>
      </c>
      <c r="E719" s="367">
        <f>+Baseline_NaturalGas!F20</f>
        <v>1010.0590435967914</v>
      </c>
      <c r="F719" s="367">
        <f>+Baseline_NaturalGas!G20</f>
        <v>1037.1286259651854</v>
      </c>
      <c r="G719" s="367">
        <f>+Baseline_NaturalGas!H20</f>
        <v>1064.9236731410524</v>
      </c>
      <c r="H719" s="367">
        <f>+Baseline_NaturalGas!I20</f>
        <v>1093.4636275812325</v>
      </c>
      <c r="I719" s="367">
        <f>+Baseline_NaturalGas!J20</f>
        <v>1122.7684528004095</v>
      </c>
      <c r="J719" s="367">
        <f>+Baseline_NaturalGas!K20</f>
        <v>1152.8586473354603</v>
      </c>
      <c r="K719" s="367">
        <f>+Baseline_NaturalGas!L20</f>
        <v>1183.7552590840505</v>
      </c>
      <c r="L719" s="367">
        <f>+Baseline_NaturalGas!M20</f>
        <v>1215.4799000275029</v>
      </c>
      <c r="M719" s="367">
        <f>+Baseline_NaturalGas!N20</f>
        <v>1248.0547613482399</v>
      </c>
      <c r="N719" s="367">
        <f>+Baseline_NaturalGas!O20</f>
        <v>1281.5026289523728</v>
      </c>
      <c r="O719" s="367">
        <f>+Baseline_NaturalGas!P20</f>
        <v>1315.8468994082964</v>
      </c>
      <c r="P719" s="367">
        <f>+Baseline_NaturalGas!Q20</f>
        <v>1351.1115963124387</v>
      </c>
      <c r="Q719" s="367">
        <f>+Baseline_NaturalGas!R20</f>
        <v>1387.321387093612</v>
      </c>
    </row>
    <row r="720" spans="1:17" ht="14.4">
      <c r="A720" s="370"/>
      <c r="B720" s="369"/>
      <c r="C720" s="369"/>
      <c r="D720" s="369"/>
      <c r="E720" s="369"/>
      <c r="F720" s="369"/>
      <c r="G720" s="369"/>
      <c r="H720" s="369"/>
      <c r="I720" s="369"/>
      <c r="J720" s="369"/>
      <c r="K720" s="369"/>
      <c r="L720" s="369"/>
      <c r="M720" s="369"/>
      <c r="N720" s="369"/>
      <c r="O720" s="369"/>
      <c r="P720" s="369"/>
      <c r="Q720" s="369"/>
    </row>
    <row r="721" spans="1:17" ht="14.4">
      <c r="A721" s="366" t="s">
        <v>71</v>
      </c>
      <c r="B721" s="379"/>
      <c r="C721" s="379"/>
      <c r="D721" s="379"/>
      <c r="E721" s="379"/>
      <c r="F721" s="379"/>
      <c r="G721" s="379"/>
      <c r="H721" s="379"/>
      <c r="I721" s="379"/>
      <c r="J721" s="379"/>
      <c r="K721" s="379"/>
      <c r="L721" s="379"/>
      <c r="M721" s="379"/>
      <c r="N721" s="379"/>
      <c r="O721" s="379"/>
      <c r="P721" s="379"/>
      <c r="Q721" s="379"/>
    </row>
    <row r="722" spans="1:17" ht="14.4">
      <c r="A722" s="370"/>
      <c r="B722" s="379"/>
      <c r="C722" s="379"/>
      <c r="D722" s="379"/>
      <c r="E722" s="379"/>
      <c r="F722" s="379"/>
      <c r="G722" s="379"/>
      <c r="H722" s="379"/>
      <c r="I722" s="379"/>
      <c r="J722" s="379"/>
      <c r="K722" s="379"/>
      <c r="L722" s="379"/>
      <c r="M722" s="379"/>
      <c r="N722" s="379"/>
      <c r="O722" s="379"/>
      <c r="P722" s="379"/>
      <c r="Q722" s="379"/>
    </row>
    <row r="723" spans="1:17" ht="14.4">
      <c r="A723" s="366" t="s">
        <v>64</v>
      </c>
      <c r="B723" s="373"/>
      <c r="C723" s="367">
        <f>+Baseline_NaturalGas!D24</f>
        <v>1656.5089715892002</v>
      </c>
      <c r="D723" s="367">
        <f>+Baseline_NaturalGas!E24</f>
        <v>1656.5089715892002</v>
      </c>
      <c r="E723" s="367">
        <f>+Baseline_NaturalGas!F24</f>
        <v>1656.5089715892002</v>
      </c>
      <c r="F723" s="367">
        <f>+Baseline_NaturalGas!G24</f>
        <v>1656.5089715892002</v>
      </c>
      <c r="G723" s="367">
        <f>+Baseline_NaturalGas!H24</f>
        <v>1656.5089715892002</v>
      </c>
      <c r="H723" s="367">
        <f>+Baseline_NaturalGas!I24</f>
        <v>1656.5089715892002</v>
      </c>
      <c r="I723" s="367">
        <f>+Baseline_NaturalGas!J24</f>
        <v>1656.5089715892002</v>
      </c>
      <c r="J723" s="367">
        <f>+Baseline_NaturalGas!K24</f>
        <v>1656.5089715892002</v>
      </c>
      <c r="K723" s="367">
        <f>+Baseline_NaturalGas!L24</f>
        <v>1656.5089715892002</v>
      </c>
      <c r="L723" s="367">
        <f>+Baseline_NaturalGas!M24</f>
        <v>1656.5089715892002</v>
      </c>
      <c r="M723" s="367">
        <f>+Baseline_NaturalGas!N24</f>
        <v>1656.5089715892002</v>
      </c>
      <c r="N723" s="367">
        <f>+Baseline_NaturalGas!O24</f>
        <v>1656.5089715892002</v>
      </c>
      <c r="O723" s="367">
        <f>+Baseline_NaturalGas!P24</f>
        <v>1656.5089715892002</v>
      </c>
      <c r="P723" s="367">
        <f>+Baseline_NaturalGas!Q24</f>
        <v>1656.5089715892002</v>
      </c>
      <c r="Q723" s="367">
        <f>+Baseline_NaturalGas!R24</f>
        <v>1656.5089715892002</v>
      </c>
    </row>
    <row r="724" spans="1:17" ht="14.4">
      <c r="A724" s="366" t="s">
        <v>108</v>
      </c>
      <c r="B724" s="387">
        <f>+Baseline_NaturalGas!C25</f>
        <v>0.90200000000000002</v>
      </c>
      <c r="C724" s="373"/>
      <c r="D724" s="373"/>
      <c r="E724" s="373"/>
      <c r="F724" s="373"/>
      <c r="G724" s="373"/>
      <c r="H724" s="373"/>
      <c r="I724" s="373"/>
      <c r="J724" s="373"/>
      <c r="K724" s="373"/>
      <c r="L724" s="373"/>
      <c r="M724" s="373"/>
      <c r="N724" s="373"/>
      <c r="O724" s="373"/>
      <c r="P724" s="373"/>
      <c r="Q724" s="373"/>
    </row>
    <row r="725" spans="1:17" ht="14.4">
      <c r="A725" s="366" t="s">
        <v>346</v>
      </c>
      <c r="B725" s="373"/>
      <c r="C725" s="367">
        <f>+Baseline_NaturalGas!D26</f>
        <v>1741816.7092883086</v>
      </c>
      <c r="D725" s="367">
        <f>+Baseline_NaturalGas!E26</f>
        <v>1741816.7092883086</v>
      </c>
      <c r="E725" s="367">
        <f>+Baseline_NaturalGas!F26</f>
        <v>1741816.7092883086</v>
      </c>
      <c r="F725" s="367">
        <f>+Baseline_NaturalGas!G26</f>
        <v>1741816.7092883086</v>
      </c>
      <c r="G725" s="367">
        <f>+Baseline_NaturalGas!H26</f>
        <v>1741816.7092883086</v>
      </c>
      <c r="H725" s="367">
        <f>+Baseline_NaturalGas!I26</f>
        <v>1741816.7092883086</v>
      </c>
      <c r="I725" s="367">
        <f>+Baseline_NaturalGas!J26</f>
        <v>1741816.7092883086</v>
      </c>
      <c r="J725" s="367">
        <f>+Baseline_NaturalGas!K26</f>
        <v>1741816.7092883086</v>
      </c>
      <c r="K725" s="367">
        <f>+Baseline_NaturalGas!L26</f>
        <v>1741816.7092883086</v>
      </c>
      <c r="L725" s="367">
        <f>+Baseline_NaturalGas!M26</f>
        <v>1741816.7092883086</v>
      </c>
      <c r="M725" s="367">
        <f>+Baseline_NaturalGas!N26</f>
        <v>1741816.7092883086</v>
      </c>
      <c r="N725" s="367">
        <f>+Baseline_NaturalGas!O26</f>
        <v>1741816.7092883086</v>
      </c>
      <c r="O725" s="367">
        <f>+Baseline_NaturalGas!P26</f>
        <v>1741816.7092883086</v>
      </c>
      <c r="P725" s="367">
        <f>+Baseline_NaturalGas!Q26</f>
        <v>1741816.7092883086</v>
      </c>
      <c r="Q725" s="367">
        <f>+Baseline_NaturalGas!R26</f>
        <v>1741816.7092883086</v>
      </c>
    </row>
    <row r="726" spans="1:17" ht="14.4">
      <c r="A726" s="366" t="s">
        <v>66</v>
      </c>
      <c r="B726" s="373"/>
      <c r="C726" s="367">
        <f>+Baseline_NaturalGas!D27</f>
        <v>5.6086944825694198</v>
      </c>
      <c r="D726" s="367">
        <f>+Baseline_NaturalGas!E27</f>
        <v>5.5051083831058802</v>
      </c>
      <c r="E726" s="367">
        <f>+Baseline_NaturalGas!F27</f>
        <v>5.61862622286578</v>
      </c>
      <c r="F726" s="367">
        <f>+Baseline_NaturalGas!G27</f>
        <v>5.8406487933251103</v>
      </c>
      <c r="G726" s="367">
        <f>+Baseline_NaturalGas!H27</f>
        <v>5.8453745748678001</v>
      </c>
      <c r="H726" s="367">
        <f>+Baseline_NaturalGas!I27</f>
        <v>6.0672099673130804</v>
      </c>
      <c r="I726" s="367">
        <f>+Baseline_NaturalGas!J27</f>
        <v>6.39755565092754</v>
      </c>
      <c r="J726" s="367">
        <f>+Baseline_NaturalGas!K27</f>
        <v>6.39755565092754</v>
      </c>
      <c r="K726" s="367">
        <f>+Baseline_NaturalGas!L27</f>
        <v>6.39755565092754</v>
      </c>
      <c r="L726" s="367">
        <f>+Baseline_NaturalGas!M27</f>
        <v>6.39755565092754</v>
      </c>
      <c r="M726" s="367">
        <f>+Baseline_NaturalGas!N27</f>
        <v>6.39755565092754</v>
      </c>
      <c r="N726" s="367">
        <f>+Baseline_NaturalGas!O27</f>
        <v>6.39755565092754</v>
      </c>
      <c r="O726" s="367">
        <f>+Baseline_NaturalGas!P27</f>
        <v>6.39755565092754</v>
      </c>
      <c r="P726" s="367">
        <f>+Baseline_NaturalGas!Q27</f>
        <v>6.39755565092754</v>
      </c>
      <c r="Q726" s="367">
        <f>+Baseline_NaturalGas!R27</f>
        <v>6.39755565092754</v>
      </c>
    </row>
    <row r="727" spans="1:17" ht="14.4">
      <c r="A727" s="370"/>
      <c r="B727" s="379"/>
      <c r="C727" s="379"/>
      <c r="D727" s="379"/>
      <c r="E727" s="379"/>
      <c r="F727" s="379"/>
      <c r="G727" s="379"/>
      <c r="H727" s="379"/>
      <c r="I727" s="379"/>
      <c r="J727" s="379"/>
      <c r="K727" s="379"/>
      <c r="L727" s="379"/>
      <c r="M727" s="379"/>
      <c r="N727" s="379"/>
      <c r="O727" s="379"/>
      <c r="P727" s="379"/>
      <c r="Q727" s="379"/>
    </row>
    <row r="728" spans="1:17" ht="14.4">
      <c r="A728" s="366" t="s">
        <v>102</v>
      </c>
      <c r="B728" s="378">
        <f t="shared" ref="B728" si="189">+SUM(C728:Q728)</f>
        <v>160358.02702356796</v>
      </c>
      <c r="C728" s="375">
        <f>+C725*C726/1000</f>
        <v>9769.3177670325604</v>
      </c>
      <c r="D728" s="375">
        <f t="shared" ref="D728:Q728" si="190">+D725*D726/1000</f>
        <v>9588.8897681369654</v>
      </c>
      <c r="E728" s="375">
        <f t="shared" si="190"/>
        <v>9786.6170382330711</v>
      </c>
      <c r="F728" s="375">
        <f t="shared" si="190"/>
        <v>10173.339661298274</v>
      </c>
      <c r="G728" s="375">
        <f t="shared" si="190"/>
        <v>10181.571106553778</v>
      </c>
      <c r="H728" s="375">
        <f t="shared" si="190"/>
        <v>10567.967699826495</v>
      </c>
      <c r="I728" s="375">
        <f t="shared" si="190"/>
        <v>11143.36933138743</v>
      </c>
      <c r="J728" s="375">
        <f t="shared" si="190"/>
        <v>11143.36933138743</v>
      </c>
      <c r="K728" s="375">
        <f t="shared" si="190"/>
        <v>11143.36933138743</v>
      </c>
      <c r="L728" s="375">
        <f t="shared" si="190"/>
        <v>11143.36933138743</v>
      </c>
      <c r="M728" s="375">
        <f t="shared" si="190"/>
        <v>11143.36933138743</v>
      </c>
      <c r="N728" s="375">
        <f t="shared" si="190"/>
        <v>11143.36933138743</v>
      </c>
      <c r="O728" s="375">
        <f t="shared" si="190"/>
        <v>11143.36933138743</v>
      </c>
      <c r="P728" s="375">
        <f t="shared" si="190"/>
        <v>11143.36933138743</v>
      </c>
      <c r="Q728" s="375">
        <f t="shared" si="190"/>
        <v>11143.36933138743</v>
      </c>
    </row>
    <row r="729" spans="1:17" ht="14.4">
      <c r="A729" s="370"/>
      <c r="B729" s="373"/>
      <c r="C729" s="373"/>
      <c r="D729" s="373"/>
      <c r="E729" s="373"/>
      <c r="F729" s="373"/>
      <c r="G729" s="373"/>
      <c r="H729" s="373"/>
      <c r="I729" s="373"/>
      <c r="J729" s="373"/>
      <c r="K729" s="373"/>
      <c r="L729" s="373"/>
      <c r="M729" s="373"/>
      <c r="N729" s="373"/>
      <c r="O729" s="373"/>
      <c r="P729" s="373"/>
      <c r="Q729" s="373"/>
    </row>
    <row r="730" spans="1:17" ht="14.4">
      <c r="A730" s="370"/>
      <c r="B730" s="379"/>
      <c r="C730" s="379"/>
      <c r="D730" s="379"/>
      <c r="E730" s="379"/>
      <c r="F730" s="379"/>
      <c r="G730" s="379"/>
      <c r="H730" s="379"/>
      <c r="I730" s="379"/>
      <c r="J730" s="379"/>
      <c r="K730" s="379"/>
      <c r="L730" s="379"/>
      <c r="M730" s="379"/>
      <c r="N730" s="379"/>
      <c r="O730" s="379"/>
      <c r="P730" s="379"/>
      <c r="Q730" s="379"/>
    </row>
    <row r="731" spans="1:17" ht="14.4">
      <c r="A731" s="366" t="s">
        <v>101</v>
      </c>
      <c r="B731" s="373"/>
      <c r="C731" s="375">
        <f>+C728+C719</f>
        <v>10727.338794532559</v>
      </c>
      <c r="D731" s="375">
        <f t="shared" ref="D731:Q731" si="191">+D728+D719</f>
        <v>10572.585759173966</v>
      </c>
      <c r="E731" s="375">
        <f t="shared" si="191"/>
        <v>10796.676081829863</v>
      </c>
      <c r="F731" s="375">
        <f t="shared" si="191"/>
        <v>11210.46828726346</v>
      </c>
      <c r="G731" s="375">
        <f t="shared" si="191"/>
        <v>11246.494779694831</v>
      </c>
      <c r="H731" s="375">
        <f t="shared" si="191"/>
        <v>11661.431327407727</v>
      </c>
      <c r="I731" s="375">
        <f t="shared" si="191"/>
        <v>12266.13778418784</v>
      </c>
      <c r="J731" s="375">
        <f t="shared" si="191"/>
        <v>12296.227978722891</v>
      </c>
      <c r="K731" s="375">
        <f t="shared" si="191"/>
        <v>12327.124590471481</v>
      </c>
      <c r="L731" s="375">
        <f t="shared" si="191"/>
        <v>12358.849231414933</v>
      </c>
      <c r="M731" s="375">
        <f t="shared" si="191"/>
        <v>12391.42409273567</v>
      </c>
      <c r="N731" s="375">
        <f t="shared" si="191"/>
        <v>12424.871960339802</v>
      </c>
      <c r="O731" s="375">
        <f t="shared" si="191"/>
        <v>12459.216230795726</v>
      </c>
      <c r="P731" s="375">
        <f t="shared" si="191"/>
        <v>12494.480927699869</v>
      </c>
      <c r="Q731" s="375">
        <f t="shared" si="191"/>
        <v>12530.690718481042</v>
      </c>
    </row>
    <row r="732" spans="1:17" ht="14.4">
      <c r="A732" s="370"/>
      <c r="B732" s="379"/>
      <c r="C732" s="379"/>
      <c r="D732" s="379"/>
      <c r="E732" s="379"/>
      <c r="F732" s="379"/>
      <c r="G732" s="379"/>
      <c r="H732" s="379"/>
      <c r="I732" s="379"/>
      <c r="J732" s="379"/>
      <c r="K732" s="379"/>
      <c r="L732" s="379"/>
      <c r="M732" s="379"/>
      <c r="N732" s="379"/>
      <c r="O732" s="379"/>
      <c r="P732" s="379"/>
      <c r="Q732" s="379"/>
    </row>
    <row r="733" spans="1:17" ht="14.4">
      <c r="A733" s="366" t="s">
        <v>73</v>
      </c>
      <c r="B733" s="378">
        <f>+SUM(C733:Q733)</f>
        <v>11487.524395535713</v>
      </c>
      <c r="C733" s="367">
        <f>+Baseline_NaturalGas!$D$5/'Initial Data'!$C$19</f>
        <v>1148.7524395535715</v>
      </c>
      <c r="D733" s="367">
        <f>+Baseline_NaturalGas!$D$5/'Initial Data'!$C$19</f>
        <v>1148.7524395535715</v>
      </c>
      <c r="E733" s="367">
        <f>+Baseline_NaturalGas!$D$5/'Initial Data'!$C$19</f>
        <v>1148.7524395535715</v>
      </c>
      <c r="F733" s="367">
        <f>+Baseline_NaturalGas!$D$5/'Initial Data'!$C$19</f>
        <v>1148.7524395535715</v>
      </c>
      <c r="G733" s="367">
        <f>+Baseline_NaturalGas!$D$5/'Initial Data'!$C$19</f>
        <v>1148.7524395535715</v>
      </c>
      <c r="H733" s="367">
        <f>+Baseline_NaturalGas!$D$5/'Initial Data'!$C$19</f>
        <v>1148.7524395535715</v>
      </c>
      <c r="I733" s="367">
        <f>+Baseline_NaturalGas!$D$5/'Initial Data'!$C$19</f>
        <v>1148.7524395535715</v>
      </c>
      <c r="J733" s="367">
        <f>+Baseline_NaturalGas!$D$5/'Initial Data'!$C$19</f>
        <v>1148.7524395535715</v>
      </c>
      <c r="K733" s="367">
        <f>+Baseline_NaturalGas!$D$5/'Initial Data'!$C$19</f>
        <v>1148.7524395535715</v>
      </c>
      <c r="L733" s="367">
        <f>+Baseline_NaturalGas!$D$5/'Initial Data'!$C$19</f>
        <v>1148.7524395535715</v>
      </c>
      <c r="M733" s="367">
        <v>0</v>
      </c>
      <c r="N733" s="367">
        <v>0</v>
      </c>
      <c r="O733" s="367">
        <v>0</v>
      </c>
      <c r="P733" s="367">
        <v>0</v>
      </c>
      <c r="Q733" s="367">
        <v>0</v>
      </c>
    </row>
    <row r="734" spans="1:17" ht="14.4">
      <c r="A734" s="366" t="s">
        <v>74</v>
      </c>
      <c r="B734" s="378">
        <f>+SUM(C734:Q734)</f>
        <v>11487.524395535713</v>
      </c>
      <c r="C734" s="367">
        <f>SUM(C733:C733)</f>
        <v>1148.7524395535715</v>
      </c>
      <c r="D734" s="367">
        <f t="shared" ref="D734:Q734" si="192">SUM(D733:D733)</f>
        <v>1148.7524395535715</v>
      </c>
      <c r="E734" s="367">
        <f t="shared" si="192"/>
        <v>1148.7524395535715</v>
      </c>
      <c r="F734" s="367">
        <f t="shared" si="192"/>
        <v>1148.7524395535715</v>
      </c>
      <c r="G734" s="367">
        <f t="shared" si="192"/>
        <v>1148.7524395535715</v>
      </c>
      <c r="H734" s="367">
        <f t="shared" si="192"/>
        <v>1148.7524395535715</v>
      </c>
      <c r="I734" s="367">
        <f t="shared" si="192"/>
        <v>1148.7524395535715</v>
      </c>
      <c r="J734" s="367">
        <f t="shared" si="192"/>
        <v>1148.7524395535715</v>
      </c>
      <c r="K734" s="367">
        <f t="shared" si="192"/>
        <v>1148.7524395535715</v>
      </c>
      <c r="L734" s="367">
        <f t="shared" si="192"/>
        <v>1148.7524395535715</v>
      </c>
      <c r="M734" s="367">
        <f t="shared" si="192"/>
        <v>0</v>
      </c>
      <c r="N734" s="367">
        <f t="shared" si="192"/>
        <v>0</v>
      </c>
      <c r="O734" s="367">
        <f t="shared" si="192"/>
        <v>0</v>
      </c>
      <c r="P734" s="367">
        <f t="shared" si="192"/>
        <v>0</v>
      </c>
      <c r="Q734" s="367">
        <f t="shared" si="192"/>
        <v>0</v>
      </c>
    </row>
    <row r="735" spans="1:17" ht="14.4">
      <c r="A735" s="90"/>
      <c r="B735" s="388"/>
      <c r="C735" s="373"/>
      <c r="D735" s="373"/>
      <c r="E735" s="373"/>
      <c r="F735" s="373"/>
      <c r="G735" s="373"/>
      <c r="H735" s="373"/>
      <c r="I735" s="373"/>
      <c r="J735" s="373"/>
      <c r="K735" s="373"/>
      <c r="L735" s="373"/>
      <c r="M735" s="373"/>
      <c r="N735" s="373"/>
      <c r="O735" s="373"/>
      <c r="P735" s="373"/>
      <c r="Q735" s="373"/>
    </row>
    <row r="736" spans="1:17" ht="14.4">
      <c r="A736" s="366" t="s">
        <v>75</v>
      </c>
      <c r="B736" s="378">
        <f>+SUM(C736:Q736)</f>
        <v>189251.54294028736</v>
      </c>
      <c r="C736" s="367">
        <f>+C731+C734</f>
        <v>11876.09123408613</v>
      </c>
      <c r="D736" s="367">
        <f t="shared" ref="D736:Q736" si="193">+D731+D734</f>
        <v>11721.338198727537</v>
      </c>
      <c r="E736" s="367">
        <f t="shared" si="193"/>
        <v>11945.428521383434</v>
      </c>
      <c r="F736" s="367">
        <f t="shared" si="193"/>
        <v>12359.220726817031</v>
      </c>
      <c r="G736" s="367">
        <f t="shared" si="193"/>
        <v>12395.247219248402</v>
      </c>
      <c r="H736" s="367">
        <f t="shared" si="193"/>
        <v>12810.183766961298</v>
      </c>
      <c r="I736" s="367">
        <f t="shared" si="193"/>
        <v>13414.890223741411</v>
      </c>
      <c r="J736" s="367">
        <f t="shared" si="193"/>
        <v>13444.980418276462</v>
      </c>
      <c r="K736" s="367">
        <f t="shared" si="193"/>
        <v>13475.877030025053</v>
      </c>
      <c r="L736" s="367">
        <f t="shared" si="193"/>
        <v>13507.601670968505</v>
      </c>
      <c r="M736" s="367">
        <f t="shared" si="193"/>
        <v>12391.42409273567</v>
      </c>
      <c r="N736" s="367">
        <f t="shared" si="193"/>
        <v>12424.871960339802</v>
      </c>
      <c r="O736" s="367">
        <f t="shared" si="193"/>
        <v>12459.216230795726</v>
      </c>
      <c r="P736" s="367">
        <f t="shared" si="193"/>
        <v>12494.480927699869</v>
      </c>
      <c r="Q736" s="367">
        <f t="shared" si="193"/>
        <v>12530.690718481042</v>
      </c>
    </row>
    <row r="737" spans="1:17">
      <c r="A737" s="74"/>
    </row>
    <row r="738" spans="1:17" ht="14.4">
      <c r="A738" s="366" t="s">
        <v>76</v>
      </c>
      <c r="B738" s="378">
        <f>+SUM(C738:Q738)</f>
        <v>1908220.4338028945</v>
      </c>
      <c r="C738" s="367">
        <f>+C716-C736</f>
        <v>103568.19448019957</v>
      </c>
      <c r="D738" s="367">
        <f t="shared" ref="D738:Q738" si="194">+D716-D736</f>
        <v>106816.85437270103</v>
      </c>
      <c r="E738" s="367">
        <f t="shared" si="194"/>
        <v>109769.5876109594</v>
      </c>
      <c r="F738" s="367">
        <f t="shared" si="194"/>
        <v>112617.75783787257</v>
      </c>
      <c r="G738" s="367">
        <f t="shared" si="194"/>
        <v>115931.11437097489</v>
      </c>
      <c r="H738" s="367">
        <f t="shared" si="194"/>
        <v>118955.32431387997</v>
      </c>
      <c r="I738" s="367">
        <f t="shared" si="194"/>
        <v>121881.9334736664</v>
      </c>
      <c r="J738" s="367">
        <f t="shared" si="194"/>
        <v>125477.79815422186</v>
      </c>
      <c r="K738" s="367">
        <f t="shared" si="194"/>
        <v>129170.03200821621</v>
      </c>
      <c r="L738" s="367">
        <f t="shared" si="194"/>
        <v>132961.21772949764</v>
      </c>
      <c r="M738" s="367">
        <f t="shared" si="194"/>
        <v>138002.75966766293</v>
      </c>
      <c r="N738" s="367">
        <f t="shared" si="194"/>
        <v>141999.87592483748</v>
      </c>
      <c r="O738" s="367">
        <f t="shared" si="194"/>
        <v>146104.1148977043</v>
      </c>
      <c r="P738" s="367">
        <f t="shared" si="194"/>
        <v>150318.34747504396</v>
      </c>
      <c r="Q738" s="367">
        <f t="shared" si="194"/>
        <v>154645.52148545627</v>
      </c>
    </row>
    <row r="739" spans="1:17" ht="14.4">
      <c r="A739" s="369"/>
      <c r="B739" s="373"/>
      <c r="C739" s="373"/>
      <c r="D739" s="373"/>
      <c r="E739" s="373"/>
      <c r="F739" s="373"/>
      <c r="G739" s="373"/>
      <c r="H739" s="373"/>
      <c r="I739" s="373"/>
      <c r="J739" s="373"/>
      <c r="K739" s="373"/>
      <c r="L739" s="373"/>
      <c r="M739" s="373"/>
      <c r="N739" s="373"/>
      <c r="O739" s="373"/>
      <c r="P739" s="373"/>
      <c r="Q739" s="373"/>
    </row>
    <row r="740" spans="1:17" ht="14.4">
      <c r="A740" s="366" t="s">
        <v>222</v>
      </c>
      <c r="B740" s="380">
        <f>+Baseline_NaturalGas!C43</f>
        <v>0.7</v>
      </c>
      <c r="C740" s="367">
        <f>IF((+$B$740*C738)&lt;0,"0",(+$B$740*C738))</f>
        <v>72497.736136139691</v>
      </c>
      <c r="D740" s="367">
        <f t="shared" ref="D740:Q740" si="195">IF((+$B$650*D738)&lt;0,"0",(+$B$650*D738))</f>
        <v>74771.798060890709</v>
      </c>
      <c r="E740" s="367">
        <f t="shared" si="195"/>
        <v>76838.711327671568</v>
      </c>
      <c r="F740" s="367">
        <f t="shared" si="195"/>
        <v>78832.430486510799</v>
      </c>
      <c r="G740" s="367">
        <f t="shared" si="195"/>
        <v>81151.780059682409</v>
      </c>
      <c r="H740" s="367">
        <f t="shared" si="195"/>
        <v>83268.727019715981</v>
      </c>
      <c r="I740" s="367">
        <f t="shared" si="195"/>
        <v>85317.353431566473</v>
      </c>
      <c r="J740" s="367">
        <f t="shared" si="195"/>
        <v>87834.458707955302</v>
      </c>
      <c r="K740" s="367">
        <f t="shared" si="195"/>
        <v>90419.022405751341</v>
      </c>
      <c r="L740" s="367">
        <f t="shared" si="195"/>
        <v>93072.852410648338</v>
      </c>
      <c r="M740" s="367">
        <f t="shared" si="195"/>
        <v>96601.931767364047</v>
      </c>
      <c r="N740" s="367">
        <f t="shared" si="195"/>
        <v>99399.913147386236</v>
      </c>
      <c r="O740" s="367">
        <f t="shared" si="195"/>
        <v>102272.88042839301</v>
      </c>
      <c r="P740" s="367">
        <f t="shared" si="195"/>
        <v>105222.84323253077</v>
      </c>
      <c r="Q740" s="367">
        <f t="shared" si="195"/>
        <v>108251.86503981939</v>
      </c>
    </row>
    <row r="741" spans="1:17" ht="14.4">
      <c r="A741" s="366" t="s">
        <v>77</v>
      </c>
      <c r="B741" s="378">
        <f>+SUM(C741:Q741)</f>
        <v>1335754.3036620261</v>
      </c>
      <c r="C741" s="367">
        <f>SUM(C740:C740)</f>
        <v>72497.736136139691</v>
      </c>
      <c r="D741" s="367">
        <f t="shared" ref="D741:Q741" si="196">SUM(D740:D740)</f>
        <v>74771.798060890709</v>
      </c>
      <c r="E741" s="367">
        <f t="shared" si="196"/>
        <v>76838.711327671568</v>
      </c>
      <c r="F741" s="367">
        <f t="shared" si="196"/>
        <v>78832.430486510799</v>
      </c>
      <c r="G741" s="367">
        <f t="shared" si="196"/>
        <v>81151.780059682409</v>
      </c>
      <c r="H741" s="367">
        <f t="shared" si="196"/>
        <v>83268.727019715981</v>
      </c>
      <c r="I741" s="367">
        <f t="shared" si="196"/>
        <v>85317.353431566473</v>
      </c>
      <c r="J741" s="367">
        <f t="shared" si="196"/>
        <v>87834.458707955302</v>
      </c>
      <c r="K741" s="367">
        <f t="shared" si="196"/>
        <v>90419.022405751341</v>
      </c>
      <c r="L741" s="367">
        <f t="shared" si="196"/>
        <v>93072.852410648338</v>
      </c>
      <c r="M741" s="367">
        <f t="shared" si="196"/>
        <v>96601.931767364047</v>
      </c>
      <c r="N741" s="367">
        <f t="shared" si="196"/>
        <v>99399.913147386236</v>
      </c>
      <c r="O741" s="367">
        <f t="shared" si="196"/>
        <v>102272.88042839301</v>
      </c>
      <c r="P741" s="367">
        <f t="shared" si="196"/>
        <v>105222.84323253077</v>
      </c>
      <c r="Q741" s="367">
        <f t="shared" si="196"/>
        <v>108251.86503981939</v>
      </c>
    </row>
    <row r="742" spans="1:17" ht="14.4">
      <c r="A742" s="369"/>
      <c r="B742" s="373"/>
      <c r="C742" s="373"/>
      <c r="D742" s="373"/>
      <c r="E742" s="373"/>
      <c r="F742" s="373"/>
      <c r="G742" s="373"/>
      <c r="H742" s="373"/>
      <c r="I742" s="373"/>
      <c r="J742" s="373"/>
      <c r="K742" s="373"/>
      <c r="L742" s="373"/>
      <c r="M742" s="373"/>
      <c r="N742" s="373"/>
      <c r="O742" s="373"/>
      <c r="P742" s="373"/>
      <c r="Q742" s="373"/>
    </row>
    <row r="743" spans="1:17" ht="14.4">
      <c r="A743" s="366" t="s">
        <v>78</v>
      </c>
      <c r="B743" s="378">
        <f>+SUM(C743:Q743)</f>
        <v>572466.13014086848</v>
      </c>
      <c r="C743" s="367">
        <f>+C738-C741</f>
        <v>31070.45834405988</v>
      </c>
      <c r="D743" s="367">
        <f t="shared" ref="D743:Q743" si="197">+D738-D741</f>
        <v>32045.056311810316</v>
      </c>
      <c r="E743" s="367">
        <f t="shared" si="197"/>
        <v>32930.876283287827</v>
      </c>
      <c r="F743" s="367">
        <f t="shared" si="197"/>
        <v>33785.327351361775</v>
      </c>
      <c r="G743" s="367">
        <f t="shared" si="197"/>
        <v>34779.334311292478</v>
      </c>
      <c r="H743" s="367">
        <f t="shared" si="197"/>
        <v>35686.597294163992</v>
      </c>
      <c r="I743" s="367">
        <f t="shared" si="197"/>
        <v>36564.580042099929</v>
      </c>
      <c r="J743" s="367">
        <f t="shared" si="197"/>
        <v>37643.33944626656</v>
      </c>
      <c r="K743" s="367">
        <f t="shared" si="197"/>
        <v>38751.009602464866</v>
      </c>
      <c r="L743" s="367">
        <f t="shared" si="197"/>
        <v>39888.365318849304</v>
      </c>
      <c r="M743" s="367">
        <f t="shared" si="197"/>
        <v>41400.827900298886</v>
      </c>
      <c r="N743" s="367">
        <f t="shared" si="197"/>
        <v>42599.962777451248</v>
      </c>
      <c r="O743" s="367">
        <f t="shared" si="197"/>
        <v>43831.234469311297</v>
      </c>
      <c r="P743" s="367">
        <f t="shared" si="197"/>
        <v>45095.504242513198</v>
      </c>
      <c r="Q743" s="367">
        <f t="shared" si="197"/>
        <v>46393.65644563688</v>
      </c>
    </row>
    <row r="744" spans="1:17" ht="14.4">
      <c r="A744" s="395" t="s">
        <v>331</v>
      </c>
      <c r="B744" s="378">
        <f>+SUM(C744:Q744)</f>
        <v>11487.524395535713</v>
      </c>
      <c r="C744" s="377">
        <f>+C733</f>
        <v>1148.7524395535715</v>
      </c>
      <c r="D744" s="377">
        <f t="shared" ref="D744:Q744" si="198">+D733</f>
        <v>1148.7524395535715</v>
      </c>
      <c r="E744" s="377">
        <f t="shared" si="198"/>
        <v>1148.7524395535715</v>
      </c>
      <c r="F744" s="377">
        <f t="shared" si="198"/>
        <v>1148.7524395535715</v>
      </c>
      <c r="G744" s="377">
        <f t="shared" si="198"/>
        <v>1148.7524395535715</v>
      </c>
      <c r="H744" s="377">
        <f t="shared" si="198"/>
        <v>1148.7524395535715</v>
      </c>
      <c r="I744" s="377">
        <f t="shared" si="198"/>
        <v>1148.7524395535715</v>
      </c>
      <c r="J744" s="377">
        <f t="shared" si="198"/>
        <v>1148.7524395535715</v>
      </c>
      <c r="K744" s="377">
        <f t="shared" si="198"/>
        <v>1148.7524395535715</v>
      </c>
      <c r="L744" s="377">
        <f t="shared" si="198"/>
        <v>1148.7524395535715</v>
      </c>
      <c r="M744" s="377">
        <f t="shared" si="198"/>
        <v>0</v>
      </c>
      <c r="N744" s="377">
        <f t="shared" si="198"/>
        <v>0</v>
      </c>
      <c r="O744" s="377">
        <f t="shared" si="198"/>
        <v>0</v>
      </c>
      <c r="P744" s="377">
        <f t="shared" si="198"/>
        <v>0</v>
      </c>
      <c r="Q744" s="377">
        <f t="shared" si="198"/>
        <v>0</v>
      </c>
    </row>
    <row r="745" spans="1:17" ht="14.4">
      <c r="A745" s="395" t="s">
        <v>332</v>
      </c>
      <c r="B745" s="378">
        <f>+Baseline_NaturalGas!C678</f>
        <v>0</v>
      </c>
      <c r="C745" s="367">
        <f>+Baseline_NaturalGas!D678</f>
        <v>0</v>
      </c>
      <c r="D745" s="367">
        <f>+Baseline_NaturalGas!E678</f>
        <v>0</v>
      </c>
      <c r="E745" s="367">
        <f>+Baseline_NaturalGas!F678</f>
        <v>0</v>
      </c>
      <c r="F745" s="367">
        <f>+Baseline_NaturalGas!G678</f>
        <v>0</v>
      </c>
      <c r="G745" s="367">
        <f>+Baseline_NaturalGas!H678</f>
        <v>0</v>
      </c>
      <c r="H745" s="367">
        <f>+Baseline_NaturalGas!I678</f>
        <v>0</v>
      </c>
      <c r="I745" s="367">
        <f>+Baseline_NaturalGas!J678</f>
        <v>0</v>
      </c>
      <c r="J745" s="367">
        <f>+Baseline_NaturalGas!K678</f>
        <v>0</v>
      </c>
      <c r="K745" s="367">
        <f>+Baseline_NaturalGas!L678</f>
        <v>0</v>
      </c>
      <c r="L745" s="367">
        <f>+Baseline_NaturalGas!M678</f>
        <v>0</v>
      </c>
      <c r="M745" s="367">
        <f>+Baseline_NaturalGas!N678</f>
        <v>0</v>
      </c>
      <c r="N745" s="367">
        <f>+Baseline_NaturalGas!O678</f>
        <v>0</v>
      </c>
      <c r="O745" s="367">
        <f>+Baseline_NaturalGas!P678</f>
        <v>0</v>
      </c>
      <c r="P745" s="367">
        <f>+Baseline_NaturalGas!Q678</f>
        <v>0</v>
      </c>
      <c r="Q745" s="367">
        <f>+Baseline_NaturalGas!R678</f>
        <v>0</v>
      </c>
    </row>
    <row r="746" spans="1:17" ht="14.4">
      <c r="A746" s="510"/>
      <c r="B746" s="511"/>
      <c r="C746" s="511"/>
      <c r="D746" s="511"/>
      <c r="E746" s="511"/>
      <c r="F746" s="511"/>
      <c r="G746" s="511"/>
      <c r="H746" s="511"/>
      <c r="I746" s="511"/>
      <c r="J746" s="511"/>
      <c r="K746" s="511"/>
      <c r="L746" s="511"/>
      <c r="M746" s="511"/>
      <c r="N746" s="511"/>
      <c r="O746" s="511"/>
      <c r="P746" s="511"/>
      <c r="Q746" s="511"/>
    </row>
    <row r="747" spans="1:17" ht="14.4">
      <c r="A747" s="366" t="s">
        <v>110</v>
      </c>
      <c r="B747" s="378">
        <f>-Baseline_NaturalGas!$D$5</f>
        <v>-11487.524395535715</v>
      </c>
      <c r="C747" s="367">
        <f>+C743+C744+C745</f>
        <v>32219.210783613453</v>
      </c>
      <c r="D747" s="367">
        <f t="shared" ref="D747:Q747" si="199">+D743+D744+D745</f>
        <v>33193.808751363889</v>
      </c>
      <c r="E747" s="367">
        <f t="shared" si="199"/>
        <v>34079.6287228414</v>
      </c>
      <c r="F747" s="367">
        <f t="shared" si="199"/>
        <v>34934.079790915348</v>
      </c>
      <c r="G747" s="367">
        <f t="shared" si="199"/>
        <v>35928.086750846051</v>
      </c>
      <c r="H747" s="367">
        <f t="shared" si="199"/>
        <v>36835.349733717565</v>
      </c>
      <c r="I747" s="367">
        <f t="shared" si="199"/>
        <v>37713.332481653502</v>
      </c>
      <c r="J747" s="367">
        <f t="shared" si="199"/>
        <v>38792.091885820133</v>
      </c>
      <c r="K747" s="367">
        <f t="shared" si="199"/>
        <v>39899.762042018439</v>
      </c>
      <c r="L747" s="367">
        <f t="shared" si="199"/>
        <v>41037.117758402877</v>
      </c>
      <c r="M747" s="367">
        <f t="shared" si="199"/>
        <v>41400.827900298886</v>
      </c>
      <c r="N747" s="367">
        <f t="shared" si="199"/>
        <v>42599.962777451248</v>
      </c>
      <c r="O747" s="367">
        <f t="shared" si="199"/>
        <v>43831.234469311297</v>
      </c>
      <c r="P747" s="367">
        <f t="shared" si="199"/>
        <v>45095.504242513198</v>
      </c>
      <c r="Q747" s="367">
        <f t="shared" si="199"/>
        <v>46393.65644563688</v>
      </c>
    </row>
    <row r="748" spans="1:17" ht="15.6">
      <c r="A748" s="366" t="s">
        <v>51</v>
      </c>
      <c r="B748" s="132">
        <f>IRR(B747:Q747)</f>
        <v>2.8339379283726518</v>
      </c>
      <c r="C748" s="390"/>
      <c r="D748" s="390"/>
      <c r="E748" s="390"/>
      <c r="F748" s="390"/>
      <c r="G748" s="390"/>
      <c r="H748" s="390"/>
      <c r="I748" s="390"/>
      <c r="J748" s="390"/>
      <c r="K748" s="390"/>
      <c r="L748" s="390"/>
      <c r="M748" s="390"/>
      <c r="N748" s="390"/>
      <c r="O748" s="390"/>
      <c r="P748" s="390"/>
      <c r="Q748" s="390"/>
    </row>
    <row r="749" spans="1:17" ht="15.6">
      <c r="A749" s="366" t="s">
        <v>267</v>
      </c>
      <c r="B749" s="303">
        <f>NPV('Initial Data'!$C$21/100,B747:Q747)</f>
        <v>214429.56902839668</v>
      </c>
      <c r="C749" s="373"/>
      <c r="D749" s="373"/>
      <c r="E749" s="373"/>
      <c r="F749" s="373"/>
      <c r="G749" s="373"/>
      <c r="H749" s="373"/>
      <c r="I749" s="373"/>
      <c r="J749" s="373"/>
      <c r="K749" s="373"/>
      <c r="L749" s="373"/>
      <c r="M749" s="373"/>
      <c r="N749" s="373"/>
      <c r="O749" s="373"/>
      <c r="P749" s="373"/>
      <c r="Q749" s="373"/>
    </row>
    <row r="750" spans="1:17" ht="14.4">
      <c r="A750" s="369"/>
    </row>
    <row r="751" spans="1:17" ht="14.4">
      <c r="A751" s="508" t="s">
        <v>341</v>
      </c>
      <c r="B751" s="509"/>
      <c r="C751" s="509"/>
      <c r="D751" s="509"/>
      <c r="E751" s="509"/>
      <c r="F751" s="509"/>
      <c r="G751" s="509"/>
      <c r="H751" s="509"/>
      <c r="I751" s="509"/>
      <c r="J751" s="509"/>
      <c r="K751" s="509"/>
      <c r="L751" s="509"/>
      <c r="M751" s="509"/>
      <c r="N751" s="509"/>
      <c r="O751" s="509"/>
      <c r="P751" s="509"/>
      <c r="Q751" s="509"/>
    </row>
    <row r="752" spans="1:17" ht="14.4">
      <c r="A752" s="371" t="s">
        <v>325</v>
      </c>
      <c r="B752" s="372"/>
      <c r="C752" s="372"/>
      <c r="D752" s="372"/>
      <c r="E752" s="372"/>
      <c r="F752" s="372"/>
      <c r="G752" s="372"/>
      <c r="H752" s="372"/>
      <c r="I752" s="372"/>
      <c r="J752" s="372"/>
      <c r="K752" s="372"/>
      <c r="L752" s="372"/>
      <c r="M752" s="372"/>
      <c r="N752" s="372"/>
      <c r="O752" s="372"/>
      <c r="P752" s="372"/>
      <c r="Q752" s="372"/>
    </row>
    <row r="753" spans="1:17" ht="27">
      <c r="A753" s="376"/>
      <c r="B753" s="304" t="s">
        <v>35</v>
      </c>
      <c r="C753" s="352" t="s">
        <v>407</v>
      </c>
      <c r="D753" s="352" t="s">
        <v>408</v>
      </c>
      <c r="E753" s="352" t="s">
        <v>409</v>
      </c>
      <c r="F753" s="352" t="s">
        <v>410</v>
      </c>
      <c r="G753" s="352" t="s">
        <v>411</v>
      </c>
      <c r="H753" s="352" t="s">
        <v>412</v>
      </c>
      <c r="I753" s="352" t="s">
        <v>413</v>
      </c>
      <c r="J753" s="352" t="s">
        <v>414</v>
      </c>
      <c r="K753" s="352" t="s">
        <v>415</v>
      </c>
      <c r="L753" s="352" t="s">
        <v>416</v>
      </c>
      <c r="M753" s="352" t="s">
        <v>417</v>
      </c>
      <c r="N753" s="352" t="s">
        <v>418</v>
      </c>
      <c r="O753" s="352" t="s">
        <v>419</v>
      </c>
      <c r="P753" s="352" t="s">
        <v>420</v>
      </c>
      <c r="Q753" s="352" t="s">
        <v>421</v>
      </c>
    </row>
    <row r="754" spans="1:17" ht="14.4">
      <c r="A754" s="363" t="s">
        <v>290</v>
      </c>
      <c r="B754" s="365"/>
      <c r="C754" s="381">
        <f>+Baseline_NaturalGas!D10*(1+$B$7)</f>
        <v>197100</v>
      </c>
      <c r="D754" s="381">
        <f>+Baseline_NaturalGas!E10*(1+$B$7)</f>
        <v>197100</v>
      </c>
      <c r="E754" s="381">
        <f>+Baseline_NaturalGas!F10*(1+$B$7)</f>
        <v>197100</v>
      </c>
      <c r="F754" s="381">
        <f>+Baseline_NaturalGas!G10*(1+$B$7)</f>
        <v>197100</v>
      </c>
      <c r="G754" s="381">
        <f>+Baseline_NaturalGas!H10*(1+$B$7)</f>
        <v>197100</v>
      </c>
      <c r="H754" s="381">
        <f>+Baseline_NaturalGas!I10*(1+$B$7)</f>
        <v>197100</v>
      </c>
      <c r="I754" s="381">
        <f>+Baseline_NaturalGas!J10*(1+$B$7)</f>
        <v>197100</v>
      </c>
      <c r="J754" s="381">
        <f>+Baseline_NaturalGas!K10*(1+$B$7)</f>
        <v>197100</v>
      </c>
      <c r="K754" s="381">
        <f>+Baseline_NaturalGas!L10*(1+$B$7)</f>
        <v>197100</v>
      </c>
      <c r="L754" s="381">
        <f>+Baseline_NaturalGas!M10*(1+$B$7)</f>
        <v>197100</v>
      </c>
      <c r="M754" s="381">
        <f>+Baseline_NaturalGas!N10*(1+$B$7)</f>
        <v>197100</v>
      </c>
      <c r="N754" s="381">
        <f>+Baseline_NaturalGas!O10*(1+$B$7)</f>
        <v>197100</v>
      </c>
      <c r="O754" s="381">
        <f>+Baseline_NaturalGas!P10*(1+$B$7)</f>
        <v>197100</v>
      </c>
      <c r="P754" s="381">
        <f>+Baseline_NaturalGas!Q10*(1+$B$7)</f>
        <v>197100</v>
      </c>
      <c r="Q754" s="381">
        <f>+Baseline_NaturalGas!R10*(1+$B$7)</f>
        <v>197100</v>
      </c>
    </row>
    <row r="755" spans="1:17" ht="14.4">
      <c r="A755" s="364" t="s">
        <v>291</v>
      </c>
      <c r="B755" s="365"/>
      <c r="C755" s="367">
        <f>'Initial Data'!$C$50-'Initial Data'!$C$51</f>
        <v>70</v>
      </c>
      <c r="D755" s="367">
        <f>'Initial Data'!$C$50-'Initial Data'!$C$51</f>
        <v>70</v>
      </c>
      <c r="E755" s="367">
        <f>'Initial Data'!$C$50-'Initial Data'!$C$51</f>
        <v>70</v>
      </c>
      <c r="F755" s="367">
        <f>'Initial Data'!$C$50-'Initial Data'!$C$51</f>
        <v>70</v>
      </c>
      <c r="G755" s="367">
        <f>'Initial Data'!$C$50-'Initial Data'!$C$51</f>
        <v>70</v>
      </c>
      <c r="H755" s="367">
        <f>'Initial Data'!$C$50-'Initial Data'!$C$51</f>
        <v>70</v>
      </c>
      <c r="I755" s="367">
        <f>'Initial Data'!$C$50-'Initial Data'!$C$51</f>
        <v>70</v>
      </c>
      <c r="J755" s="367">
        <f>'Initial Data'!$C$50-'Initial Data'!$C$51</f>
        <v>70</v>
      </c>
      <c r="K755" s="367">
        <f>'Initial Data'!$C$50-'Initial Data'!$C$51</f>
        <v>70</v>
      </c>
      <c r="L755" s="367">
        <f>'Initial Data'!$C$50-'Initial Data'!$C$51</f>
        <v>70</v>
      </c>
      <c r="M755" s="367">
        <f>'Initial Data'!$C$50-'Initial Data'!$C$51</f>
        <v>70</v>
      </c>
      <c r="N755" s="367">
        <f>'Initial Data'!$C$50-'Initial Data'!$C$51</f>
        <v>70</v>
      </c>
      <c r="O755" s="367">
        <f>'Initial Data'!$C$50-'Initial Data'!$C$51</f>
        <v>70</v>
      </c>
      <c r="P755" s="367">
        <f>'Initial Data'!$C$50-'Initial Data'!$C$51</f>
        <v>70</v>
      </c>
      <c r="Q755" s="367">
        <f>'Initial Data'!$C$50-'Initial Data'!$C$51</f>
        <v>70</v>
      </c>
    </row>
    <row r="756" spans="1:17" ht="14.4">
      <c r="A756" s="366" t="s">
        <v>292</v>
      </c>
      <c r="B756" s="365"/>
      <c r="C756" s="375">
        <f>+Baseline_NaturalGas!D12</f>
        <v>6.4285714285714288</v>
      </c>
      <c r="D756" s="375">
        <f>+Baseline_NaturalGas!E12</f>
        <v>6.6008571428571425</v>
      </c>
      <c r="E756" s="375">
        <f>+Baseline_NaturalGas!F12</f>
        <v>6.7777601142857131</v>
      </c>
      <c r="F756" s="375">
        <f>+Baseline_NaturalGas!G12</f>
        <v>6.9594040853485701</v>
      </c>
      <c r="G756" s="375">
        <f>+Baseline_NaturalGas!H12</f>
        <v>7.1459161148359112</v>
      </c>
      <c r="H756" s="375">
        <f>+Baseline_NaturalGas!I12</f>
        <v>7.3374266667135135</v>
      </c>
      <c r="I756" s="375">
        <f>+Baseline_NaturalGas!J12</f>
        <v>7.5340697013814353</v>
      </c>
      <c r="J756" s="375">
        <f>+Baseline_NaturalGas!K12</f>
        <v>7.7359827693784569</v>
      </c>
      <c r="K756" s="375">
        <f>+Baseline_NaturalGas!L12</f>
        <v>7.943307107597799</v>
      </c>
      <c r="L756" s="375">
        <f>+Baseline_NaturalGas!M12</f>
        <v>8.1561877380814192</v>
      </c>
      <c r="M756" s="375">
        <f>+Baseline_NaturalGas!N12</f>
        <v>8.3747735694620005</v>
      </c>
      <c r="N756" s="375">
        <f>+Baseline_NaturalGas!O12</f>
        <v>8.5992175011235812</v>
      </c>
      <c r="O756" s="375">
        <f>+Baseline_NaturalGas!P12</f>
        <v>8.8296765301536926</v>
      </c>
      <c r="P756" s="375">
        <f>+Baseline_NaturalGas!Q12</f>
        <v>9.066311861161811</v>
      </c>
      <c r="Q756" s="375">
        <f>+Baseline_NaturalGas!R12</f>
        <v>9.3092890190409463</v>
      </c>
    </row>
    <row r="757" spans="1:17" ht="14.4">
      <c r="A757" s="366" t="s">
        <v>293</v>
      </c>
      <c r="B757" s="365"/>
      <c r="C757" s="367">
        <f>+C755*C756</f>
        <v>450</v>
      </c>
      <c r="D757" s="367">
        <f t="shared" ref="D757:Q757" si="200">+D755*D756</f>
        <v>462.06</v>
      </c>
      <c r="E757" s="367">
        <f t="shared" si="200"/>
        <v>474.44320799999991</v>
      </c>
      <c r="F757" s="367">
        <f t="shared" si="200"/>
        <v>487.15828597439992</v>
      </c>
      <c r="G757" s="367">
        <f t="shared" si="200"/>
        <v>500.21412803851376</v>
      </c>
      <c r="H757" s="367">
        <f t="shared" si="200"/>
        <v>513.61986666994596</v>
      </c>
      <c r="I757" s="367">
        <f t="shared" si="200"/>
        <v>527.3848790967005</v>
      </c>
      <c r="J757" s="367">
        <f t="shared" si="200"/>
        <v>541.51879385649192</v>
      </c>
      <c r="K757" s="367">
        <f t="shared" si="200"/>
        <v>556.03149753184596</v>
      </c>
      <c r="L757" s="367">
        <f t="shared" si="200"/>
        <v>570.9331416656994</v>
      </c>
      <c r="M757" s="367">
        <f t="shared" si="200"/>
        <v>586.23414986234002</v>
      </c>
      <c r="N757" s="367">
        <f t="shared" si="200"/>
        <v>601.94522507865065</v>
      </c>
      <c r="O757" s="367">
        <f t="shared" si="200"/>
        <v>618.0773571107585</v>
      </c>
      <c r="P757" s="367">
        <f t="shared" si="200"/>
        <v>634.64183028132675</v>
      </c>
      <c r="Q757" s="367">
        <f t="shared" si="200"/>
        <v>651.65023133286627</v>
      </c>
    </row>
    <row r="758" spans="1:17" ht="14.4">
      <c r="A758" s="370"/>
      <c r="B758" s="373"/>
      <c r="C758" s="373"/>
      <c r="D758" s="373"/>
      <c r="E758" s="373"/>
      <c r="F758" s="373"/>
      <c r="G758" s="373"/>
      <c r="H758" s="373"/>
      <c r="I758" s="373"/>
      <c r="J758" s="373"/>
      <c r="K758" s="373"/>
      <c r="L758" s="373"/>
      <c r="M758" s="373"/>
      <c r="N758" s="373"/>
      <c r="O758" s="373"/>
      <c r="P758" s="373"/>
      <c r="Q758" s="373"/>
    </row>
    <row r="759" spans="1:17" ht="14.4">
      <c r="A759" s="366" t="s">
        <v>294</v>
      </c>
      <c r="B759" s="378">
        <f>+SUM(C759:Q759)</f>
        <v>1611472.3723758596</v>
      </c>
      <c r="C759" s="377">
        <f>C754*C757/1000*'Initial Data'!$C$34/'Initial Data'!$C$33</f>
        <v>88695</v>
      </c>
      <c r="D759" s="377">
        <f>D754*D757/1000*'Initial Data'!$C$34/'Initial Data'!$C$33</f>
        <v>91072.025999999998</v>
      </c>
      <c r="E759" s="377">
        <f>E754*E757/1000*'Initial Data'!$C$34/'Initial Data'!$C$33</f>
        <v>93512.756296799984</v>
      </c>
      <c r="F759" s="377">
        <f>F754*F757/1000*'Initial Data'!$C$34/'Initial Data'!$C$33</f>
        <v>96018.89816555423</v>
      </c>
      <c r="G759" s="377">
        <f>G754*G757/1000*'Initial Data'!$C$34/'Initial Data'!$C$33</f>
        <v>98592.204636391063</v>
      </c>
      <c r="H759" s="377">
        <f>H754*H757/1000*'Initial Data'!$C$34/'Initial Data'!$C$33</f>
        <v>101234.47572064635</v>
      </c>
      <c r="I759" s="377">
        <f>I754*I757/1000*'Initial Data'!$C$34/'Initial Data'!$C$33</f>
        <v>103947.55966995966</v>
      </c>
      <c r="J759" s="377">
        <f>J754*J757/1000*'Initial Data'!$C$34/'Initial Data'!$C$33</f>
        <v>106733.35426911456</v>
      </c>
      <c r="K759" s="377">
        <f>K754*K757/1000*'Initial Data'!$C$34/'Initial Data'!$C$33</f>
        <v>109593.80816352683</v>
      </c>
      <c r="L759" s="377">
        <f>L754*L757/1000*'Initial Data'!$C$34/'Initial Data'!$C$33</f>
        <v>112530.92222230935</v>
      </c>
      <c r="M759" s="377">
        <f>M754*M757/1000*'Initial Data'!$C$34/'Initial Data'!$C$33</f>
        <v>115546.75093786723</v>
      </c>
      <c r="N759" s="377">
        <f>N754*N757/1000*'Initial Data'!$C$34/'Initial Data'!$C$33</f>
        <v>118643.40386300205</v>
      </c>
      <c r="O759" s="377">
        <f>O754*O757/1000*'Initial Data'!$C$34/'Initial Data'!$C$33</f>
        <v>121823.04708653051</v>
      </c>
      <c r="P759" s="377">
        <f>P754*P757/1000*'Initial Data'!$C$34/'Initial Data'!$C$33</f>
        <v>125087.90474844951</v>
      </c>
      <c r="Q759" s="377">
        <f>Q754*Q757/1000*'Initial Data'!$C$34/'Initial Data'!$C$33</f>
        <v>128440.26059570794</v>
      </c>
    </row>
    <row r="760" spans="1:17" ht="14.4">
      <c r="A760" s="370"/>
      <c r="B760" s="373"/>
      <c r="C760" s="373"/>
      <c r="D760" s="373"/>
      <c r="E760" s="373"/>
      <c r="F760" s="373"/>
      <c r="G760" s="373"/>
      <c r="H760" s="373"/>
      <c r="I760" s="373"/>
      <c r="J760" s="373"/>
      <c r="K760" s="373"/>
      <c r="L760" s="373"/>
      <c r="M760" s="373"/>
      <c r="N760" s="373"/>
      <c r="O760" s="373"/>
      <c r="P760" s="373"/>
      <c r="Q760" s="373"/>
    </row>
    <row r="761" spans="1:17" ht="14.4">
      <c r="A761" s="366" t="s">
        <v>295</v>
      </c>
      <c r="B761" s="378">
        <f>+SUM(C761:Q761)</f>
        <v>1611472.3723758596</v>
      </c>
      <c r="C761" s="367">
        <f>+C759</f>
        <v>88695</v>
      </c>
      <c r="D761" s="367">
        <f t="shared" ref="D761:Q761" si="201">+D759</f>
        <v>91072.025999999998</v>
      </c>
      <c r="E761" s="367">
        <f t="shared" si="201"/>
        <v>93512.756296799984</v>
      </c>
      <c r="F761" s="367">
        <f t="shared" si="201"/>
        <v>96018.89816555423</v>
      </c>
      <c r="G761" s="367">
        <f t="shared" si="201"/>
        <v>98592.204636391063</v>
      </c>
      <c r="H761" s="367">
        <f t="shared" si="201"/>
        <v>101234.47572064635</v>
      </c>
      <c r="I761" s="367">
        <f t="shared" si="201"/>
        <v>103947.55966995966</v>
      </c>
      <c r="J761" s="367">
        <f t="shared" si="201"/>
        <v>106733.35426911456</v>
      </c>
      <c r="K761" s="367">
        <f t="shared" si="201"/>
        <v>109593.80816352683</v>
      </c>
      <c r="L761" s="367">
        <f t="shared" si="201"/>
        <v>112530.92222230935</v>
      </c>
      <c r="M761" s="367">
        <f t="shared" si="201"/>
        <v>115546.75093786723</v>
      </c>
      <c r="N761" s="367">
        <f t="shared" si="201"/>
        <v>118643.40386300205</v>
      </c>
      <c r="O761" s="367">
        <f t="shared" si="201"/>
        <v>121823.04708653051</v>
      </c>
      <c r="P761" s="367">
        <f t="shared" si="201"/>
        <v>125087.90474844951</v>
      </c>
      <c r="Q761" s="367">
        <f t="shared" si="201"/>
        <v>128440.26059570794</v>
      </c>
    </row>
    <row r="762" spans="1:17" ht="14.4">
      <c r="A762" s="370"/>
      <c r="B762" s="374"/>
      <c r="C762" s="374"/>
      <c r="D762" s="374"/>
      <c r="E762" s="374"/>
      <c r="F762" s="374"/>
      <c r="G762" s="374"/>
      <c r="H762" s="374"/>
      <c r="I762" s="374"/>
      <c r="J762" s="374"/>
      <c r="K762" s="374"/>
      <c r="L762" s="374"/>
      <c r="M762" s="374"/>
      <c r="N762" s="374"/>
      <c r="O762" s="374"/>
      <c r="P762" s="374"/>
      <c r="Q762" s="374"/>
    </row>
    <row r="763" spans="1:17" ht="14.4">
      <c r="A763" s="366" t="s">
        <v>68</v>
      </c>
      <c r="B763" s="368"/>
      <c r="C763" s="368"/>
      <c r="D763" s="368"/>
      <c r="E763" s="368"/>
      <c r="F763" s="368"/>
      <c r="G763" s="368"/>
      <c r="H763" s="368"/>
      <c r="I763" s="368"/>
      <c r="J763" s="368"/>
      <c r="K763" s="368"/>
      <c r="L763" s="368"/>
      <c r="M763" s="368"/>
      <c r="N763" s="368"/>
      <c r="O763" s="368"/>
      <c r="P763" s="368"/>
      <c r="Q763" s="368"/>
    </row>
    <row r="764" spans="1:17" ht="14.4">
      <c r="A764" s="366" t="s">
        <v>330</v>
      </c>
      <c r="B764" s="378">
        <f>+SUM(C764:Q764)</f>
        <v>17405.991521183645</v>
      </c>
      <c r="C764" s="367">
        <f>+Baseline_NaturalGas!D20</f>
        <v>958.02102749999995</v>
      </c>
      <c r="D764" s="367">
        <f>+Baseline_NaturalGas!E20</f>
        <v>983.69599103699989</v>
      </c>
      <c r="E764" s="367">
        <f>+Baseline_NaturalGas!F20</f>
        <v>1010.0590435967914</v>
      </c>
      <c r="F764" s="367">
        <f>+Baseline_NaturalGas!G20</f>
        <v>1037.1286259651854</v>
      </c>
      <c r="G764" s="367">
        <f>+Baseline_NaturalGas!H20</f>
        <v>1064.9236731410524</v>
      </c>
      <c r="H764" s="367">
        <f>+Baseline_NaturalGas!I20</f>
        <v>1093.4636275812325</v>
      </c>
      <c r="I764" s="367">
        <f>+Baseline_NaturalGas!J20</f>
        <v>1122.7684528004095</v>
      </c>
      <c r="J764" s="367">
        <f>+Baseline_NaturalGas!K20</f>
        <v>1152.8586473354603</v>
      </c>
      <c r="K764" s="367">
        <f>+Baseline_NaturalGas!L20</f>
        <v>1183.7552590840505</v>
      </c>
      <c r="L764" s="367">
        <f>+Baseline_NaturalGas!M20</f>
        <v>1215.4799000275029</v>
      </c>
      <c r="M764" s="367">
        <f>+Baseline_NaturalGas!N20</f>
        <v>1248.0547613482399</v>
      </c>
      <c r="N764" s="367">
        <f>+Baseline_NaturalGas!O20</f>
        <v>1281.5026289523728</v>
      </c>
      <c r="O764" s="367">
        <f>+Baseline_NaturalGas!P20</f>
        <v>1315.8468994082964</v>
      </c>
      <c r="P764" s="367">
        <f>+Baseline_NaturalGas!Q20</f>
        <v>1351.1115963124387</v>
      </c>
      <c r="Q764" s="367">
        <f>+Baseline_NaturalGas!R20</f>
        <v>1387.321387093612</v>
      </c>
    </row>
    <row r="765" spans="1:17" ht="14.4">
      <c r="A765" s="370"/>
      <c r="B765" s="369"/>
      <c r="C765" s="369"/>
      <c r="D765" s="369"/>
      <c r="E765" s="369"/>
      <c r="F765" s="369"/>
      <c r="G765" s="369"/>
      <c r="H765" s="369"/>
      <c r="I765" s="369"/>
      <c r="J765" s="369"/>
      <c r="K765" s="369"/>
      <c r="L765" s="369"/>
      <c r="M765" s="369"/>
      <c r="N765" s="369"/>
      <c r="O765" s="369"/>
      <c r="P765" s="369"/>
      <c r="Q765" s="369"/>
    </row>
    <row r="766" spans="1:17" ht="14.4">
      <c r="A766" s="366" t="s">
        <v>71</v>
      </c>
      <c r="B766" s="379"/>
      <c r="C766" s="379"/>
      <c r="D766" s="379"/>
      <c r="E766" s="379"/>
      <c r="F766" s="379"/>
      <c r="G766" s="379"/>
      <c r="H766" s="379"/>
      <c r="I766" s="379"/>
      <c r="J766" s="379"/>
      <c r="K766" s="379"/>
      <c r="L766" s="379"/>
      <c r="M766" s="379"/>
      <c r="N766" s="379"/>
      <c r="O766" s="379"/>
      <c r="P766" s="379"/>
      <c r="Q766" s="379"/>
    </row>
    <row r="767" spans="1:17" ht="14.4">
      <c r="A767" s="370"/>
      <c r="B767" s="379"/>
      <c r="C767" s="379"/>
      <c r="D767" s="379"/>
      <c r="E767" s="379"/>
      <c r="F767" s="379"/>
      <c r="G767" s="379"/>
      <c r="H767" s="379"/>
      <c r="I767" s="379"/>
      <c r="J767" s="379"/>
      <c r="K767" s="379"/>
      <c r="L767" s="379"/>
      <c r="M767" s="379"/>
      <c r="N767" s="379"/>
      <c r="O767" s="379"/>
      <c r="P767" s="379"/>
      <c r="Q767" s="379"/>
    </row>
    <row r="768" spans="1:17" ht="14.4">
      <c r="A768" s="366" t="s">
        <v>64</v>
      </c>
      <c r="B768" s="373"/>
      <c r="C768" s="367">
        <f>+Baseline_NaturalGas!D24</f>
        <v>1656.5089715892002</v>
      </c>
      <c r="D768" s="367">
        <f>+Baseline_NaturalGas!E24</f>
        <v>1656.5089715892002</v>
      </c>
      <c r="E768" s="367">
        <f>+Baseline_NaturalGas!F24</f>
        <v>1656.5089715892002</v>
      </c>
      <c r="F768" s="367">
        <f>+Baseline_NaturalGas!G24</f>
        <v>1656.5089715892002</v>
      </c>
      <c r="G768" s="367">
        <f>+Baseline_NaturalGas!H24</f>
        <v>1656.5089715892002</v>
      </c>
      <c r="H768" s="367">
        <f>+Baseline_NaturalGas!I24</f>
        <v>1656.5089715892002</v>
      </c>
      <c r="I768" s="367">
        <f>+Baseline_NaturalGas!J24</f>
        <v>1656.5089715892002</v>
      </c>
      <c r="J768" s="367">
        <f>+Baseline_NaturalGas!K24</f>
        <v>1656.5089715892002</v>
      </c>
      <c r="K768" s="367">
        <f>+Baseline_NaturalGas!L24</f>
        <v>1656.5089715892002</v>
      </c>
      <c r="L768" s="367">
        <f>+Baseline_NaturalGas!M24</f>
        <v>1656.5089715892002</v>
      </c>
      <c r="M768" s="367">
        <f>+Baseline_NaturalGas!N24</f>
        <v>1656.5089715892002</v>
      </c>
      <c r="N768" s="367">
        <f>+Baseline_NaturalGas!O24</f>
        <v>1656.5089715892002</v>
      </c>
      <c r="O768" s="367">
        <f>+Baseline_NaturalGas!P24</f>
        <v>1656.5089715892002</v>
      </c>
      <c r="P768" s="367">
        <f>+Baseline_NaturalGas!Q24</f>
        <v>1656.5089715892002</v>
      </c>
      <c r="Q768" s="367">
        <f>+Baseline_NaturalGas!R24</f>
        <v>1656.5089715892002</v>
      </c>
    </row>
    <row r="769" spans="1:17" ht="14.4">
      <c r="A769" s="366" t="s">
        <v>108</v>
      </c>
      <c r="B769" s="387">
        <f>+Baseline_NaturalGas!C25</f>
        <v>0.90200000000000002</v>
      </c>
      <c r="C769" s="373"/>
      <c r="D769" s="373"/>
      <c r="E769" s="373"/>
      <c r="F769" s="373"/>
      <c r="G769" s="373"/>
      <c r="H769" s="373"/>
      <c r="I769" s="373"/>
      <c r="J769" s="373"/>
      <c r="K769" s="373"/>
      <c r="L769" s="373"/>
      <c r="M769" s="373"/>
      <c r="N769" s="373"/>
      <c r="O769" s="373"/>
      <c r="P769" s="373"/>
      <c r="Q769" s="373"/>
    </row>
    <row r="770" spans="1:17" ht="14.4">
      <c r="A770" s="366" t="s">
        <v>346</v>
      </c>
      <c r="B770" s="373"/>
      <c r="C770" s="367">
        <f>+Baseline_NaturalGas!D26</f>
        <v>1741816.7092883086</v>
      </c>
      <c r="D770" s="367">
        <f>+Baseline_NaturalGas!E26</f>
        <v>1741816.7092883086</v>
      </c>
      <c r="E770" s="367">
        <f>+Baseline_NaturalGas!F26</f>
        <v>1741816.7092883086</v>
      </c>
      <c r="F770" s="367">
        <f>+Baseline_NaturalGas!G26</f>
        <v>1741816.7092883086</v>
      </c>
      <c r="G770" s="367">
        <f>+Baseline_NaturalGas!H26</f>
        <v>1741816.7092883086</v>
      </c>
      <c r="H770" s="367">
        <f>+Baseline_NaturalGas!I26</f>
        <v>1741816.7092883086</v>
      </c>
      <c r="I770" s="367">
        <f>+Baseline_NaturalGas!J26</f>
        <v>1741816.7092883086</v>
      </c>
      <c r="J770" s="367">
        <f>+Baseline_NaturalGas!K26</f>
        <v>1741816.7092883086</v>
      </c>
      <c r="K770" s="367">
        <f>+Baseline_NaturalGas!L26</f>
        <v>1741816.7092883086</v>
      </c>
      <c r="L770" s="367">
        <f>+Baseline_NaturalGas!M26</f>
        <v>1741816.7092883086</v>
      </c>
      <c r="M770" s="367">
        <f>+Baseline_NaturalGas!N26</f>
        <v>1741816.7092883086</v>
      </c>
      <c r="N770" s="367">
        <f>+Baseline_NaturalGas!O26</f>
        <v>1741816.7092883086</v>
      </c>
      <c r="O770" s="367">
        <f>+Baseline_NaturalGas!P26</f>
        <v>1741816.7092883086</v>
      </c>
      <c r="P770" s="367">
        <f>+Baseline_NaturalGas!Q26</f>
        <v>1741816.7092883086</v>
      </c>
      <c r="Q770" s="367">
        <f>+Baseline_NaturalGas!R26</f>
        <v>1741816.7092883086</v>
      </c>
    </row>
    <row r="771" spans="1:17" ht="14.4">
      <c r="A771" s="366" t="s">
        <v>66</v>
      </c>
      <c r="B771" s="373"/>
      <c r="C771" s="367">
        <f>+Baseline_NaturalGas!D27</f>
        <v>5.6086944825694198</v>
      </c>
      <c r="D771" s="367">
        <f>+Baseline_NaturalGas!E27</f>
        <v>5.5051083831058802</v>
      </c>
      <c r="E771" s="367">
        <f>+Baseline_NaturalGas!F27</f>
        <v>5.61862622286578</v>
      </c>
      <c r="F771" s="367">
        <f>+Baseline_NaturalGas!G27</f>
        <v>5.8406487933251103</v>
      </c>
      <c r="G771" s="367">
        <f>+Baseline_NaturalGas!H27</f>
        <v>5.8453745748678001</v>
      </c>
      <c r="H771" s="367">
        <f>+Baseline_NaturalGas!I27</f>
        <v>6.0672099673130804</v>
      </c>
      <c r="I771" s="367">
        <f>+Baseline_NaturalGas!J27</f>
        <v>6.39755565092754</v>
      </c>
      <c r="J771" s="367">
        <f>+Baseline_NaturalGas!K27</f>
        <v>6.39755565092754</v>
      </c>
      <c r="K771" s="367">
        <f>+Baseline_NaturalGas!L27</f>
        <v>6.39755565092754</v>
      </c>
      <c r="L771" s="367">
        <f>+Baseline_NaturalGas!M27</f>
        <v>6.39755565092754</v>
      </c>
      <c r="M771" s="367">
        <f>+Baseline_NaturalGas!N27</f>
        <v>6.39755565092754</v>
      </c>
      <c r="N771" s="367">
        <f>+Baseline_NaturalGas!O27</f>
        <v>6.39755565092754</v>
      </c>
      <c r="O771" s="367">
        <f>+Baseline_NaturalGas!P27</f>
        <v>6.39755565092754</v>
      </c>
      <c r="P771" s="367">
        <f>+Baseline_NaturalGas!Q27</f>
        <v>6.39755565092754</v>
      </c>
      <c r="Q771" s="367">
        <f>+Baseline_NaturalGas!R27</f>
        <v>6.39755565092754</v>
      </c>
    </row>
    <row r="772" spans="1:17" ht="14.4">
      <c r="A772" s="370"/>
      <c r="B772" s="379"/>
      <c r="C772" s="379"/>
      <c r="D772" s="379"/>
      <c r="E772" s="379"/>
      <c r="F772" s="379"/>
      <c r="G772" s="379"/>
      <c r="H772" s="379"/>
      <c r="I772" s="379"/>
      <c r="J772" s="379"/>
      <c r="K772" s="379"/>
      <c r="L772" s="379"/>
      <c r="M772" s="379"/>
      <c r="N772" s="379"/>
      <c r="O772" s="379"/>
      <c r="P772" s="379"/>
      <c r="Q772" s="379"/>
    </row>
    <row r="773" spans="1:17" ht="14.4">
      <c r="A773" s="366" t="s">
        <v>102</v>
      </c>
      <c r="B773" s="378">
        <f t="shared" ref="B773" si="202">+SUM(C773:Q773)</f>
        <v>160358.02702356796</v>
      </c>
      <c r="C773" s="375">
        <f>+C770*C771/1000</f>
        <v>9769.3177670325604</v>
      </c>
      <c r="D773" s="375">
        <f t="shared" ref="D773:Q773" si="203">+D770*D771/1000</f>
        <v>9588.8897681369654</v>
      </c>
      <c r="E773" s="375">
        <f t="shared" si="203"/>
        <v>9786.6170382330711</v>
      </c>
      <c r="F773" s="375">
        <f t="shared" si="203"/>
        <v>10173.339661298274</v>
      </c>
      <c r="G773" s="375">
        <f t="shared" si="203"/>
        <v>10181.571106553778</v>
      </c>
      <c r="H773" s="375">
        <f t="shared" si="203"/>
        <v>10567.967699826495</v>
      </c>
      <c r="I773" s="375">
        <f t="shared" si="203"/>
        <v>11143.36933138743</v>
      </c>
      <c r="J773" s="375">
        <f t="shared" si="203"/>
        <v>11143.36933138743</v>
      </c>
      <c r="K773" s="375">
        <f t="shared" si="203"/>
        <v>11143.36933138743</v>
      </c>
      <c r="L773" s="375">
        <f t="shared" si="203"/>
        <v>11143.36933138743</v>
      </c>
      <c r="M773" s="375">
        <f t="shared" si="203"/>
        <v>11143.36933138743</v>
      </c>
      <c r="N773" s="375">
        <f t="shared" si="203"/>
        <v>11143.36933138743</v>
      </c>
      <c r="O773" s="375">
        <f t="shared" si="203"/>
        <v>11143.36933138743</v>
      </c>
      <c r="P773" s="375">
        <f t="shared" si="203"/>
        <v>11143.36933138743</v>
      </c>
      <c r="Q773" s="375">
        <f t="shared" si="203"/>
        <v>11143.36933138743</v>
      </c>
    </row>
    <row r="774" spans="1:17" ht="14.4">
      <c r="A774" s="370"/>
      <c r="B774" s="373"/>
      <c r="C774" s="373"/>
      <c r="D774" s="373"/>
      <c r="E774" s="373"/>
      <c r="F774" s="373"/>
      <c r="G774" s="373"/>
      <c r="H774" s="373"/>
      <c r="I774" s="373"/>
      <c r="J774" s="373"/>
      <c r="K774" s="373"/>
      <c r="L774" s="373"/>
      <c r="M774" s="373"/>
      <c r="N774" s="373"/>
      <c r="O774" s="373"/>
      <c r="P774" s="373"/>
      <c r="Q774" s="373"/>
    </row>
    <row r="775" spans="1:17" ht="14.4">
      <c r="A775" s="370"/>
      <c r="B775" s="379"/>
      <c r="C775" s="379"/>
      <c r="D775" s="379"/>
      <c r="E775" s="379"/>
      <c r="F775" s="379"/>
      <c r="G775" s="379"/>
      <c r="H775" s="379"/>
      <c r="I775" s="379"/>
      <c r="J775" s="379"/>
      <c r="K775" s="379"/>
      <c r="L775" s="379"/>
      <c r="M775" s="379"/>
      <c r="N775" s="379"/>
      <c r="O775" s="379"/>
      <c r="P775" s="379"/>
      <c r="Q775" s="379"/>
    </row>
    <row r="776" spans="1:17" ht="14.4">
      <c r="A776" s="366" t="s">
        <v>101</v>
      </c>
      <c r="B776" s="373"/>
      <c r="C776" s="375">
        <f>+C773+C764</f>
        <v>10727.338794532559</v>
      </c>
      <c r="D776" s="375">
        <f t="shared" ref="D776:Q776" si="204">+D773+D764</f>
        <v>10572.585759173966</v>
      </c>
      <c r="E776" s="375">
        <f t="shared" si="204"/>
        <v>10796.676081829863</v>
      </c>
      <c r="F776" s="375">
        <f t="shared" si="204"/>
        <v>11210.46828726346</v>
      </c>
      <c r="G776" s="375">
        <f t="shared" si="204"/>
        <v>11246.494779694831</v>
      </c>
      <c r="H776" s="375">
        <f t="shared" si="204"/>
        <v>11661.431327407727</v>
      </c>
      <c r="I776" s="375">
        <f t="shared" si="204"/>
        <v>12266.13778418784</v>
      </c>
      <c r="J776" s="375">
        <f t="shared" si="204"/>
        <v>12296.227978722891</v>
      </c>
      <c r="K776" s="375">
        <f t="shared" si="204"/>
        <v>12327.124590471481</v>
      </c>
      <c r="L776" s="375">
        <f t="shared" si="204"/>
        <v>12358.849231414933</v>
      </c>
      <c r="M776" s="375">
        <f t="shared" si="204"/>
        <v>12391.42409273567</v>
      </c>
      <c r="N776" s="375">
        <f t="shared" si="204"/>
        <v>12424.871960339802</v>
      </c>
      <c r="O776" s="375">
        <f t="shared" si="204"/>
        <v>12459.216230795726</v>
      </c>
      <c r="P776" s="375">
        <f t="shared" si="204"/>
        <v>12494.480927699869</v>
      </c>
      <c r="Q776" s="375">
        <f t="shared" si="204"/>
        <v>12530.690718481042</v>
      </c>
    </row>
    <row r="777" spans="1:17" ht="14.4">
      <c r="A777" s="370"/>
      <c r="B777" s="379"/>
      <c r="C777" s="379"/>
      <c r="D777" s="379"/>
      <c r="E777" s="379"/>
      <c r="F777" s="379"/>
      <c r="G777" s="379"/>
      <c r="H777" s="379"/>
      <c r="I777" s="379"/>
      <c r="J777" s="379"/>
      <c r="K777" s="379"/>
      <c r="L777" s="379"/>
      <c r="M777" s="379"/>
      <c r="N777" s="379"/>
      <c r="O777" s="379"/>
      <c r="P777" s="379"/>
      <c r="Q777" s="379"/>
    </row>
    <row r="778" spans="1:17" ht="14.4">
      <c r="A778" s="366" t="s">
        <v>73</v>
      </c>
      <c r="B778" s="378">
        <f>+SUM(C778:Q778)</f>
        <v>11487.524395535713</v>
      </c>
      <c r="C778" s="367">
        <f>+Baseline_NaturalGas!$D$5/'Initial Data'!$C$19</f>
        <v>1148.7524395535715</v>
      </c>
      <c r="D778" s="367">
        <f>+Baseline_NaturalGas!$D$5/'Initial Data'!$C$19</f>
        <v>1148.7524395535715</v>
      </c>
      <c r="E778" s="367">
        <f>+Baseline_NaturalGas!$D$5/'Initial Data'!$C$19</f>
        <v>1148.7524395535715</v>
      </c>
      <c r="F778" s="367">
        <f>+Baseline_NaturalGas!$D$5/'Initial Data'!$C$19</f>
        <v>1148.7524395535715</v>
      </c>
      <c r="G778" s="367">
        <f>+Baseline_NaturalGas!$D$5/'Initial Data'!$C$19</f>
        <v>1148.7524395535715</v>
      </c>
      <c r="H778" s="367">
        <f>+Baseline_NaturalGas!$D$5/'Initial Data'!$C$19</f>
        <v>1148.7524395535715</v>
      </c>
      <c r="I778" s="367">
        <f>+Baseline_NaturalGas!$D$5/'Initial Data'!$C$19</f>
        <v>1148.7524395535715</v>
      </c>
      <c r="J778" s="367">
        <f>+Baseline_NaturalGas!$D$5/'Initial Data'!$C$19</f>
        <v>1148.7524395535715</v>
      </c>
      <c r="K778" s="367">
        <f>+Baseline_NaturalGas!$D$5/'Initial Data'!$C$19</f>
        <v>1148.7524395535715</v>
      </c>
      <c r="L778" s="367">
        <f>+Baseline_NaturalGas!$D$5/'Initial Data'!$C$19</f>
        <v>1148.7524395535715</v>
      </c>
      <c r="M778" s="367">
        <v>0</v>
      </c>
      <c r="N778" s="367">
        <v>0</v>
      </c>
      <c r="O778" s="367">
        <v>0</v>
      </c>
      <c r="P778" s="367">
        <v>0</v>
      </c>
      <c r="Q778" s="367">
        <v>0</v>
      </c>
    </row>
    <row r="779" spans="1:17" ht="14.4">
      <c r="A779" s="366" t="s">
        <v>74</v>
      </c>
      <c r="B779" s="378">
        <f>+SUM(C779:Q779)</f>
        <v>11487.524395535713</v>
      </c>
      <c r="C779" s="367">
        <f>SUM(C778:C778)</f>
        <v>1148.7524395535715</v>
      </c>
      <c r="D779" s="367">
        <f t="shared" ref="D779:Q779" si="205">SUM(D778:D778)</f>
        <v>1148.7524395535715</v>
      </c>
      <c r="E779" s="367">
        <f t="shared" si="205"/>
        <v>1148.7524395535715</v>
      </c>
      <c r="F779" s="367">
        <f t="shared" si="205"/>
        <v>1148.7524395535715</v>
      </c>
      <c r="G779" s="367">
        <f t="shared" si="205"/>
        <v>1148.7524395535715</v>
      </c>
      <c r="H779" s="367">
        <f t="shared" si="205"/>
        <v>1148.7524395535715</v>
      </c>
      <c r="I779" s="367">
        <f t="shared" si="205"/>
        <v>1148.7524395535715</v>
      </c>
      <c r="J779" s="367">
        <f t="shared" si="205"/>
        <v>1148.7524395535715</v>
      </c>
      <c r="K779" s="367">
        <f t="shared" si="205"/>
        <v>1148.7524395535715</v>
      </c>
      <c r="L779" s="367">
        <f t="shared" si="205"/>
        <v>1148.7524395535715</v>
      </c>
      <c r="M779" s="367">
        <f t="shared" si="205"/>
        <v>0</v>
      </c>
      <c r="N779" s="367">
        <f t="shared" si="205"/>
        <v>0</v>
      </c>
      <c r="O779" s="367">
        <f t="shared" si="205"/>
        <v>0</v>
      </c>
      <c r="P779" s="367">
        <f t="shared" si="205"/>
        <v>0</v>
      </c>
      <c r="Q779" s="367">
        <f t="shared" si="205"/>
        <v>0</v>
      </c>
    </row>
    <row r="780" spans="1:17" ht="14.4">
      <c r="A780" s="90"/>
      <c r="B780" s="388"/>
      <c r="C780" s="373"/>
      <c r="D780" s="373"/>
      <c r="E780" s="373"/>
      <c r="F780" s="373"/>
      <c r="G780" s="373"/>
      <c r="H780" s="373"/>
      <c r="I780" s="373"/>
      <c r="J780" s="373"/>
      <c r="K780" s="373"/>
      <c r="L780" s="373"/>
      <c r="M780" s="373"/>
      <c r="N780" s="373"/>
      <c r="O780" s="373"/>
      <c r="P780" s="373"/>
      <c r="Q780" s="373"/>
    </row>
    <row r="781" spans="1:17" ht="14.4">
      <c r="A781" s="366" t="s">
        <v>75</v>
      </c>
      <c r="B781" s="378">
        <f>+SUM(C781:Q781)</f>
        <v>189251.54294028736</v>
      </c>
      <c r="C781" s="367">
        <f>+C776+C779</f>
        <v>11876.09123408613</v>
      </c>
      <c r="D781" s="367">
        <f t="shared" ref="D781:Q781" si="206">+D776+D779</f>
        <v>11721.338198727537</v>
      </c>
      <c r="E781" s="367">
        <f t="shared" si="206"/>
        <v>11945.428521383434</v>
      </c>
      <c r="F781" s="367">
        <f t="shared" si="206"/>
        <v>12359.220726817031</v>
      </c>
      <c r="G781" s="367">
        <f t="shared" si="206"/>
        <v>12395.247219248402</v>
      </c>
      <c r="H781" s="367">
        <f t="shared" si="206"/>
        <v>12810.183766961298</v>
      </c>
      <c r="I781" s="367">
        <f t="shared" si="206"/>
        <v>13414.890223741411</v>
      </c>
      <c r="J781" s="367">
        <f t="shared" si="206"/>
        <v>13444.980418276462</v>
      </c>
      <c r="K781" s="367">
        <f t="shared" si="206"/>
        <v>13475.877030025053</v>
      </c>
      <c r="L781" s="367">
        <f t="shared" si="206"/>
        <v>13507.601670968505</v>
      </c>
      <c r="M781" s="367">
        <f t="shared" si="206"/>
        <v>12391.42409273567</v>
      </c>
      <c r="N781" s="367">
        <f t="shared" si="206"/>
        <v>12424.871960339802</v>
      </c>
      <c r="O781" s="367">
        <f t="shared" si="206"/>
        <v>12459.216230795726</v>
      </c>
      <c r="P781" s="367">
        <f t="shared" si="206"/>
        <v>12494.480927699869</v>
      </c>
      <c r="Q781" s="367">
        <f t="shared" si="206"/>
        <v>12530.690718481042</v>
      </c>
    </row>
    <row r="782" spans="1:17">
      <c r="A782" s="74"/>
    </row>
    <row r="783" spans="1:17" ht="14.4">
      <c r="A783" s="366" t="s">
        <v>76</v>
      </c>
      <c r="B783" s="378">
        <f>+SUM(C783:Q783)</f>
        <v>1422220.829435572</v>
      </c>
      <c r="C783" s="367">
        <f>+C761-C781</f>
        <v>76818.908765913875</v>
      </c>
      <c r="D783" s="367">
        <f t="shared" ref="D783:Q783" si="207">+D761-D781</f>
        <v>79350.687801272463</v>
      </c>
      <c r="E783" s="367">
        <f t="shared" si="207"/>
        <v>81567.327775416547</v>
      </c>
      <c r="F783" s="367">
        <f t="shared" si="207"/>
        <v>83659.677438737199</v>
      </c>
      <c r="G783" s="367">
        <f t="shared" si="207"/>
        <v>86196.957417142665</v>
      </c>
      <c r="H783" s="367">
        <f t="shared" si="207"/>
        <v>88424.291953685053</v>
      </c>
      <c r="I783" s="367">
        <f t="shared" si="207"/>
        <v>90532.66944621825</v>
      </c>
      <c r="J783" s="367">
        <f t="shared" si="207"/>
        <v>93288.373850838092</v>
      </c>
      <c r="K783" s="367">
        <f t="shared" si="207"/>
        <v>96117.931133501785</v>
      </c>
      <c r="L783" s="367">
        <f t="shared" si="207"/>
        <v>99023.320551340847</v>
      </c>
      <c r="M783" s="367">
        <f t="shared" si="207"/>
        <v>103155.32684513155</v>
      </c>
      <c r="N783" s="367">
        <f t="shared" si="207"/>
        <v>106218.53190266225</v>
      </c>
      <c r="O783" s="367">
        <f t="shared" si="207"/>
        <v>109363.83085573479</v>
      </c>
      <c r="P783" s="367">
        <f t="shared" si="207"/>
        <v>112593.42382074964</v>
      </c>
      <c r="Q783" s="367">
        <f t="shared" si="207"/>
        <v>115909.5698772269</v>
      </c>
    </row>
    <row r="784" spans="1:17" ht="14.4">
      <c r="A784" s="369"/>
      <c r="B784" s="373"/>
      <c r="C784" s="373"/>
      <c r="D784" s="373"/>
      <c r="E784" s="373"/>
      <c r="F784" s="373"/>
      <c r="G784" s="373"/>
      <c r="H784" s="373"/>
      <c r="I784" s="373"/>
      <c r="J784" s="373"/>
      <c r="K784" s="373"/>
      <c r="L784" s="373"/>
      <c r="M784" s="373"/>
      <c r="N784" s="373"/>
      <c r="O784" s="373"/>
      <c r="P784" s="373"/>
      <c r="Q784" s="373"/>
    </row>
    <row r="785" spans="1:17" ht="14.4">
      <c r="A785" s="366" t="s">
        <v>222</v>
      </c>
      <c r="B785" s="380">
        <f>+Baseline_NaturalGas!C43</f>
        <v>0.7</v>
      </c>
      <c r="C785" s="367">
        <f>IF((+$B$785*C783)&lt;0,"0",(+$B$785*C783))</f>
        <v>53773.236136139712</v>
      </c>
      <c r="D785" s="367">
        <f t="shared" ref="D785:Q785" si="208">IF((+$B$785*D783)&lt;0,"0",(+$B$785*D783))</f>
        <v>55545.481460890718</v>
      </c>
      <c r="E785" s="367">
        <f t="shared" si="208"/>
        <v>57097.129442791578</v>
      </c>
      <c r="F785" s="367">
        <f t="shared" si="208"/>
        <v>58561.774207116032</v>
      </c>
      <c r="G785" s="367">
        <f t="shared" si="208"/>
        <v>60337.870191999864</v>
      </c>
      <c r="H785" s="367">
        <f t="shared" si="208"/>
        <v>61897.004367579531</v>
      </c>
      <c r="I785" s="367">
        <f t="shared" si="208"/>
        <v>63372.868612352773</v>
      </c>
      <c r="J785" s="367">
        <f t="shared" si="208"/>
        <v>65301.86169558666</v>
      </c>
      <c r="K785" s="367">
        <f t="shared" si="208"/>
        <v>67282.551793451246</v>
      </c>
      <c r="L785" s="367">
        <f t="shared" si="208"/>
        <v>69316.324385938584</v>
      </c>
      <c r="M785" s="367">
        <f t="shared" si="208"/>
        <v>72208.728791592075</v>
      </c>
      <c r="N785" s="367">
        <f t="shared" si="208"/>
        <v>74352.972331863566</v>
      </c>
      <c r="O785" s="367">
        <f t="shared" si="208"/>
        <v>76554.681599014351</v>
      </c>
      <c r="P785" s="367">
        <f t="shared" si="208"/>
        <v>78815.396674524745</v>
      </c>
      <c r="Q785" s="367">
        <f t="shared" si="208"/>
        <v>81136.698914058827</v>
      </c>
    </row>
    <row r="786" spans="1:17" ht="14.4">
      <c r="A786" s="366" t="s">
        <v>77</v>
      </c>
      <c r="B786" s="378">
        <f>+SUM(C786:Q786)</f>
        <v>995554.58060490026</v>
      </c>
      <c r="C786" s="367">
        <f>SUM(C785:C785)</f>
        <v>53773.236136139712</v>
      </c>
      <c r="D786" s="367">
        <f t="shared" ref="D786:Q786" si="209">SUM(D785:D785)</f>
        <v>55545.481460890718</v>
      </c>
      <c r="E786" s="367">
        <f t="shared" si="209"/>
        <v>57097.129442791578</v>
      </c>
      <c r="F786" s="367">
        <f t="shared" si="209"/>
        <v>58561.774207116032</v>
      </c>
      <c r="G786" s="367">
        <f t="shared" si="209"/>
        <v>60337.870191999864</v>
      </c>
      <c r="H786" s="367">
        <f t="shared" si="209"/>
        <v>61897.004367579531</v>
      </c>
      <c r="I786" s="367">
        <f t="shared" si="209"/>
        <v>63372.868612352773</v>
      </c>
      <c r="J786" s="367">
        <f t="shared" si="209"/>
        <v>65301.86169558666</v>
      </c>
      <c r="K786" s="367">
        <f t="shared" si="209"/>
        <v>67282.551793451246</v>
      </c>
      <c r="L786" s="367">
        <f t="shared" si="209"/>
        <v>69316.324385938584</v>
      </c>
      <c r="M786" s="367">
        <f t="shared" si="209"/>
        <v>72208.728791592075</v>
      </c>
      <c r="N786" s="367">
        <f t="shared" si="209"/>
        <v>74352.972331863566</v>
      </c>
      <c r="O786" s="367">
        <f t="shared" si="209"/>
        <v>76554.681599014351</v>
      </c>
      <c r="P786" s="367">
        <f t="shared" si="209"/>
        <v>78815.396674524745</v>
      </c>
      <c r="Q786" s="367">
        <f t="shared" si="209"/>
        <v>81136.698914058827</v>
      </c>
    </row>
    <row r="787" spans="1:17" ht="14.4">
      <c r="A787" s="369"/>
      <c r="B787" s="373"/>
      <c r="C787" s="373"/>
      <c r="D787" s="373"/>
      <c r="E787" s="373"/>
      <c r="F787" s="373"/>
      <c r="G787" s="373"/>
      <c r="H787" s="373"/>
      <c r="I787" s="373"/>
      <c r="J787" s="373"/>
      <c r="K787" s="373"/>
      <c r="L787" s="373"/>
      <c r="M787" s="373"/>
      <c r="N787" s="373"/>
      <c r="O787" s="373"/>
      <c r="P787" s="373"/>
      <c r="Q787" s="373"/>
    </row>
    <row r="788" spans="1:17" ht="14.4">
      <c r="A788" s="366" t="s">
        <v>78</v>
      </c>
      <c r="B788" s="378">
        <f>+SUM(C788:Q788)</f>
        <v>426666.24883067166</v>
      </c>
      <c r="C788" s="367">
        <f>+C783-C786</f>
        <v>23045.672629774162</v>
      </c>
      <c r="D788" s="367">
        <f t="shared" ref="D788:Q788" si="210">+D783-D786</f>
        <v>23805.206340381745</v>
      </c>
      <c r="E788" s="367">
        <f t="shared" si="210"/>
        <v>24470.198332624968</v>
      </c>
      <c r="F788" s="367">
        <f t="shared" si="210"/>
        <v>25097.903231621167</v>
      </c>
      <c r="G788" s="367">
        <f t="shared" si="210"/>
        <v>25859.087225142801</v>
      </c>
      <c r="H788" s="367">
        <f t="shared" si="210"/>
        <v>26527.287586105522</v>
      </c>
      <c r="I788" s="367">
        <f t="shared" si="210"/>
        <v>27159.800833865476</v>
      </c>
      <c r="J788" s="367">
        <f t="shared" si="210"/>
        <v>27986.512155251432</v>
      </c>
      <c r="K788" s="367">
        <f t="shared" si="210"/>
        <v>28835.379340050538</v>
      </c>
      <c r="L788" s="367">
        <f t="shared" si="210"/>
        <v>29706.996165402263</v>
      </c>
      <c r="M788" s="367">
        <f t="shared" si="210"/>
        <v>30946.598053539477</v>
      </c>
      <c r="N788" s="367">
        <f t="shared" si="210"/>
        <v>31865.559570798679</v>
      </c>
      <c r="O788" s="367">
        <f t="shared" si="210"/>
        <v>32809.14925672044</v>
      </c>
      <c r="P788" s="367">
        <f t="shared" si="210"/>
        <v>33778.027146224893</v>
      </c>
      <c r="Q788" s="367">
        <f t="shared" si="210"/>
        <v>34772.870963168069</v>
      </c>
    </row>
    <row r="789" spans="1:17" ht="14.4">
      <c r="A789" s="395" t="s">
        <v>331</v>
      </c>
      <c r="B789" s="378">
        <f>+SUM(C789:Q789)</f>
        <v>11487.524395535713</v>
      </c>
      <c r="C789" s="377">
        <f>+C778</f>
        <v>1148.7524395535715</v>
      </c>
      <c r="D789" s="377">
        <f t="shared" ref="D789:Q789" si="211">+D778</f>
        <v>1148.7524395535715</v>
      </c>
      <c r="E789" s="377">
        <f t="shared" si="211"/>
        <v>1148.7524395535715</v>
      </c>
      <c r="F789" s="377">
        <f t="shared" si="211"/>
        <v>1148.7524395535715</v>
      </c>
      <c r="G789" s="377">
        <f t="shared" si="211"/>
        <v>1148.7524395535715</v>
      </c>
      <c r="H789" s="377">
        <f t="shared" si="211"/>
        <v>1148.7524395535715</v>
      </c>
      <c r="I789" s="377">
        <f t="shared" si="211"/>
        <v>1148.7524395535715</v>
      </c>
      <c r="J789" s="377">
        <f t="shared" si="211"/>
        <v>1148.7524395535715</v>
      </c>
      <c r="K789" s="377">
        <f t="shared" si="211"/>
        <v>1148.7524395535715</v>
      </c>
      <c r="L789" s="377">
        <f t="shared" si="211"/>
        <v>1148.7524395535715</v>
      </c>
      <c r="M789" s="377">
        <f t="shared" si="211"/>
        <v>0</v>
      </c>
      <c r="N789" s="377">
        <f t="shared" si="211"/>
        <v>0</v>
      </c>
      <c r="O789" s="377">
        <f t="shared" si="211"/>
        <v>0</v>
      </c>
      <c r="P789" s="377">
        <f t="shared" si="211"/>
        <v>0</v>
      </c>
      <c r="Q789" s="377">
        <f t="shared" si="211"/>
        <v>0</v>
      </c>
    </row>
    <row r="790" spans="1:17" ht="14.4">
      <c r="A790" s="395" t="s">
        <v>332</v>
      </c>
      <c r="B790" s="378">
        <f>+Baseline_NaturalGas!C723</f>
        <v>0</v>
      </c>
      <c r="C790" s="367">
        <f>+Baseline_NaturalGas!D723</f>
        <v>0</v>
      </c>
      <c r="D790" s="367">
        <f>+Baseline_NaturalGas!E723</f>
        <v>0</v>
      </c>
      <c r="E790" s="367">
        <f>+Baseline_NaturalGas!F723</f>
        <v>0</v>
      </c>
      <c r="F790" s="367">
        <f>+Baseline_NaturalGas!G723</f>
        <v>0</v>
      </c>
      <c r="G790" s="367">
        <f>+Baseline_NaturalGas!H723</f>
        <v>0</v>
      </c>
      <c r="H790" s="367">
        <f>+Baseline_NaturalGas!I723</f>
        <v>0</v>
      </c>
      <c r="I790" s="367">
        <f>+Baseline_NaturalGas!J723</f>
        <v>0</v>
      </c>
      <c r="J790" s="367">
        <f>+Baseline_NaturalGas!K723</f>
        <v>0</v>
      </c>
      <c r="K790" s="367">
        <f>+Baseline_NaturalGas!L723</f>
        <v>0</v>
      </c>
      <c r="L790" s="367">
        <f>+Baseline_NaturalGas!M723</f>
        <v>0</v>
      </c>
      <c r="M790" s="367">
        <f>+Baseline_NaturalGas!N723</f>
        <v>0</v>
      </c>
      <c r="N790" s="367">
        <f>+Baseline_NaturalGas!O723</f>
        <v>0</v>
      </c>
      <c r="O790" s="367">
        <f>+Baseline_NaturalGas!P723</f>
        <v>0</v>
      </c>
      <c r="P790" s="367">
        <f>+Baseline_NaturalGas!Q723</f>
        <v>0</v>
      </c>
      <c r="Q790" s="367">
        <f>+Baseline_NaturalGas!R723</f>
        <v>0</v>
      </c>
    </row>
    <row r="791" spans="1:17" ht="14.4">
      <c r="A791" s="510"/>
      <c r="B791" s="511"/>
      <c r="C791" s="511"/>
      <c r="D791" s="511"/>
      <c r="E791" s="511"/>
      <c r="F791" s="511"/>
      <c r="G791" s="511"/>
      <c r="H791" s="511"/>
      <c r="I791" s="511"/>
      <c r="J791" s="511"/>
      <c r="K791" s="511"/>
      <c r="L791" s="511"/>
      <c r="M791" s="511"/>
      <c r="N791" s="511"/>
      <c r="O791" s="511"/>
      <c r="P791" s="511"/>
      <c r="Q791" s="511"/>
    </row>
    <row r="792" spans="1:17" ht="14.4">
      <c r="A792" s="366" t="s">
        <v>110</v>
      </c>
      <c r="B792" s="378">
        <f>-Baseline_NaturalGas!$D$5</f>
        <v>-11487.524395535715</v>
      </c>
      <c r="C792" s="367">
        <f>+C788+C789+C790</f>
        <v>24194.425069327735</v>
      </c>
      <c r="D792" s="367">
        <f t="shared" ref="D792:Q792" si="212">+D788+D789+D790</f>
        <v>24953.958779935318</v>
      </c>
      <c r="E792" s="367">
        <f t="shared" si="212"/>
        <v>25618.950772178541</v>
      </c>
      <c r="F792" s="367">
        <f t="shared" si="212"/>
        <v>26246.65567117474</v>
      </c>
      <c r="G792" s="367">
        <f t="shared" si="212"/>
        <v>27007.839664696374</v>
      </c>
      <c r="H792" s="367">
        <f t="shared" si="212"/>
        <v>27676.040025659095</v>
      </c>
      <c r="I792" s="367">
        <f t="shared" si="212"/>
        <v>28308.553273419049</v>
      </c>
      <c r="J792" s="367">
        <f t="shared" si="212"/>
        <v>29135.264594805005</v>
      </c>
      <c r="K792" s="367">
        <f t="shared" si="212"/>
        <v>29984.131779604111</v>
      </c>
      <c r="L792" s="367">
        <f t="shared" si="212"/>
        <v>30855.748604955836</v>
      </c>
      <c r="M792" s="367">
        <f t="shared" si="212"/>
        <v>30946.598053539477</v>
      </c>
      <c r="N792" s="367">
        <f t="shared" si="212"/>
        <v>31865.559570798679</v>
      </c>
      <c r="O792" s="367">
        <f t="shared" si="212"/>
        <v>32809.14925672044</v>
      </c>
      <c r="P792" s="367">
        <f t="shared" si="212"/>
        <v>33778.027146224893</v>
      </c>
      <c r="Q792" s="367">
        <f t="shared" si="212"/>
        <v>34772.870963168069</v>
      </c>
    </row>
    <row r="793" spans="1:17" ht="15.6">
      <c r="A793" s="366" t="s">
        <v>51</v>
      </c>
      <c r="B793" s="132">
        <f>IRR(B792:Q792)</f>
        <v>2.135861098140774</v>
      </c>
      <c r="C793" s="390"/>
      <c r="D793" s="390"/>
      <c r="E793" s="390"/>
      <c r="F793" s="390"/>
      <c r="G793" s="390"/>
      <c r="H793" s="390"/>
      <c r="I793" s="390"/>
      <c r="J793" s="390"/>
      <c r="K793" s="390"/>
      <c r="L793" s="390"/>
      <c r="M793" s="390"/>
      <c r="N793" s="390"/>
      <c r="O793" s="390"/>
      <c r="P793" s="390"/>
      <c r="Q793" s="390"/>
    </row>
    <row r="794" spans="1:17" ht="15.6">
      <c r="A794" s="366" t="s">
        <v>267</v>
      </c>
      <c r="B794" s="303">
        <f>NPV('Initial Data'!$C$21/100,B792:Q792)</f>
        <v>158436.18624117566</v>
      </c>
      <c r="C794" s="373"/>
      <c r="D794" s="373"/>
      <c r="E794" s="373"/>
      <c r="F794" s="373"/>
      <c r="G794" s="373"/>
      <c r="H794" s="373"/>
      <c r="I794" s="373"/>
      <c r="J794" s="373"/>
      <c r="K794" s="373"/>
      <c r="L794" s="373"/>
      <c r="M794" s="373"/>
      <c r="N794" s="373"/>
      <c r="O794" s="373"/>
      <c r="P794" s="373"/>
      <c r="Q794" s="373"/>
    </row>
    <row r="795" spans="1:17" ht="14.4">
      <c r="A795" s="369"/>
    </row>
    <row r="796" spans="1:17" ht="14.4">
      <c r="A796" s="508" t="s">
        <v>341</v>
      </c>
      <c r="B796" s="509"/>
      <c r="C796" s="509"/>
      <c r="D796" s="509"/>
      <c r="E796" s="509"/>
      <c r="F796" s="509"/>
      <c r="G796" s="509"/>
      <c r="H796" s="509"/>
      <c r="I796" s="509"/>
      <c r="J796" s="509"/>
      <c r="K796" s="509"/>
      <c r="L796" s="509"/>
      <c r="M796" s="509"/>
      <c r="N796" s="509"/>
      <c r="O796" s="509"/>
      <c r="P796" s="509"/>
      <c r="Q796" s="509"/>
    </row>
    <row r="797" spans="1:17" ht="14.4">
      <c r="A797" s="371" t="s">
        <v>326</v>
      </c>
      <c r="B797" s="372"/>
      <c r="C797" s="372"/>
      <c r="D797" s="372"/>
      <c r="E797" s="372"/>
      <c r="F797" s="372"/>
      <c r="G797" s="372"/>
      <c r="H797" s="372"/>
      <c r="I797" s="372"/>
      <c r="J797" s="372"/>
      <c r="K797" s="372"/>
      <c r="L797" s="372"/>
      <c r="M797" s="372"/>
      <c r="N797" s="372"/>
      <c r="O797" s="372"/>
      <c r="P797" s="372"/>
      <c r="Q797" s="372"/>
    </row>
    <row r="798" spans="1:17" ht="27">
      <c r="A798" s="376"/>
      <c r="B798" s="304" t="s">
        <v>35</v>
      </c>
      <c r="C798" s="352" t="s">
        <v>407</v>
      </c>
      <c r="D798" s="352" t="s">
        <v>408</v>
      </c>
      <c r="E798" s="352" t="s">
        <v>409</v>
      </c>
      <c r="F798" s="352" t="s">
        <v>410</v>
      </c>
      <c r="G798" s="352" t="s">
        <v>411</v>
      </c>
      <c r="H798" s="352" t="s">
        <v>412</v>
      </c>
      <c r="I798" s="352" t="s">
        <v>413</v>
      </c>
      <c r="J798" s="352" t="s">
        <v>414</v>
      </c>
      <c r="K798" s="352" t="s">
        <v>415</v>
      </c>
      <c r="L798" s="352" t="s">
        <v>416</v>
      </c>
      <c r="M798" s="352" t="s">
        <v>417</v>
      </c>
      <c r="N798" s="352" t="s">
        <v>418</v>
      </c>
      <c r="O798" s="352" t="s">
        <v>419</v>
      </c>
      <c r="P798" s="352" t="s">
        <v>420</v>
      </c>
      <c r="Q798" s="352" t="s">
        <v>421</v>
      </c>
    </row>
    <row r="799" spans="1:17" ht="14.4">
      <c r="A799" s="363" t="s">
        <v>290</v>
      </c>
      <c r="B799" s="365"/>
      <c r="C799" s="381">
        <f>+Baseline_NaturalGas!D10*(1+$C$7)</f>
        <v>208050</v>
      </c>
      <c r="D799" s="381">
        <f>+Baseline_NaturalGas!E10*(1+$C$7)</f>
        <v>208050</v>
      </c>
      <c r="E799" s="381">
        <f>+Baseline_NaturalGas!F10*(1+$C$7)</f>
        <v>208050</v>
      </c>
      <c r="F799" s="381">
        <f>+Baseline_NaturalGas!G10*(1+$C$7)</f>
        <v>208050</v>
      </c>
      <c r="G799" s="381">
        <f>+Baseline_NaturalGas!H10*(1+$C$7)</f>
        <v>208050</v>
      </c>
      <c r="H799" s="381">
        <f>+Baseline_NaturalGas!I10*(1+$C$7)</f>
        <v>208050</v>
      </c>
      <c r="I799" s="381">
        <f>+Baseline_NaturalGas!J10*(1+$C$7)</f>
        <v>208050</v>
      </c>
      <c r="J799" s="381">
        <f>+Baseline_NaturalGas!K10*(1+$C$7)</f>
        <v>208050</v>
      </c>
      <c r="K799" s="381">
        <f>+Baseline_NaturalGas!L10*(1+$C$7)</f>
        <v>208050</v>
      </c>
      <c r="L799" s="381">
        <f>+Baseline_NaturalGas!M10*(1+$C$7)</f>
        <v>208050</v>
      </c>
      <c r="M799" s="381">
        <f>+Baseline_NaturalGas!N10*(1+$C$7)</f>
        <v>208050</v>
      </c>
      <c r="N799" s="381">
        <f>+Baseline_NaturalGas!O10*(1+$C$7)</f>
        <v>208050</v>
      </c>
      <c r="O799" s="381">
        <f>+Baseline_NaturalGas!P10*(1+$C$7)</f>
        <v>208050</v>
      </c>
      <c r="P799" s="381">
        <f>+Baseline_NaturalGas!Q10*(1+$C$7)</f>
        <v>208050</v>
      </c>
      <c r="Q799" s="381">
        <f>+Baseline_NaturalGas!R10*(1+$C$7)</f>
        <v>208050</v>
      </c>
    </row>
    <row r="800" spans="1:17" ht="14.4">
      <c r="A800" s="364" t="s">
        <v>291</v>
      </c>
      <c r="B800" s="365"/>
      <c r="C800" s="367">
        <f>'Initial Data'!$C$50-'Initial Data'!$C$51</f>
        <v>70</v>
      </c>
      <c r="D800" s="367">
        <f>'Initial Data'!$C$50-'Initial Data'!$C$51</f>
        <v>70</v>
      </c>
      <c r="E800" s="367">
        <f>'Initial Data'!$C$50-'Initial Data'!$C$51</f>
        <v>70</v>
      </c>
      <c r="F800" s="367">
        <f>'Initial Data'!$C$50-'Initial Data'!$C$51</f>
        <v>70</v>
      </c>
      <c r="G800" s="367">
        <f>'Initial Data'!$C$50-'Initial Data'!$C$51</f>
        <v>70</v>
      </c>
      <c r="H800" s="367">
        <f>'Initial Data'!$C$50-'Initial Data'!$C$51</f>
        <v>70</v>
      </c>
      <c r="I800" s="367">
        <f>'Initial Data'!$C$50-'Initial Data'!$C$51</f>
        <v>70</v>
      </c>
      <c r="J800" s="367">
        <f>'Initial Data'!$C$50-'Initial Data'!$C$51</f>
        <v>70</v>
      </c>
      <c r="K800" s="367">
        <f>'Initial Data'!$C$50-'Initial Data'!$C$51</f>
        <v>70</v>
      </c>
      <c r="L800" s="367">
        <f>'Initial Data'!$C$50-'Initial Data'!$C$51</f>
        <v>70</v>
      </c>
      <c r="M800" s="367">
        <f>'Initial Data'!$C$50-'Initial Data'!$C$51</f>
        <v>70</v>
      </c>
      <c r="N800" s="367">
        <f>'Initial Data'!$C$50-'Initial Data'!$C$51</f>
        <v>70</v>
      </c>
      <c r="O800" s="367">
        <f>'Initial Data'!$C$50-'Initial Data'!$C$51</f>
        <v>70</v>
      </c>
      <c r="P800" s="367">
        <f>'Initial Data'!$C$50-'Initial Data'!$C$51</f>
        <v>70</v>
      </c>
      <c r="Q800" s="367">
        <f>'Initial Data'!$C$50-'Initial Data'!$C$51</f>
        <v>70</v>
      </c>
    </row>
    <row r="801" spans="1:17" ht="14.4">
      <c r="A801" s="366" t="s">
        <v>292</v>
      </c>
      <c r="B801" s="365"/>
      <c r="C801" s="375">
        <f>+Baseline_NaturalGas!D12</f>
        <v>6.4285714285714288</v>
      </c>
      <c r="D801" s="375">
        <f>+Baseline_NaturalGas!E12</f>
        <v>6.6008571428571425</v>
      </c>
      <c r="E801" s="375">
        <f>+Baseline_NaturalGas!F12</f>
        <v>6.7777601142857131</v>
      </c>
      <c r="F801" s="375">
        <f>+Baseline_NaturalGas!G12</f>
        <v>6.9594040853485701</v>
      </c>
      <c r="G801" s="375">
        <f>+Baseline_NaturalGas!H12</f>
        <v>7.1459161148359112</v>
      </c>
      <c r="H801" s="375">
        <f>+Baseline_NaturalGas!I12</f>
        <v>7.3374266667135135</v>
      </c>
      <c r="I801" s="375">
        <f>+Baseline_NaturalGas!J12</f>
        <v>7.5340697013814353</v>
      </c>
      <c r="J801" s="375">
        <f>+Baseline_NaturalGas!K12</f>
        <v>7.7359827693784569</v>
      </c>
      <c r="K801" s="375">
        <f>+Baseline_NaturalGas!L12</f>
        <v>7.943307107597799</v>
      </c>
      <c r="L801" s="375">
        <f>+Baseline_NaturalGas!M12</f>
        <v>8.1561877380814192</v>
      </c>
      <c r="M801" s="375">
        <f>+Baseline_NaturalGas!N12</f>
        <v>8.3747735694620005</v>
      </c>
      <c r="N801" s="375">
        <f>+Baseline_NaturalGas!O12</f>
        <v>8.5992175011235812</v>
      </c>
      <c r="O801" s="375">
        <f>+Baseline_NaturalGas!P12</f>
        <v>8.8296765301536926</v>
      </c>
      <c r="P801" s="375">
        <f>+Baseline_NaturalGas!Q12</f>
        <v>9.066311861161811</v>
      </c>
      <c r="Q801" s="375">
        <f>+Baseline_NaturalGas!R12</f>
        <v>9.3092890190409463</v>
      </c>
    </row>
    <row r="802" spans="1:17" ht="14.4">
      <c r="A802" s="366" t="s">
        <v>293</v>
      </c>
      <c r="B802" s="365"/>
      <c r="C802" s="367">
        <f>+C800*C801</f>
        <v>450</v>
      </c>
      <c r="D802" s="367">
        <f t="shared" ref="D802:Q802" si="213">+D800*D801</f>
        <v>462.06</v>
      </c>
      <c r="E802" s="367">
        <f t="shared" si="213"/>
        <v>474.44320799999991</v>
      </c>
      <c r="F802" s="367">
        <f t="shared" si="213"/>
        <v>487.15828597439992</v>
      </c>
      <c r="G802" s="367">
        <f t="shared" si="213"/>
        <v>500.21412803851376</v>
      </c>
      <c r="H802" s="367">
        <f t="shared" si="213"/>
        <v>513.61986666994596</v>
      </c>
      <c r="I802" s="367">
        <f t="shared" si="213"/>
        <v>527.3848790967005</v>
      </c>
      <c r="J802" s="367">
        <f t="shared" si="213"/>
        <v>541.51879385649192</v>
      </c>
      <c r="K802" s="367">
        <f t="shared" si="213"/>
        <v>556.03149753184596</v>
      </c>
      <c r="L802" s="367">
        <f t="shared" si="213"/>
        <v>570.9331416656994</v>
      </c>
      <c r="M802" s="367">
        <f t="shared" si="213"/>
        <v>586.23414986234002</v>
      </c>
      <c r="N802" s="367">
        <f t="shared" si="213"/>
        <v>601.94522507865065</v>
      </c>
      <c r="O802" s="367">
        <f t="shared" si="213"/>
        <v>618.0773571107585</v>
      </c>
      <c r="P802" s="367">
        <f t="shared" si="213"/>
        <v>634.64183028132675</v>
      </c>
      <c r="Q802" s="367">
        <f t="shared" si="213"/>
        <v>651.65023133286627</v>
      </c>
    </row>
    <row r="803" spans="1:17" ht="14.4">
      <c r="A803" s="370"/>
      <c r="B803" s="373"/>
      <c r="C803" s="373"/>
      <c r="D803" s="373"/>
      <c r="E803" s="373"/>
      <c r="F803" s="373"/>
      <c r="G803" s="373"/>
      <c r="H803" s="373"/>
      <c r="I803" s="373"/>
      <c r="J803" s="373"/>
      <c r="K803" s="373"/>
      <c r="L803" s="373"/>
      <c r="M803" s="373"/>
      <c r="N803" s="373"/>
      <c r="O803" s="373"/>
      <c r="P803" s="373"/>
      <c r="Q803" s="373"/>
    </row>
    <row r="804" spans="1:17" ht="14.4">
      <c r="A804" s="366" t="s">
        <v>294</v>
      </c>
      <c r="B804" s="378">
        <f>+SUM(C804:Q804)</f>
        <v>1700998.6152856292</v>
      </c>
      <c r="C804" s="377">
        <f>C799*C802/1000*'Initial Data'!$C$34/'Initial Data'!$C$33</f>
        <v>93622.5</v>
      </c>
      <c r="D804" s="377">
        <f>D799*D802/1000*'Initial Data'!$C$34/'Initial Data'!$C$33</f>
        <v>96131.582999999999</v>
      </c>
      <c r="E804" s="377">
        <f>E799*E802/1000*'Initial Data'!$C$34/'Initial Data'!$C$33</f>
        <v>98707.909424399986</v>
      </c>
      <c r="F804" s="377">
        <f>F799*F802/1000*'Initial Data'!$C$34/'Initial Data'!$C$33</f>
        <v>101353.28139697391</v>
      </c>
      <c r="G804" s="377">
        <f>G799*G802/1000*'Initial Data'!$C$34/'Initial Data'!$C$33</f>
        <v>104069.54933841279</v>
      </c>
      <c r="H804" s="377">
        <f>H799*H802/1000*'Initial Data'!$C$34/'Initial Data'!$C$33</f>
        <v>106858.61326068225</v>
      </c>
      <c r="I804" s="377">
        <f>I799*I802/1000*'Initial Data'!$C$34/'Initial Data'!$C$33</f>
        <v>109722.42409606854</v>
      </c>
      <c r="J804" s="377">
        <f>J799*J802/1000*'Initial Data'!$C$34/'Initial Data'!$C$33</f>
        <v>112662.98506184314</v>
      </c>
      <c r="K804" s="377">
        <f>K799*K802/1000*'Initial Data'!$C$34/'Initial Data'!$C$33</f>
        <v>115682.35306150054</v>
      </c>
      <c r="L804" s="377">
        <f>L799*L802/1000*'Initial Data'!$C$34/'Initial Data'!$C$33</f>
        <v>118782.64012354876</v>
      </c>
      <c r="M804" s="377">
        <f>M799*M802/1000*'Initial Data'!$C$34/'Initial Data'!$C$33</f>
        <v>121966.01487885985</v>
      </c>
      <c r="N804" s="377">
        <f>N799*N802/1000*'Initial Data'!$C$34/'Initial Data'!$C$33</f>
        <v>125234.70407761328</v>
      </c>
      <c r="O804" s="377">
        <f>O799*O802/1000*'Initial Data'!$C$34/'Initial Data'!$C$33</f>
        <v>128590.99414689331</v>
      </c>
      <c r="P804" s="377">
        <f>P799*P802/1000*'Initial Data'!$C$34/'Initial Data'!$C$33</f>
        <v>132037.23279003004</v>
      </c>
      <c r="Q804" s="377">
        <f>Q799*Q802/1000*'Initial Data'!$C$34/'Initial Data'!$C$33</f>
        <v>135575.83062880283</v>
      </c>
    </row>
    <row r="805" spans="1:17" ht="14.4">
      <c r="A805" s="370"/>
      <c r="B805" s="373"/>
      <c r="C805" s="373"/>
      <c r="D805" s="373"/>
      <c r="E805" s="373"/>
      <c r="F805" s="373"/>
      <c r="G805" s="373"/>
      <c r="H805" s="373"/>
      <c r="I805" s="373"/>
      <c r="J805" s="373"/>
      <c r="K805" s="373"/>
      <c r="L805" s="373"/>
      <c r="M805" s="373"/>
      <c r="N805" s="373"/>
      <c r="O805" s="373"/>
      <c r="P805" s="373"/>
      <c r="Q805" s="373"/>
    </row>
    <row r="806" spans="1:17" ht="14.4">
      <c r="A806" s="366" t="s">
        <v>295</v>
      </c>
      <c r="B806" s="378">
        <f>+SUM(C806:Q806)</f>
        <v>1700998.6152856292</v>
      </c>
      <c r="C806" s="367">
        <f>+C804</f>
        <v>93622.5</v>
      </c>
      <c r="D806" s="367">
        <f t="shared" ref="D806:Q806" si="214">+D804</f>
        <v>96131.582999999999</v>
      </c>
      <c r="E806" s="367">
        <f t="shared" si="214"/>
        <v>98707.909424399986</v>
      </c>
      <c r="F806" s="367">
        <f t="shared" si="214"/>
        <v>101353.28139697391</v>
      </c>
      <c r="G806" s="367">
        <f t="shared" si="214"/>
        <v>104069.54933841279</v>
      </c>
      <c r="H806" s="367">
        <f t="shared" si="214"/>
        <v>106858.61326068225</v>
      </c>
      <c r="I806" s="367">
        <f t="shared" si="214"/>
        <v>109722.42409606854</v>
      </c>
      <c r="J806" s="367">
        <f t="shared" si="214"/>
        <v>112662.98506184314</v>
      </c>
      <c r="K806" s="367">
        <f t="shared" si="214"/>
        <v>115682.35306150054</v>
      </c>
      <c r="L806" s="367">
        <f t="shared" si="214"/>
        <v>118782.64012354876</v>
      </c>
      <c r="M806" s="367">
        <f t="shared" si="214"/>
        <v>121966.01487885985</v>
      </c>
      <c r="N806" s="367">
        <f t="shared" si="214"/>
        <v>125234.70407761328</v>
      </c>
      <c r="O806" s="367">
        <f t="shared" si="214"/>
        <v>128590.99414689331</v>
      </c>
      <c r="P806" s="367">
        <f t="shared" si="214"/>
        <v>132037.23279003004</v>
      </c>
      <c r="Q806" s="367">
        <f t="shared" si="214"/>
        <v>135575.83062880283</v>
      </c>
    </row>
    <row r="807" spans="1:17" ht="14.4">
      <c r="A807" s="370"/>
      <c r="B807" s="374"/>
      <c r="C807" s="374"/>
      <c r="D807" s="374"/>
      <c r="E807" s="374"/>
      <c r="F807" s="374"/>
      <c r="G807" s="374"/>
      <c r="H807" s="374"/>
      <c r="I807" s="374"/>
      <c r="J807" s="374"/>
      <c r="K807" s="374"/>
      <c r="L807" s="374"/>
      <c r="M807" s="374"/>
      <c r="N807" s="374"/>
      <c r="O807" s="374"/>
      <c r="P807" s="374"/>
      <c r="Q807" s="374"/>
    </row>
    <row r="808" spans="1:17" ht="14.4">
      <c r="A808" s="366" t="s">
        <v>68</v>
      </c>
      <c r="B808" s="368"/>
      <c r="C808" s="368"/>
      <c r="D808" s="368"/>
      <c r="E808" s="368"/>
      <c r="F808" s="368"/>
      <c r="G808" s="368"/>
      <c r="H808" s="368"/>
      <c r="I808" s="368"/>
      <c r="J808" s="368"/>
      <c r="K808" s="368"/>
      <c r="L808" s="368"/>
      <c r="M808" s="368"/>
      <c r="N808" s="368"/>
      <c r="O808" s="368"/>
      <c r="P808" s="368"/>
      <c r="Q808" s="368"/>
    </row>
    <row r="809" spans="1:17" ht="14.4">
      <c r="A809" s="366" t="s">
        <v>330</v>
      </c>
      <c r="B809" s="378">
        <f>+SUM(C809:Q809)</f>
        <v>17405.991521183645</v>
      </c>
      <c r="C809" s="367">
        <f>+Baseline_NaturalGas!D20</f>
        <v>958.02102749999995</v>
      </c>
      <c r="D809" s="367">
        <f>+Baseline_NaturalGas!E20</f>
        <v>983.69599103699989</v>
      </c>
      <c r="E809" s="367">
        <f>+Baseline_NaturalGas!F20</f>
        <v>1010.0590435967914</v>
      </c>
      <c r="F809" s="367">
        <f>+Baseline_NaturalGas!G20</f>
        <v>1037.1286259651854</v>
      </c>
      <c r="G809" s="367">
        <f>+Baseline_NaturalGas!H20</f>
        <v>1064.9236731410524</v>
      </c>
      <c r="H809" s="367">
        <f>+Baseline_NaturalGas!I20</f>
        <v>1093.4636275812325</v>
      </c>
      <c r="I809" s="367">
        <f>+Baseline_NaturalGas!J20</f>
        <v>1122.7684528004095</v>
      </c>
      <c r="J809" s="367">
        <f>+Baseline_NaturalGas!K20</f>
        <v>1152.8586473354603</v>
      </c>
      <c r="K809" s="367">
        <f>+Baseline_NaturalGas!L20</f>
        <v>1183.7552590840505</v>
      </c>
      <c r="L809" s="367">
        <f>+Baseline_NaturalGas!M20</f>
        <v>1215.4799000275029</v>
      </c>
      <c r="M809" s="367">
        <f>+Baseline_NaturalGas!N20</f>
        <v>1248.0547613482399</v>
      </c>
      <c r="N809" s="367">
        <f>+Baseline_NaturalGas!O20</f>
        <v>1281.5026289523728</v>
      </c>
      <c r="O809" s="367">
        <f>+Baseline_NaturalGas!P20</f>
        <v>1315.8468994082964</v>
      </c>
      <c r="P809" s="367">
        <f>+Baseline_NaturalGas!Q20</f>
        <v>1351.1115963124387</v>
      </c>
      <c r="Q809" s="367">
        <f>+Baseline_NaturalGas!R20</f>
        <v>1387.321387093612</v>
      </c>
    </row>
    <row r="810" spans="1:17" ht="14.4">
      <c r="A810" s="370"/>
      <c r="B810" s="369"/>
      <c r="C810" s="369"/>
      <c r="D810" s="369"/>
      <c r="E810" s="369"/>
      <c r="F810" s="369"/>
      <c r="G810" s="369"/>
      <c r="H810" s="369"/>
      <c r="I810" s="369"/>
      <c r="J810" s="369"/>
      <c r="K810" s="369"/>
      <c r="L810" s="369"/>
      <c r="M810" s="369"/>
      <c r="N810" s="369"/>
      <c r="O810" s="369"/>
      <c r="P810" s="369"/>
      <c r="Q810" s="369"/>
    </row>
    <row r="811" spans="1:17" ht="14.4">
      <c r="A811" s="366" t="s">
        <v>71</v>
      </c>
      <c r="B811" s="379"/>
      <c r="C811" s="379"/>
      <c r="D811" s="379"/>
      <c r="E811" s="379"/>
      <c r="F811" s="379"/>
      <c r="G811" s="379"/>
      <c r="H811" s="379"/>
      <c r="I811" s="379"/>
      <c r="J811" s="379"/>
      <c r="K811" s="379"/>
      <c r="L811" s="379"/>
      <c r="M811" s="379"/>
      <c r="N811" s="379"/>
      <c r="O811" s="379"/>
      <c r="P811" s="379"/>
      <c r="Q811" s="379"/>
    </row>
    <row r="812" spans="1:17" ht="14.4">
      <c r="A812" s="370"/>
      <c r="B812" s="379"/>
      <c r="C812" s="379"/>
      <c r="D812" s="379"/>
      <c r="E812" s="379"/>
      <c r="F812" s="379"/>
      <c r="G812" s="379"/>
      <c r="H812" s="379"/>
      <c r="I812" s="379"/>
      <c r="J812" s="379"/>
      <c r="K812" s="379"/>
      <c r="L812" s="379"/>
      <c r="M812" s="379"/>
      <c r="N812" s="379"/>
      <c r="O812" s="379"/>
      <c r="P812" s="379"/>
      <c r="Q812" s="379"/>
    </row>
    <row r="813" spans="1:17" ht="14.4">
      <c r="A813" s="366" t="s">
        <v>64</v>
      </c>
      <c r="B813" s="373"/>
      <c r="C813" s="367">
        <f>+Baseline_NaturalGas!D24</f>
        <v>1656.5089715892002</v>
      </c>
      <c r="D813" s="367">
        <f>+Baseline_NaturalGas!E24</f>
        <v>1656.5089715892002</v>
      </c>
      <c r="E813" s="367">
        <f>+Baseline_NaturalGas!F24</f>
        <v>1656.5089715892002</v>
      </c>
      <c r="F813" s="367">
        <f>+Baseline_NaturalGas!G24</f>
        <v>1656.5089715892002</v>
      </c>
      <c r="G813" s="367">
        <f>+Baseline_NaturalGas!H24</f>
        <v>1656.5089715892002</v>
      </c>
      <c r="H813" s="367">
        <f>+Baseline_NaturalGas!I24</f>
        <v>1656.5089715892002</v>
      </c>
      <c r="I813" s="367">
        <f>+Baseline_NaturalGas!J24</f>
        <v>1656.5089715892002</v>
      </c>
      <c r="J813" s="367">
        <f>+Baseline_NaturalGas!K24</f>
        <v>1656.5089715892002</v>
      </c>
      <c r="K813" s="367">
        <f>+Baseline_NaturalGas!L24</f>
        <v>1656.5089715892002</v>
      </c>
      <c r="L813" s="367">
        <f>+Baseline_NaturalGas!M24</f>
        <v>1656.5089715892002</v>
      </c>
      <c r="M813" s="367">
        <f>+Baseline_NaturalGas!N24</f>
        <v>1656.5089715892002</v>
      </c>
      <c r="N813" s="367">
        <f>+Baseline_NaturalGas!O24</f>
        <v>1656.5089715892002</v>
      </c>
      <c r="O813" s="367">
        <f>+Baseline_NaturalGas!P24</f>
        <v>1656.5089715892002</v>
      </c>
      <c r="P813" s="367">
        <f>+Baseline_NaturalGas!Q24</f>
        <v>1656.5089715892002</v>
      </c>
      <c r="Q813" s="367">
        <f>+Baseline_NaturalGas!R24</f>
        <v>1656.5089715892002</v>
      </c>
    </row>
    <row r="814" spans="1:17" ht="14.4">
      <c r="A814" s="366" t="s">
        <v>108</v>
      </c>
      <c r="B814" s="387">
        <f>+Baseline_NaturalGas!C25</f>
        <v>0.90200000000000002</v>
      </c>
      <c r="C814" s="373"/>
      <c r="D814" s="373"/>
      <c r="E814" s="373"/>
      <c r="F814" s="373"/>
      <c r="G814" s="373"/>
      <c r="H814" s="373"/>
      <c r="I814" s="373"/>
      <c r="J814" s="373"/>
      <c r="K814" s="373"/>
      <c r="L814" s="373"/>
      <c r="M814" s="373"/>
      <c r="N814" s="373"/>
      <c r="O814" s="373"/>
      <c r="P814" s="373"/>
      <c r="Q814" s="373"/>
    </row>
    <row r="815" spans="1:17" ht="14.4">
      <c r="A815" s="366" t="s">
        <v>346</v>
      </c>
      <c r="B815" s="373"/>
      <c r="C815" s="367">
        <f>+Baseline_NaturalGas!D26</f>
        <v>1741816.7092883086</v>
      </c>
      <c r="D815" s="367">
        <f>+Baseline_NaturalGas!E26</f>
        <v>1741816.7092883086</v>
      </c>
      <c r="E815" s="367">
        <f>+Baseline_NaturalGas!F26</f>
        <v>1741816.7092883086</v>
      </c>
      <c r="F815" s="367">
        <f>+Baseline_NaturalGas!G26</f>
        <v>1741816.7092883086</v>
      </c>
      <c r="G815" s="367">
        <f>+Baseline_NaturalGas!H26</f>
        <v>1741816.7092883086</v>
      </c>
      <c r="H815" s="367">
        <f>+Baseline_NaturalGas!I26</f>
        <v>1741816.7092883086</v>
      </c>
      <c r="I815" s="367">
        <f>+Baseline_NaturalGas!J26</f>
        <v>1741816.7092883086</v>
      </c>
      <c r="J815" s="367">
        <f>+Baseline_NaturalGas!K26</f>
        <v>1741816.7092883086</v>
      </c>
      <c r="K815" s="367">
        <f>+Baseline_NaturalGas!L26</f>
        <v>1741816.7092883086</v>
      </c>
      <c r="L815" s="367">
        <f>+Baseline_NaturalGas!M26</f>
        <v>1741816.7092883086</v>
      </c>
      <c r="M815" s="367">
        <f>+Baseline_NaturalGas!N26</f>
        <v>1741816.7092883086</v>
      </c>
      <c r="N815" s="367">
        <f>+Baseline_NaturalGas!O26</f>
        <v>1741816.7092883086</v>
      </c>
      <c r="O815" s="367">
        <f>+Baseline_NaturalGas!P26</f>
        <v>1741816.7092883086</v>
      </c>
      <c r="P815" s="367">
        <f>+Baseline_NaturalGas!Q26</f>
        <v>1741816.7092883086</v>
      </c>
      <c r="Q815" s="367">
        <f>+Baseline_NaturalGas!R26</f>
        <v>1741816.7092883086</v>
      </c>
    </row>
    <row r="816" spans="1:17" ht="14.4">
      <c r="A816" s="366" t="s">
        <v>66</v>
      </c>
      <c r="B816" s="373"/>
      <c r="C816" s="367">
        <f>+Baseline_NaturalGas!D27</f>
        <v>5.6086944825694198</v>
      </c>
      <c r="D816" s="367">
        <f>+Baseline_NaturalGas!E27</f>
        <v>5.5051083831058802</v>
      </c>
      <c r="E816" s="367">
        <f>+Baseline_NaturalGas!F27</f>
        <v>5.61862622286578</v>
      </c>
      <c r="F816" s="367">
        <f>+Baseline_NaturalGas!G27</f>
        <v>5.8406487933251103</v>
      </c>
      <c r="G816" s="367">
        <f>+Baseline_NaturalGas!H27</f>
        <v>5.8453745748678001</v>
      </c>
      <c r="H816" s="367">
        <f>+Baseline_NaturalGas!I27</f>
        <v>6.0672099673130804</v>
      </c>
      <c r="I816" s="367">
        <f>+Baseline_NaturalGas!J27</f>
        <v>6.39755565092754</v>
      </c>
      <c r="J816" s="367">
        <f>+Baseline_NaturalGas!K27</f>
        <v>6.39755565092754</v>
      </c>
      <c r="K816" s="367">
        <f>+Baseline_NaturalGas!L27</f>
        <v>6.39755565092754</v>
      </c>
      <c r="L816" s="367">
        <f>+Baseline_NaturalGas!M27</f>
        <v>6.39755565092754</v>
      </c>
      <c r="M816" s="367">
        <f>+Baseline_NaturalGas!N27</f>
        <v>6.39755565092754</v>
      </c>
      <c r="N816" s="367">
        <f>+Baseline_NaturalGas!O27</f>
        <v>6.39755565092754</v>
      </c>
      <c r="O816" s="367">
        <f>+Baseline_NaturalGas!P27</f>
        <v>6.39755565092754</v>
      </c>
      <c r="P816" s="367">
        <f>+Baseline_NaturalGas!Q27</f>
        <v>6.39755565092754</v>
      </c>
      <c r="Q816" s="367">
        <f>+Baseline_NaturalGas!R27</f>
        <v>6.39755565092754</v>
      </c>
    </row>
    <row r="817" spans="1:17" ht="14.4">
      <c r="A817" s="370"/>
      <c r="B817" s="379"/>
      <c r="C817" s="379"/>
      <c r="D817" s="379"/>
      <c r="E817" s="379"/>
      <c r="F817" s="379"/>
      <c r="G817" s="379"/>
      <c r="H817" s="379"/>
      <c r="I817" s="379"/>
      <c r="J817" s="379"/>
      <c r="K817" s="379"/>
      <c r="L817" s="379"/>
      <c r="M817" s="379"/>
      <c r="N817" s="379"/>
      <c r="O817" s="379"/>
      <c r="P817" s="379"/>
      <c r="Q817" s="379"/>
    </row>
    <row r="818" spans="1:17" ht="14.4">
      <c r="A818" s="366" t="s">
        <v>102</v>
      </c>
      <c r="B818" s="378">
        <f t="shared" ref="B818" si="215">+SUM(C818:Q818)</f>
        <v>160358.02702356796</v>
      </c>
      <c r="C818" s="375">
        <f>+C815*C816/1000</f>
        <v>9769.3177670325604</v>
      </c>
      <c r="D818" s="375">
        <f t="shared" ref="D818:Q818" si="216">+D815*D816/1000</f>
        <v>9588.8897681369654</v>
      </c>
      <c r="E818" s="375">
        <f t="shared" si="216"/>
        <v>9786.6170382330711</v>
      </c>
      <c r="F818" s="375">
        <f t="shared" si="216"/>
        <v>10173.339661298274</v>
      </c>
      <c r="G818" s="375">
        <f t="shared" si="216"/>
        <v>10181.571106553778</v>
      </c>
      <c r="H818" s="375">
        <f t="shared" si="216"/>
        <v>10567.967699826495</v>
      </c>
      <c r="I818" s="375">
        <f t="shared" si="216"/>
        <v>11143.36933138743</v>
      </c>
      <c r="J818" s="375">
        <f t="shared" si="216"/>
        <v>11143.36933138743</v>
      </c>
      <c r="K818" s="375">
        <f t="shared" si="216"/>
        <v>11143.36933138743</v>
      </c>
      <c r="L818" s="375">
        <f t="shared" si="216"/>
        <v>11143.36933138743</v>
      </c>
      <c r="M818" s="375">
        <f t="shared" si="216"/>
        <v>11143.36933138743</v>
      </c>
      <c r="N818" s="375">
        <f t="shared" si="216"/>
        <v>11143.36933138743</v>
      </c>
      <c r="O818" s="375">
        <f t="shared" si="216"/>
        <v>11143.36933138743</v>
      </c>
      <c r="P818" s="375">
        <f t="shared" si="216"/>
        <v>11143.36933138743</v>
      </c>
      <c r="Q818" s="375">
        <f t="shared" si="216"/>
        <v>11143.36933138743</v>
      </c>
    </row>
    <row r="819" spans="1:17" ht="14.4">
      <c r="A819" s="370"/>
      <c r="B819" s="373"/>
      <c r="C819" s="373"/>
      <c r="D819" s="373"/>
      <c r="E819" s="373"/>
      <c r="F819" s="373"/>
      <c r="G819" s="373"/>
      <c r="H819" s="373"/>
      <c r="I819" s="373"/>
      <c r="J819" s="373"/>
      <c r="K819" s="373"/>
      <c r="L819" s="373"/>
      <c r="M819" s="373"/>
      <c r="N819" s="373"/>
      <c r="O819" s="373"/>
      <c r="P819" s="373"/>
      <c r="Q819" s="373"/>
    </row>
    <row r="820" spans="1:17" ht="14.4">
      <c r="A820" s="370"/>
      <c r="B820" s="379"/>
      <c r="C820" s="379"/>
      <c r="D820" s="379"/>
      <c r="E820" s="379"/>
      <c r="F820" s="379"/>
      <c r="G820" s="379"/>
      <c r="H820" s="379"/>
      <c r="I820" s="379"/>
      <c r="J820" s="379"/>
      <c r="K820" s="379"/>
      <c r="L820" s="379"/>
      <c r="M820" s="379"/>
      <c r="N820" s="379"/>
      <c r="O820" s="379"/>
      <c r="P820" s="379"/>
      <c r="Q820" s="379"/>
    </row>
    <row r="821" spans="1:17" ht="14.4">
      <c r="A821" s="366" t="s">
        <v>101</v>
      </c>
      <c r="B821" s="373"/>
      <c r="C821" s="375">
        <f>+C818+C809</f>
        <v>10727.338794532559</v>
      </c>
      <c r="D821" s="375">
        <f t="shared" ref="D821:Q821" si="217">+D818+D809</f>
        <v>10572.585759173966</v>
      </c>
      <c r="E821" s="375">
        <f t="shared" si="217"/>
        <v>10796.676081829863</v>
      </c>
      <c r="F821" s="375">
        <f t="shared" si="217"/>
        <v>11210.46828726346</v>
      </c>
      <c r="G821" s="375">
        <f t="shared" si="217"/>
        <v>11246.494779694831</v>
      </c>
      <c r="H821" s="375">
        <f t="shared" si="217"/>
        <v>11661.431327407727</v>
      </c>
      <c r="I821" s="375">
        <f t="shared" si="217"/>
        <v>12266.13778418784</v>
      </c>
      <c r="J821" s="375">
        <f t="shared" si="217"/>
        <v>12296.227978722891</v>
      </c>
      <c r="K821" s="375">
        <f t="shared" si="217"/>
        <v>12327.124590471481</v>
      </c>
      <c r="L821" s="375">
        <f t="shared" si="217"/>
        <v>12358.849231414933</v>
      </c>
      <c r="M821" s="375">
        <f t="shared" si="217"/>
        <v>12391.42409273567</v>
      </c>
      <c r="N821" s="375">
        <f t="shared" si="217"/>
        <v>12424.871960339802</v>
      </c>
      <c r="O821" s="375">
        <f t="shared" si="217"/>
        <v>12459.216230795726</v>
      </c>
      <c r="P821" s="375">
        <f t="shared" si="217"/>
        <v>12494.480927699869</v>
      </c>
      <c r="Q821" s="375">
        <f t="shared" si="217"/>
        <v>12530.690718481042</v>
      </c>
    </row>
    <row r="822" spans="1:17" ht="14.4">
      <c r="A822" s="370"/>
      <c r="B822" s="379"/>
      <c r="C822" s="379"/>
      <c r="D822" s="379"/>
      <c r="E822" s="379"/>
      <c r="F822" s="379"/>
      <c r="G822" s="379"/>
      <c r="H822" s="379"/>
      <c r="I822" s="379"/>
      <c r="J822" s="379"/>
      <c r="K822" s="379"/>
      <c r="L822" s="379"/>
      <c r="M822" s="379"/>
      <c r="N822" s="379"/>
      <c r="O822" s="379"/>
      <c r="P822" s="379"/>
      <c r="Q822" s="379"/>
    </row>
    <row r="823" spans="1:17" ht="14.4">
      <c r="A823" s="366" t="s">
        <v>73</v>
      </c>
      <c r="B823" s="378">
        <f>+SUM(C823:Q823)</f>
        <v>11487.524395535713</v>
      </c>
      <c r="C823" s="367">
        <f>+Baseline_NaturalGas!$D$5/'Initial Data'!$C$19</f>
        <v>1148.7524395535715</v>
      </c>
      <c r="D823" s="367">
        <f>+Baseline_NaturalGas!$D$5/'Initial Data'!$C$19</f>
        <v>1148.7524395535715</v>
      </c>
      <c r="E823" s="367">
        <f>+Baseline_NaturalGas!$D$5/'Initial Data'!$C$19</f>
        <v>1148.7524395535715</v>
      </c>
      <c r="F823" s="367">
        <f>+Baseline_NaturalGas!$D$5/'Initial Data'!$C$19</f>
        <v>1148.7524395535715</v>
      </c>
      <c r="G823" s="367">
        <f>+Baseline_NaturalGas!$D$5/'Initial Data'!$C$19</f>
        <v>1148.7524395535715</v>
      </c>
      <c r="H823" s="367">
        <f>+Baseline_NaturalGas!$D$5/'Initial Data'!$C$19</f>
        <v>1148.7524395535715</v>
      </c>
      <c r="I823" s="367">
        <f>+Baseline_NaturalGas!$D$5/'Initial Data'!$C$19</f>
        <v>1148.7524395535715</v>
      </c>
      <c r="J823" s="367">
        <f>+Baseline_NaturalGas!$D$5/'Initial Data'!$C$19</f>
        <v>1148.7524395535715</v>
      </c>
      <c r="K823" s="367">
        <f>+Baseline_NaturalGas!$D$5/'Initial Data'!$C$19</f>
        <v>1148.7524395535715</v>
      </c>
      <c r="L823" s="367">
        <f>+Baseline_NaturalGas!$D$5/'Initial Data'!$C$19</f>
        <v>1148.7524395535715</v>
      </c>
      <c r="M823" s="367">
        <v>0</v>
      </c>
      <c r="N823" s="367">
        <v>0</v>
      </c>
      <c r="O823" s="367">
        <v>0</v>
      </c>
      <c r="P823" s="367">
        <v>0</v>
      </c>
      <c r="Q823" s="367">
        <v>0</v>
      </c>
    </row>
    <row r="824" spans="1:17" ht="14.4">
      <c r="A824" s="366" t="s">
        <v>74</v>
      </c>
      <c r="B824" s="378">
        <f>+SUM(C824:Q824)</f>
        <v>11487.524395535713</v>
      </c>
      <c r="C824" s="367">
        <f>SUM(C823:C823)</f>
        <v>1148.7524395535715</v>
      </c>
      <c r="D824" s="367">
        <f t="shared" ref="D824:Q824" si="218">SUM(D823:D823)</f>
        <v>1148.7524395535715</v>
      </c>
      <c r="E824" s="367">
        <f t="shared" si="218"/>
        <v>1148.7524395535715</v>
      </c>
      <c r="F824" s="367">
        <f t="shared" si="218"/>
        <v>1148.7524395535715</v>
      </c>
      <c r="G824" s="367">
        <f t="shared" si="218"/>
        <v>1148.7524395535715</v>
      </c>
      <c r="H824" s="367">
        <f t="shared" si="218"/>
        <v>1148.7524395535715</v>
      </c>
      <c r="I824" s="367">
        <f t="shared" si="218"/>
        <v>1148.7524395535715</v>
      </c>
      <c r="J824" s="367">
        <f t="shared" si="218"/>
        <v>1148.7524395535715</v>
      </c>
      <c r="K824" s="367">
        <f t="shared" si="218"/>
        <v>1148.7524395535715</v>
      </c>
      <c r="L824" s="367">
        <f t="shared" si="218"/>
        <v>1148.7524395535715</v>
      </c>
      <c r="M824" s="367">
        <f t="shared" si="218"/>
        <v>0</v>
      </c>
      <c r="N824" s="367">
        <f t="shared" si="218"/>
        <v>0</v>
      </c>
      <c r="O824" s="367">
        <f t="shared" si="218"/>
        <v>0</v>
      </c>
      <c r="P824" s="367">
        <f t="shared" si="218"/>
        <v>0</v>
      </c>
      <c r="Q824" s="367">
        <f t="shared" si="218"/>
        <v>0</v>
      </c>
    </row>
    <row r="825" spans="1:17" ht="14.4">
      <c r="A825" s="90"/>
      <c r="B825" s="388"/>
      <c r="C825" s="373"/>
      <c r="D825" s="373"/>
      <c r="E825" s="373"/>
      <c r="F825" s="373"/>
      <c r="G825" s="373"/>
      <c r="H825" s="373"/>
      <c r="I825" s="373"/>
      <c r="J825" s="373"/>
      <c r="K825" s="373"/>
      <c r="L825" s="373"/>
      <c r="M825" s="373"/>
      <c r="N825" s="373"/>
      <c r="O825" s="373"/>
      <c r="P825" s="373"/>
      <c r="Q825" s="373"/>
    </row>
    <row r="826" spans="1:17" ht="14.4">
      <c r="A826" s="366" t="s">
        <v>75</v>
      </c>
      <c r="B826" s="378">
        <f>+SUM(C826:Q826)</f>
        <v>189251.54294028736</v>
      </c>
      <c r="C826" s="367">
        <f>+C821+C824</f>
        <v>11876.09123408613</v>
      </c>
      <c r="D826" s="367">
        <f t="shared" ref="D826:Q826" si="219">+D821+D824</f>
        <v>11721.338198727537</v>
      </c>
      <c r="E826" s="367">
        <f t="shared" si="219"/>
        <v>11945.428521383434</v>
      </c>
      <c r="F826" s="367">
        <f t="shared" si="219"/>
        <v>12359.220726817031</v>
      </c>
      <c r="G826" s="367">
        <f t="shared" si="219"/>
        <v>12395.247219248402</v>
      </c>
      <c r="H826" s="367">
        <f t="shared" si="219"/>
        <v>12810.183766961298</v>
      </c>
      <c r="I826" s="367">
        <f t="shared" si="219"/>
        <v>13414.890223741411</v>
      </c>
      <c r="J826" s="367">
        <f t="shared" si="219"/>
        <v>13444.980418276462</v>
      </c>
      <c r="K826" s="367">
        <f t="shared" si="219"/>
        <v>13475.877030025053</v>
      </c>
      <c r="L826" s="367">
        <f t="shared" si="219"/>
        <v>13507.601670968505</v>
      </c>
      <c r="M826" s="367">
        <f t="shared" si="219"/>
        <v>12391.42409273567</v>
      </c>
      <c r="N826" s="367">
        <f t="shared" si="219"/>
        <v>12424.871960339802</v>
      </c>
      <c r="O826" s="367">
        <f t="shared" si="219"/>
        <v>12459.216230795726</v>
      </c>
      <c r="P826" s="367">
        <f t="shared" si="219"/>
        <v>12494.480927699869</v>
      </c>
      <c r="Q826" s="367">
        <f t="shared" si="219"/>
        <v>12530.690718481042</v>
      </c>
    </row>
    <row r="827" spans="1:17">
      <c r="A827" s="74"/>
    </row>
    <row r="828" spans="1:17" ht="14.4">
      <c r="A828" s="366" t="s">
        <v>76</v>
      </c>
      <c r="B828" s="378">
        <f>+SUM(C828:Q828)</f>
        <v>1511747.0723453416</v>
      </c>
      <c r="C828" s="367">
        <f>+C806-C826</f>
        <v>81746.408765913875</v>
      </c>
      <c r="D828" s="367">
        <f t="shared" ref="D828:Q828" si="220">+D806-D826</f>
        <v>84410.244801272464</v>
      </c>
      <c r="E828" s="367">
        <f t="shared" si="220"/>
        <v>86762.480903016549</v>
      </c>
      <c r="F828" s="367">
        <f t="shared" si="220"/>
        <v>88994.060670156876</v>
      </c>
      <c r="G828" s="367">
        <f t="shared" si="220"/>
        <v>91674.302119164393</v>
      </c>
      <c r="H828" s="367">
        <f t="shared" si="220"/>
        <v>94048.429493720949</v>
      </c>
      <c r="I828" s="367">
        <f t="shared" si="220"/>
        <v>96307.533872327127</v>
      </c>
      <c r="J828" s="367">
        <f t="shared" si="220"/>
        <v>99218.004643566674</v>
      </c>
      <c r="K828" s="367">
        <f t="shared" si="220"/>
        <v>102206.4760314755</v>
      </c>
      <c r="L828" s="367">
        <f t="shared" si="220"/>
        <v>105275.03845258025</v>
      </c>
      <c r="M828" s="367">
        <f t="shared" si="220"/>
        <v>109574.59078612417</v>
      </c>
      <c r="N828" s="367">
        <f t="shared" si="220"/>
        <v>112809.83211727347</v>
      </c>
      <c r="O828" s="367">
        <f t="shared" si="220"/>
        <v>116131.77791609758</v>
      </c>
      <c r="P828" s="367">
        <f t="shared" si="220"/>
        <v>119542.75186233017</v>
      </c>
      <c r="Q828" s="367">
        <f t="shared" si="220"/>
        <v>123045.13991032178</v>
      </c>
    </row>
    <row r="829" spans="1:17" ht="14.4">
      <c r="A829" s="369"/>
      <c r="B829" s="373"/>
      <c r="C829" s="373"/>
      <c r="D829" s="373"/>
      <c r="E829" s="373"/>
      <c r="F829" s="373"/>
      <c r="G829" s="373"/>
      <c r="H829" s="373"/>
      <c r="I829" s="373"/>
      <c r="J829" s="373"/>
      <c r="K829" s="373"/>
      <c r="L829" s="373"/>
      <c r="M829" s="373"/>
      <c r="N829" s="373"/>
      <c r="O829" s="373"/>
      <c r="P829" s="373"/>
      <c r="Q829" s="373"/>
    </row>
    <row r="830" spans="1:17" ht="14.4">
      <c r="A830" s="366" t="s">
        <v>222</v>
      </c>
      <c r="B830" s="380">
        <f>+Baseline_NaturalGas!C43</f>
        <v>0.7</v>
      </c>
      <c r="C830" s="367">
        <f>IF((+$B$830*C828)&lt;0,"0",(+$B$830*C828))</f>
        <v>57222.486136139712</v>
      </c>
      <c r="D830" s="367">
        <f t="shared" ref="D830:Q830" si="221">IF((+$B$785*D828)&lt;0,"0",(+$B$785*D828))</f>
        <v>59087.171360890723</v>
      </c>
      <c r="E830" s="367">
        <f t="shared" si="221"/>
        <v>60733.736632111577</v>
      </c>
      <c r="F830" s="367">
        <f t="shared" si="221"/>
        <v>62295.842469109812</v>
      </c>
      <c r="G830" s="367">
        <f t="shared" si="221"/>
        <v>64172.011483415074</v>
      </c>
      <c r="H830" s="367">
        <f t="shared" si="221"/>
        <v>65833.900645604663</v>
      </c>
      <c r="I830" s="367">
        <f t="shared" si="221"/>
        <v>67415.273710628986</v>
      </c>
      <c r="J830" s="367">
        <f t="shared" si="221"/>
        <v>69452.603250496672</v>
      </c>
      <c r="K830" s="367">
        <f t="shared" si="221"/>
        <v>71544.533222032842</v>
      </c>
      <c r="L830" s="367">
        <f t="shared" si="221"/>
        <v>73692.526916806164</v>
      </c>
      <c r="M830" s="367">
        <f t="shared" si="221"/>
        <v>76702.213550286921</v>
      </c>
      <c r="N830" s="367">
        <f t="shared" si="221"/>
        <v>78966.882482091431</v>
      </c>
      <c r="O830" s="367">
        <f t="shared" si="221"/>
        <v>81292.244541268301</v>
      </c>
      <c r="P830" s="367">
        <f t="shared" si="221"/>
        <v>83679.926303631117</v>
      </c>
      <c r="Q830" s="367">
        <f t="shared" si="221"/>
        <v>86131.597937225248</v>
      </c>
    </row>
    <row r="831" spans="1:17" ht="14.4">
      <c r="A831" s="366" t="s">
        <v>77</v>
      </c>
      <c r="B831" s="378">
        <f>+SUM(C831:Q831)</f>
        <v>1058222.9506417392</v>
      </c>
      <c r="C831" s="367">
        <f>SUM(C830:C830)</f>
        <v>57222.486136139712</v>
      </c>
      <c r="D831" s="367">
        <f t="shared" ref="D831:Q831" si="222">SUM(D830:D830)</f>
        <v>59087.171360890723</v>
      </c>
      <c r="E831" s="367">
        <f t="shared" si="222"/>
        <v>60733.736632111577</v>
      </c>
      <c r="F831" s="367">
        <f t="shared" si="222"/>
        <v>62295.842469109812</v>
      </c>
      <c r="G831" s="367">
        <f t="shared" si="222"/>
        <v>64172.011483415074</v>
      </c>
      <c r="H831" s="367">
        <f t="shared" si="222"/>
        <v>65833.900645604663</v>
      </c>
      <c r="I831" s="367">
        <f t="shared" si="222"/>
        <v>67415.273710628986</v>
      </c>
      <c r="J831" s="367">
        <f t="shared" si="222"/>
        <v>69452.603250496672</v>
      </c>
      <c r="K831" s="367">
        <f t="shared" si="222"/>
        <v>71544.533222032842</v>
      </c>
      <c r="L831" s="367">
        <f t="shared" si="222"/>
        <v>73692.526916806164</v>
      </c>
      <c r="M831" s="367">
        <f t="shared" si="222"/>
        <v>76702.213550286921</v>
      </c>
      <c r="N831" s="367">
        <f t="shared" si="222"/>
        <v>78966.882482091431</v>
      </c>
      <c r="O831" s="367">
        <f t="shared" si="222"/>
        <v>81292.244541268301</v>
      </c>
      <c r="P831" s="367">
        <f t="shared" si="222"/>
        <v>83679.926303631117</v>
      </c>
      <c r="Q831" s="367">
        <f t="shared" si="222"/>
        <v>86131.597937225248</v>
      </c>
    </row>
    <row r="832" spans="1:17" ht="14.4">
      <c r="A832" s="369"/>
      <c r="B832" s="373"/>
      <c r="C832" s="373"/>
      <c r="D832" s="373"/>
      <c r="E832" s="373"/>
      <c r="F832" s="373"/>
      <c r="G832" s="373"/>
      <c r="H832" s="373"/>
      <c r="I832" s="373"/>
      <c r="J832" s="373"/>
      <c r="K832" s="373"/>
      <c r="L832" s="373"/>
      <c r="M832" s="373"/>
      <c r="N832" s="373"/>
      <c r="O832" s="373"/>
      <c r="P832" s="373"/>
      <c r="Q832" s="373"/>
    </row>
    <row r="833" spans="1:17" ht="14.4">
      <c r="A833" s="366" t="s">
        <v>78</v>
      </c>
      <c r="B833" s="378">
        <f>+SUM(C833:Q833)</f>
        <v>453524.12170360261</v>
      </c>
      <c r="C833" s="367">
        <f>+C828-C831</f>
        <v>24523.922629774162</v>
      </c>
      <c r="D833" s="367">
        <f t="shared" ref="D833:Q833" si="223">+D828-D831</f>
        <v>25323.073440381741</v>
      </c>
      <c r="E833" s="367">
        <f t="shared" si="223"/>
        <v>26028.744270904972</v>
      </c>
      <c r="F833" s="367">
        <f t="shared" si="223"/>
        <v>26698.218201047064</v>
      </c>
      <c r="G833" s="367">
        <f t="shared" si="223"/>
        <v>27502.290635749319</v>
      </c>
      <c r="H833" s="367">
        <f t="shared" si="223"/>
        <v>28214.528848116286</v>
      </c>
      <c r="I833" s="367">
        <f t="shared" si="223"/>
        <v>28892.260161698141</v>
      </c>
      <c r="J833" s="367">
        <f t="shared" si="223"/>
        <v>29765.401393070002</v>
      </c>
      <c r="K833" s="367">
        <f t="shared" si="223"/>
        <v>30661.942809442655</v>
      </c>
      <c r="L833" s="367">
        <f t="shared" si="223"/>
        <v>31582.511535774087</v>
      </c>
      <c r="M833" s="367">
        <f t="shared" si="223"/>
        <v>32872.377235837252</v>
      </c>
      <c r="N833" s="367">
        <f t="shared" si="223"/>
        <v>33842.949635182042</v>
      </c>
      <c r="O833" s="367">
        <f t="shared" si="223"/>
        <v>34839.533374829276</v>
      </c>
      <c r="P833" s="367">
        <f t="shared" si="223"/>
        <v>35862.825558699056</v>
      </c>
      <c r="Q833" s="367">
        <f t="shared" si="223"/>
        <v>36913.541973096537</v>
      </c>
    </row>
    <row r="834" spans="1:17" ht="14.4">
      <c r="A834" s="395" t="s">
        <v>331</v>
      </c>
      <c r="B834" s="378">
        <f>+SUM(C834:Q834)</f>
        <v>11487.524395535713</v>
      </c>
      <c r="C834" s="377">
        <f>+C823</f>
        <v>1148.7524395535715</v>
      </c>
      <c r="D834" s="377">
        <f t="shared" ref="D834:Q834" si="224">+D823</f>
        <v>1148.7524395535715</v>
      </c>
      <c r="E834" s="377">
        <f t="shared" si="224"/>
        <v>1148.7524395535715</v>
      </c>
      <c r="F834" s="377">
        <f t="shared" si="224"/>
        <v>1148.7524395535715</v>
      </c>
      <c r="G834" s="377">
        <f t="shared" si="224"/>
        <v>1148.7524395535715</v>
      </c>
      <c r="H834" s="377">
        <f t="shared" si="224"/>
        <v>1148.7524395535715</v>
      </c>
      <c r="I834" s="377">
        <f t="shared" si="224"/>
        <v>1148.7524395535715</v>
      </c>
      <c r="J834" s="377">
        <f t="shared" si="224"/>
        <v>1148.7524395535715</v>
      </c>
      <c r="K834" s="377">
        <f t="shared" si="224"/>
        <v>1148.7524395535715</v>
      </c>
      <c r="L834" s="377">
        <f t="shared" si="224"/>
        <v>1148.7524395535715</v>
      </c>
      <c r="M834" s="377">
        <f t="shared" si="224"/>
        <v>0</v>
      </c>
      <c r="N834" s="377">
        <f t="shared" si="224"/>
        <v>0</v>
      </c>
      <c r="O834" s="377">
        <f t="shared" si="224"/>
        <v>0</v>
      </c>
      <c r="P834" s="377">
        <f t="shared" si="224"/>
        <v>0</v>
      </c>
      <c r="Q834" s="377">
        <f t="shared" si="224"/>
        <v>0</v>
      </c>
    </row>
    <row r="835" spans="1:17" ht="14.4">
      <c r="A835" s="395" t="s">
        <v>332</v>
      </c>
      <c r="B835" s="378">
        <f>+Baseline_NaturalGas!C768</f>
        <v>0</v>
      </c>
      <c r="C835" s="367">
        <f>+Baseline_NaturalGas!D768</f>
        <v>0</v>
      </c>
      <c r="D835" s="367">
        <f>+Baseline_NaturalGas!E768</f>
        <v>0</v>
      </c>
      <c r="E835" s="367">
        <f>+Baseline_NaturalGas!F768</f>
        <v>0</v>
      </c>
      <c r="F835" s="367">
        <f>+Baseline_NaturalGas!G768</f>
        <v>0</v>
      </c>
      <c r="G835" s="367">
        <f>+Baseline_NaturalGas!H768</f>
        <v>0</v>
      </c>
      <c r="H835" s="367">
        <f>+Baseline_NaturalGas!I768</f>
        <v>0</v>
      </c>
      <c r="I835" s="367">
        <f>+Baseline_NaturalGas!J768</f>
        <v>0</v>
      </c>
      <c r="J835" s="367">
        <f>+Baseline_NaturalGas!K768</f>
        <v>0</v>
      </c>
      <c r="K835" s="367">
        <f>+Baseline_NaturalGas!L768</f>
        <v>0</v>
      </c>
      <c r="L835" s="367">
        <f>+Baseline_NaturalGas!M768</f>
        <v>0</v>
      </c>
      <c r="M835" s="367">
        <f>+Baseline_NaturalGas!N768</f>
        <v>0</v>
      </c>
      <c r="N835" s="367">
        <f>+Baseline_NaturalGas!O768</f>
        <v>0</v>
      </c>
      <c r="O835" s="367">
        <f>+Baseline_NaturalGas!P768</f>
        <v>0</v>
      </c>
      <c r="P835" s="367">
        <f>+Baseline_NaturalGas!Q768</f>
        <v>0</v>
      </c>
      <c r="Q835" s="367">
        <f>+Baseline_NaturalGas!R768</f>
        <v>0</v>
      </c>
    </row>
    <row r="836" spans="1:17" ht="14.4">
      <c r="A836" s="510"/>
      <c r="B836" s="511"/>
      <c r="C836" s="511"/>
      <c r="D836" s="511"/>
      <c r="E836" s="511"/>
      <c r="F836" s="511"/>
      <c r="G836" s="511"/>
      <c r="H836" s="511"/>
      <c r="I836" s="511"/>
      <c r="J836" s="511"/>
      <c r="K836" s="511"/>
      <c r="L836" s="511"/>
      <c r="M836" s="511"/>
      <c r="N836" s="511"/>
      <c r="O836" s="511"/>
      <c r="P836" s="511"/>
      <c r="Q836" s="511"/>
    </row>
    <row r="837" spans="1:17" ht="14.4">
      <c r="A837" s="366" t="s">
        <v>110</v>
      </c>
      <c r="B837" s="378">
        <f>-Baseline_NaturalGas!$D$5</f>
        <v>-11487.524395535715</v>
      </c>
      <c r="C837" s="367">
        <f>+C833+C834+C835</f>
        <v>25672.675069327735</v>
      </c>
      <c r="D837" s="367">
        <f t="shared" ref="D837:Q837" si="225">+D833+D834+D835</f>
        <v>26471.825879935313</v>
      </c>
      <c r="E837" s="367">
        <f t="shared" si="225"/>
        <v>27177.496710458545</v>
      </c>
      <c r="F837" s="367">
        <f t="shared" si="225"/>
        <v>27846.970640600637</v>
      </c>
      <c r="G837" s="367">
        <f t="shared" si="225"/>
        <v>28651.043075302892</v>
      </c>
      <c r="H837" s="367">
        <f t="shared" si="225"/>
        <v>29363.281287669859</v>
      </c>
      <c r="I837" s="367">
        <f t="shared" si="225"/>
        <v>30041.012601251714</v>
      </c>
      <c r="J837" s="367">
        <f t="shared" si="225"/>
        <v>30914.153832623575</v>
      </c>
      <c r="K837" s="367">
        <f t="shared" si="225"/>
        <v>31810.695248996228</v>
      </c>
      <c r="L837" s="367">
        <f t="shared" si="225"/>
        <v>32731.26397532766</v>
      </c>
      <c r="M837" s="367">
        <f t="shared" si="225"/>
        <v>32872.377235837252</v>
      </c>
      <c r="N837" s="367">
        <f t="shared" si="225"/>
        <v>33842.949635182042</v>
      </c>
      <c r="O837" s="367">
        <f t="shared" si="225"/>
        <v>34839.533374829276</v>
      </c>
      <c r="P837" s="367">
        <f t="shared" si="225"/>
        <v>35862.825558699056</v>
      </c>
      <c r="Q837" s="367">
        <f t="shared" si="225"/>
        <v>36913.541973096537</v>
      </c>
    </row>
    <row r="838" spans="1:17" ht="15.6">
      <c r="A838" s="366" t="s">
        <v>51</v>
      </c>
      <c r="B838" s="132">
        <f>IRR(B837:Q837)</f>
        <v>2.2644409974837467</v>
      </c>
      <c r="C838" s="390"/>
      <c r="D838" s="390"/>
      <c r="E838" s="390"/>
      <c r="F838" s="390"/>
      <c r="G838" s="390"/>
      <c r="H838" s="390"/>
      <c r="I838" s="390"/>
      <c r="J838" s="390"/>
      <c r="K838" s="390"/>
      <c r="L838" s="390"/>
      <c r="M838" s="390"/>
      <c r="N838" s="390"/>
      <c r="O838" s="390"/>
      <c r="P838" s="390"/>
      <c r="Q838" s="390"/>
    </row>
    <row r="839" spans="1:17" ht="15.6">
      <c r="A839" s="366" t="s">
        <v>267</v>
      </c>
      <c r="B839" s="303">
        <f>NPV('Initial Data'!$C$21/100,B837:Q837)</f>
        <v>168750.75675461118</v>
      </c>
      <c r="C839" s="373"/>
      <c r="D839" s="373"/>
      <c r="E839" s="373"/>
      <c r="F839" s="373"/>
      <c r="G839" s="373"/>
      <c r="H839" s="373"/>
      <c r="I839" s="373"/>
      <c r="J839" s="373"/>
      <c r="K839" s="373"/>
      <c r="L839" s="373"/>
      <c r="M839" s="373"/>
      <c r="N839" s="373"/>
      <c r="O839" s="373"/>
      <c r="P839" s="373"/>
      <c r="Q839" s="373"/>
    </row>
    <row r="841" spans="1:17" ht="14.4">
      <c r="A841" s="417" t="s">
        <v>341</v>
      </c>
      <c r="B841" s="418"/>
      <c r="C841" s="418"/>
      <c r="D841" s="418"/>
      <c r="E841" s="418"/>
      <c r="F841" s="418"/>
      <c r="G841" s="418"/>
      <c r="H841" s="418"/>
      <c r="I841" s="418"/>
      <c r="J841" s="418"/>
      <c r="K841" s="418"/>
      <c r="L841" s="418"/>
      <c r="M841" s="418"/>
      <c r="N841" s="418"/>
      <c r="O841" s="418"/>
      <c r="P841" s="418"/>
      <c r="Q841" s="418"/>
    </row>
    <row r="842" spans="1:17" ht="14.4">
      <c r="A842" s="371" t="s">
        <v>327</v>
      </c>
      <c r="B842" s="372"/>
      <c r="C842" s="372"/>
      <c r="D842" s="372"/>
      <c r="E842" s="372"/>
      <c r="F842" s="372"/>
      <c r="G842" s="372"/>
      <c r="H842" s="372"/>
      <c r="I842" s="372"/>
      <c r="J842" s="372"/>
      <c r="K842" s="372"/>
      <c r="L842" s="372"/>
      <c r="M842" s="372"/>
      <c r="N842" s="372"/>
      <c r="O842" s="372"/>
      <c r="P842" s="372"/>
      <c r="Q842" s="372"/>
    </row>
    <row r="843" spans="1:17" ht="27">
      <c r="A843" s="376"/>
      <c r="B843" s="304" t="s">
        <v>35</v>
      </c>
      <c r="C843" s="352" t="s">
        <v>407</v>
      </c>
      <c r="D843" s="352" t="s">
        <v>408</v>
      </c>
      <c r="E843" s="352" t="s">
        <v>409</v>
      </c>
      <c r="F843" s="352" t="s">
        <v>410</v>
      </c>
      <c r="G843" s="352" t="s">
        <v>411</v>
      </c>
      <c r="H843" s="352" t="s">
        <v>412</v>
      </c>
      <c r="I843" s="352" t="s">
        <v>413</v>
      </c>
      <c r="J843" s="352" t="s">
        <v>414</v>
      </c>
      <c r="K843" s="352" t="s">
        <v>415</v>
      </c>
      <c r="L843" s="352" t="s">
        <v>416</v>
      </c>
      <c r="M843" s="352" t="s">
        <v>417</v>
      </c>
      <c r="N843" s="352" t="s">
        <v>418</v>
      </c>
      <c r="O843" s="352" t="s">
        <v>419</v>
      </c>
      <c r="P843" s="352" t="s">
        <v>420</v>
      </c>
      <c r="Q843" s="352" t="s">
        <v>421</v>
      </c>
    </row>
    <row r="844" spans="1:17" ht="14.4">
      <c r="A844" s="363" t="s">
        <v>290</v>
      </c>
      <c r="B844" s="365"/>
      <c r="C844" s="381">
        <f>+Baseline_NaturalGas!D10*(1+$E$7)</f>
        <v>229950</v>
      </c>
      <c r="D844" s="381">
        <f>+Baseline_NaturalGas!E10*(1+$E$7)</f>
        <v>229950</v>
      </c>
      <c r="E844" s="381">
        <f>+Baseline_NaturalGas!F10*(1+$E$7)</f>
        <v>229950</v>
      </c>
      <c r="F844" s="381">
        <f>+Baseline_NaturalGas!G10*(1+$E$7)</f>
        <v>229950</v>
      </c>
      <c r="G844" s="381">
        <f>+Baseline_NaturalGas!H10*(1+$E$7)</f>
        <v>229950</v>
      </c>
      <c r="H844" s="381">
        <f>+Baseline_NaturalGas!I10*(1+$E$7)</f>
        <v>229950</v>
      </c>
      <c r="I844" s="381">
        <f>+Baseline_NaturalGas!J10*(1+$E$7)</f>
        <v>229950</v>
      </c>
      <c r="J844" s="381">
        <f>+Baseline_NaturalGas!K10*(1+$E$7)</f>
        <v>229950</v>
      </c>
      <c r="K844" s="381">
        <f>+Baseline_NaturalGas!L10*(1+$E$7)</f>
        <v>229950</v>
      </c>
      <c r="L844" s="381">
        <f>+Baseline_NaturalGas!M10*(1+$E$7)</f>
        <v>229950</v>
      </c>
      <c r="M844" s="381">
        <f>+Baseline_NaturalGas!N10*(1+$E$7)</f>
        <v>229950</v>
      </c>
      <c r="N844" s="381">
        <f>+Baseline_NaturalGas!O10*(1+$E$7)</f>
        <v>229950</v>
      </c>
      <c r="O844" s="381">
        <f>+Baseline_NaturalGas!P10*(1+$E$7)</f>
        <v>229950</v>
      </c>
      <c r="P844" s="381">
        <f>+Baseline_NaturalGas!Q10*(1+$E$7)</f>
        <v>229950</v>
      </c>
      <c r="Q844" s="381">
        <f>+Baseline_NaturalGas!R10*(1+$E$7)</f>
        <v>229950</v>
      </c>
    </row>
    <row r="845" spans="1:17" ht="14.4">
      <c r="A845" s="364" t="s">
        <v>291</v>
      </c>
      <c r="B845" s="365"/>
      <c r="C845" s="367">
        <f>'Initial Data'!$C$50-'Initial Data'!$C$51</f>
        <v>70</v>
      </c>
      <c r="D845" s="367">
        <f>'Initial Data'!$C$50-'Initial Data'!$C$51</f>
        <v>70</v>
      </c>
      <c r="E845" s="367">
        <f>'Initial Data'!$C$50-'Initial Data'!$C$51</f>
        <v>70</v>
      </c>
      <c r="F845" s="367">
        <f>'Initial Data'!$C$50-'Initial Data'!$C$51</f>
        <v>70</v>
      </c>
      <c r="G845" s="367">
        <f>'Initial Data'!$C$50-'Initial Data'!$C$51</f>
        <v>70</v>
      </c>
      <c r="H845" s="367">
        <f>'Initial Data'!$C$50-'Initial Data'!$C$51</f>
        <v>70</v>
      </c>
      <c r="I845" s="367">
        <f>'Initial Data'!$C$50-'Initial Data'!$C$51</f>
        <v>70</v>
      </c>
      <c r="J845" s="367">
        <f>'Initial Data'!$C$50-'Initial Data'!$C$51</f>
        <v>70</v>
      </c>
      <c r="K845" s="367">
        <f>'Initial Data'!$C$50-'Initial Data'!$C$51</f>
        <v>70</v>
      </c>
      <c r="L845" s="367">
        <f>'Initial Data'!$C$50-'Initial Data'!$C$51</f>
        <v>70</v>
      </c>
      <c r="M845" s="367">
        <f>'Initial Data'!$C$50-'Initial Data'!$C$51</f>
        <v>70</v>
      </c>
      <c r="N845" s="367">
        <f>'Initial Data'!$C$50-'Initial Data'!$C$51</f>
        <v>70</v>
      </c>
      <c r="O845" s="367">
        <f>'Initial Data'!$C$50-'Initial Data'!$C$51</f>
        <v>70</v>
      </c>
      <c r="P845" s="367">
        <f>'Initial Data'!$C$50-'Initial Data'!$C$51</f>
        <v>70</v>
      </c>
      <c r="Q845" s="367">
        <f>'Initial Data'!$C$50-'Initial Data'!$C$51</f>
        <v>70</v>
      </c>
    </row>
    <row r="846" spans="1:17" ht="14.4">
      <c r="A846" s="366" t="s">
        <v>292</v>
      </c>
      <c r="B846" s="365"/>
      <c r="C846" s="375">
        <f>+Baseline_NaturalGas!D12</f>
        <v>6.4285714285714288</v>
      </c>
      <c r="D846" s="375">
        <f>+Baseline_NaturalGas!E12</f>
        <v>6.6008571428571425</v>
      </c>
      <c r="E846" s="375">
        <f>+Baseline_NaturalGas!F12</f>
        <v>6.7777601142857131</v>
      </c>
      <c r="F846" s="375">
        <f>+Baseline_NaturalGas!G12</f>
        <v>6.9594040853485701</v>
      </c>
      <c r="G846" s="375">
        <f>+Baseline_NaturalGas!H12</f>
        <v>7.1459161148359112</v>
      </c>
      <c r="H846" s="375">
        <f>+Baseline_NaturalGas!I12</f>
        <v>7.3374266667135135</v>
      </c>
      <c r="I846" s="375">
        <f>+Baseline_NaturalGas!J12</f>
        <v>7.5340697013814353</v>
      </c>
      <c r="J846" s="375">
        <f>+Baseline_NaturalGas!K12</f>
        <v>7.7359827693784569</v>
      </c>
      <c r="K846" s="375">
        <f>+Baseline_NaturalGas!L12</f>
        <v>7.943307107597799</v>
      </c>
      <c r="L846" s="375">
        <f>+Baseline_NaturalGas!M12</f>
        <v>8.1561877380814192</v>
      </c>
      <c r="M846" s="375">
        <f>+Baseline_NaturalGas!N12</f>
        <v>8.3747735694620005</v>
      </c>
      <c r="N846" s="375">
        <f>+Baseline_NaturalGas!O12</f>
        <v>8.5992175011235812</v>
      </c>
      <c r="O846" s="375">
        <f>+Baseline_NaturalGas!P12</f>
        <v>8.8296765301536926</v>
      </c>
      <c r="P846" s="375">
        <f>+Baseline_NaturalGas!Q12</f>
        <v>9.066311861161811</v>
      </c>
      <c r="Q846" s="375">
        <f>+Baseline_NaturalGas!R12</f>
        <v>9.3092890190409463</v>
      </c>
    </row>
    <row r="847" spans="1:17" ht="14.4">
      <c r="A847" s="366" t="s">
        <v>293</v>
      </c>
      <c r="B847" s="365"/>
      <c r="C847" s="367">
        <f>+C845*C846</f>
        <v>450</v>
      </c>
      <c r="D847" s="367">
        <f t="shared" ref="D847:Q847" si="226">+D845*D846</f>
        <v>462.06</v>
      </c>
      <c r="E847" s="367">
        <f t="shared" si="226"/>
        <v>474.44320799999991</v>
      </c>
      <c r="F847" s="367">
        <f t="shared" si="226"/>
        <v>487.15828597439992</v>
      </c>
      <c r="G847" s="367">
        <f t="shared" si="226"/>
        <v>500.21412803851376</v>
      </c>
      <c r="H847" s="367">
        <f t="shared" si="226"/>
        <v>513.61986666994596</v>
      </c>
      <c r="I847" s="367">
        <f t="shared" si="226"/>
        <v>527.3848790967005</v>
      </c>
      <c r="J847" s="367">
        <f t="shared" si="226"/>
        <v>541.51879385649192</v>
      </c>
      <c r="K847" s="367">
        <f t="shared" si="226"/>
        <v>556.03149753184596</v>
      </c>
      <c r="L847" s="367">
        <f t="shared" si="226"/>
        <v>570.9331416656994</v>
      </c>
      <c r="M847" s="367">
        <f t="shared" si="226"/>
        <v>586.23414986234002</v>
      </c>
      <c r="N847" s="367">
        <f t="shared" si="226"/>
        <v>601.94522507865065</v>
      </c>
      <c r="O847" s="367">
        <f t="shared" si="226"/>
        <v>618.0773571107585</v>
      </c>
      <c r="P847" s="367">
        <f t="shared" si="226"/>
        <v>634.64183028132675</v>
      </c>
      <c r="Q847" s="367">
        <f t="shared" si="226"/>
        <v>651.65023133286627</v>
      </c>
    </row>
    <row r="848" spans="1:17" ht="14.4">
      <c r="A848" s="370"/>
      <c r="B848" s="373"/>
      <c r="C848" s="373"/>
      <c r="D848" s="373"/>
      <c r="E848" s="373"/>
      <c r="F848" s="373"/>
      <c r="G848" s="373"/>
      <c r="H848" s="373"/>
      <c r="I848" s="373"/>
      <c r="J848" s="373"/>
      <c r="K848" s="373"/>
      <c r="L848" s="373"/>
      <c r="M848" s="373"/>
      <c r="N848" s="373"/>
      <c r="O848" s="373"/>
      <c r="P848" s="373"/>
      <c r="Q848" s="373"/>
    </row>
    <row r="849" spans="1:17" ht="14.4">
      <c r="A849" s="366" t="s">
        <v>294</v>
      </c>
      <c r="B849" s="378">
        <f>+SUM(C849:Q849)</f>
        <v>1880051.1011051692</v>
      </c>
      <c r="C849" s="377">
        <f>C844*C847/1000*'Initial Data'!$C$34/'Initial Data'!$C$33</f>
        <v>103477.5</v>
      </c>
      <c r="D849" s="377">
        <f>D844*D847/1000*'Initial Data'!$C$34/'Initial Data'!$C$33</f>
        <v>106250.697</v>
      </c>
      <c r="E849" s="377">
        <f>E844*E847/1000*'Initial Data'!$C$34/'Initial Data'!$C$33</f>
        <v>109098.21567959999</v>
      </c>
      <c r="F849" s="377">
        <f>F844*F847/1000*'Initial Data'!$C$34/'Initial Data'!$C$33</f>
        <v>112022.04785981326</v>
      </c>
      <c r="G849" s="377">
        <f>G844*G847/1000*'Initial Data'!$C$34/'Initial Data'!$C$33</f>
        <v>115024.23874245625</v>
      </c>
      <c r="H849" s="377">
        <f>H844*H847/1000*'Initial Data'!$C$34/'Initial Data'!$C$33</f>
        <v>118106.88834075407</v>
      </c>
      <c r="I849" s="377">
        <f>I844*I847/1000*'Initial Data'!$C$34/'Initial Data'!$C$33</f>
        <v>121272.15294828628</v>
      </c>
      <c r="J849" s="377">
        <f>J844*J847/1000*'Initial Data'!$C$34/'Initial Data'!$C$33</f>
        <v>124522.24664730033</v>
      </c>
      <c r="K849" s="377">
        <f>K844*K847/1000*'Initial Data'!$C$34/'Initial Data'!$C$33</f>
        <v>127859.44285744798</v>
      </c>
      <c r="L849" s="377">
        <f>L844*L847/1000*'Initial Data'!$C$34/'Initial Data'!$C$33</f>
        <v>131286.07592602758</v>
      </c>
      <c r="M849" s="377">
        <f>M844*M847/1000*'Initial Data'!$C$34/'Initial Data'!$C$33</f>
        <v>134804.5427608451</v>
      </c>
      <c r="N849" s="377">
        <f>N844*N847/1000*'Initial Data'!$C$34/'Initial Data'!$C$33</f>
        <v>138417.30450683573</v>
      </c>
      <c r="O849" s="377">
        <f>O844*O847/1000*'Initial Data'!$C$34/'Initial Data'!$C$33</f>
        <v>142126.88826761892</v>
      </c>
      <c r="P849" s="377">
        <f>P844*P847/1000*'Initial Data'!$C$34/'Initial Data'!$C$33</f>
        <v>145935.88887319108</v>
      </c>
      <c r="Q849" s="377">
        <f>Q844*Q847/1000*'Initial Data'!$C$34/'Initial Data'!$C$33</f>
        <v>149846.9706949926</v>
      </c>
    </row>
    <row r="850" spans="1:17" ht="14.4">
      <c r="A850" s="370"/>
      <c r="B850" s="373"/>
      <c r="C850" s="373"/>
      <c r="D850" s="373"/>
      <c r="E850" s="373"/>
      <c r="F850" s="373"/>
      <c r="G850" s="373"/>
      <c r="H850" s="373"/>
      <c r="I850" s="373"/>
      <c r="J850" s="373"/>
      <c r="K850" s="373"/>
      <c r="L850" s="373"/>
      <c r="M850" s="373"/>
      <c r="N850" s="373"/>
      <c r="O850" s="373"/>
      <c r="P850" s="373"/>
      <c r="Q850" s="373"/>
    </row>
    <row r="851" spans="1:17" ht="14.4">
      <c r="A851" s="366" t="s">
        <v>295</v>
      </c>
      <c r="B851" s="378">
        <f>+SUM(C851:Q851)</f>
        <v>1880051.1011051692</v>
      </c>
      <c r="C851" s="367">
        <f>+C849</f>
        <v>103477.5</v>
      </c>
      <c r="D851" s="367">
        <f t="shared" ref="D851:Q851" si="227">+D849</f>
        <v>106250.697</v>
      </c>
      <c r="E851" s="367">
        <f t="shared" si="227"/>
        <v>109098.21567959999</v>
      </c>
      <c r="F851" s="367">
        <f t="shared" si="227"/>
        <v>112022.04785981326</v>
      </c>
      <c r="G851" s="367">
        <f t="shared" si="227"/>
        <v>115024.23874245625</v>
      </c>
      <c r="H851" s="367">
        <f t="shared" si="227"/>
        <v>118106.88834075407</v>
      </c>
      <c r="I851" s="367">
        <f t="shared" si="227"/>
        <v>121272.15294828628</v>
      </c>
      <c r="J851" s="367">
        <f t="shared" si="227"/>
        <v>124522.24664730033</v>
      </c>
      <c r="K851" s="367">
        <f t="shared" si="227"/>
        <v>127859.44285744798</v>
      </c>
      <c r="L851" s="367">
        <f t="shared" si="227"/>
        <v>131286.07592602758</v>
      </c>
      <c r="M851" s="367">
        <f t="shared" si="227"/>
        <v>134804.5427608451</v>
      </c>
      <c r="N851" s="367">
        <f t="shared" si="227"/>
        <v>138417.30450683573</v>
      </c>
      <c r="O851" s="367">
        <f t="shared" si="227"/>
        <v>142126.88826761892</v>
      </c>
      <c r="P851" s="367">
        <f t="shared" si="227"/>
        <v>145935.88887319108</v>
      </c>
      <c r="Q851" s="367">
        <f t="shared" si="227"/>
        <v>149846.9706949926</v>
      </c>
    </row>
    <row r="852" spans="1:17" ht="14.4">
      <c r="A852" s="370"/>
      <c r="B852" s="374"/>
      <c r="C852" s="374"/>
      <c r="D852" s="374"/>
      <c r="E852" s="374"/>
      <c r="F852" s="374"/>
      <c r="G852" s="374"/>
      <c r="H852" s="374"/>
      <c r="I852" s="374"/>
      <c r="J852" s="374"/>
      <c r="K852" s="374"/>
      <c r="L852" s="374"/>
      <c r="M852" s="374"/>
      <c r="N852" s="374"/>
      <c r="O852" s="374"/>
      <c r="P852" s="374"/>
      <c r="Q852" s="374"/>
    </row>
    <row r="853" spans="1:17" ht="14.4">
      <c r="A853" s="366" t="s">
        <v>68</v>
      </c>
      <c r="B853" s="368"/>
      <c r="C853" s="368"/>
      <c r="D853" s="368"/>
      <c r="E853" s="368"/>
      <c r="F853" s="368"/>
      <c r="G853" s="368"/>
      <c r="H853" s="368"/>
      <c r="I853" s="368"/>
      <c r="J853" s="368"/>
      <c r="K853" s="368"/>
      <c r="L853" s="368"/>
      <c r="M853" s="368"/>
      <c r="N853" s="368"/>
      <c r="O853" s="368"/>
      <c r="P853" s="368"/>
      <c r="Q853" s="368"/>
    </row>
    <row r="854" spans="1:17" ht="14.4">
      <c r="A854" s="366" t="s">
        <v>330</v>
      </c>
      <c r="B854" s="378">
        <f>+SUM(C854:Q854)</f>
        <v>17405.991521183645</v>
      </c>
      <c r="C854" s="375">
        <f>+Baseline_NaturalGas!D20</f>
        <v>958.02102749999995</v>
      </c>
      <c r="D854" s="375">
        <f>+Baseline_NaturalGas!E20</f>
        <v>983.69599103699989</v>
      </c>
      <c r="E854" s="375">
        <f>+Baseline_NaturalGas!F20</f>
        <v>1010.0590435967914</v>
      </c>
      <c r="F854" s="375">
        <f>+Baseline_NaturalGas!G20</f>
        <v>1037.1286259651854</v>
      </c>
      <c r="G854" s="375">
        <f>+Baseline_NaturalGas!H20</f>
        <v>1064.9236731410524</v>
      </c>
      <c r="H854" s="375">
        <f>+Baseline_NaturalGas!I20</f>
        <v>1093.4636275812325</v>
      </c>
      <c r="I854" s="375">
        <f>+Baseline_NaturalGas!J20</f>
        <v>1122.7684528004095</v>
      </c>
      <c r="J854" s="375">
        <f>+Baseline_NaturalGas!K20</f>
        <v>1152.8586473354603</v>
      </c>
      <c r="K854" s="375">
        <f>+Baseline_NaturalGas!L20</f>
        <v>1183.7552590840505</v>
      </c>
      <c r="L854" s="375">
        <f>+Baseline_NaturalGas!M20</f>
        <v>1215.4799000275029</v>
      </c>
      <c r="M854" s="375">
        <f>+Baseline_NaturalGas!N20</f>
        <v>1248.0547613482399</v>
      </c>
      <c r="N854" s="375">
        <f>+Baseline_NaturalGas!O20</f>
        <v>1281.5026289523728</v>
      </c>
      <c r="O854" s="375">
        <f>+Baseline_NaturalGas!P20</f>
        <v>1315.8468994082964</v>
      </c>
      <c r="P854" s="375">
        <f>+Baseline_NaturalGas!Q20</f>
        <v>1351.1115963124387</v>
      </c>
      <c r="Q854" s="375">
        <f>+Baseline_NaturalGas!R20</f>
        <v>1387.321387093612</v>
      </c>
    </row>
    <row r="855" spans="1:17" ht="14.4">
      <c r="A855" s="370"/>
      <c r="B855" s="369"/>
      <c r="C855" s="369"/>
      <c r="D855" s="369"/>
      <c r="E855" s="369"/>
      <c r="F855" s="369"/>
      <c r="G855" s="369"/>
      <c r="H855" s="369"/>
      <c r="I855" s="369"/>
      <c r="J855" s="369"/>
      <c r="K855" s="369"/>
      <c r="L855" s="369"/>
      <c r="M855" s="369"/>
      <c r="N855" s="369"/>
      <c r="O855" s="369"/>
      <c r="P855" s="369"/>
      <c r="Q855" s="369"/>
    </row>
    <row r="856" spans="1:17" ht="14.4">
      <c r="A856" s="366" t="s">
        <v>71</v>
      </c>
      <c r="B856" s="379"/>
      <c r="C856" s="379"/>
      <c r="D856" s="379"/>
      <c r="E856" s="379"/>
      <c r="F856" s="379"/>
      <c r="G856" s="379"/>
      <c r="H856" s="379"/>
      <c r="I856" s="379"/>
      <c r="J856" s="379"/>
      <c r="K856" s="379"/>
      <c r="L856" s="379"/>
      <c r="M856" s="379"/>
      <c r="N856" s="379"/>
      <c r="O856" s="379"/>
      <c r="P856" s="379"/>
      <c r="Q856" s="379"/>
    </row>
    <row r="857" spans="1:17" ht="14.4">
      <c r="A857" s="370"/>
      <c r="B857" s="379"/>
      <c r="C857" s="379"/>
      <c r="D857" s="379"/>
      <c r="E857" s="379"/>
      <c r="F857" s="379"/>
      <c r="G857" s="379"/>
      <c r="H857" s="379"/>
      <c r="I857" s="379"/>
      <c r="J857" s="379"/>
      <c r="K857" s="379"/>
      <c r="L857" s="379"/>
      <c r="M857" s="379"/>
      <c r="N857" s="379"/>
      <c r="O857" s="379"/>
      <c r="P857" s="379"/>
      <c r="Q857" s="379"/>
    </row>
    <row r="858" spans="1:17" ht="14.4">
      <c r="A858" s="366" t="s">
        <v>64</v>
      </c>
      <c r="B858" s="373"/>
      <c r="C858" s="375">
        <f>+Baseline_NaturalGas!D24</f>
        <v>1656.5089715892002</v>
      </c>
      <c r="D858" s="375">
        <f>+Baseline_NaturalGas!E24</f>
        <v>1656.5089715892002</v>
      </c>
      <c r="E858" s="375">
        <f>+Baseline_NaturalGas!F24</f>
        <v>1656.5089715892002</v>
      </c>
      <c r="F858" s="375">
        <f>+Baseline_NaturalGas!G24</f>
        <v>1656.5089715892002</v>
      </c>
      <c r="G858" s="375">
        <f>+Baseline_NaturalGas!H24</f>
        <v>1656.5089715892002</v>
      </c>
      <c r="H858" s="375">
        <f>+Baseline_NaturalGas!I24</f>
        <v>1656.5089715892002</v>
      </c>
      <c r="I858" s="375">
        <f>+Baseline_NaturalGas!J24</f>
        <v>1656.5089715892002</v>
      </c>
      <c r="J858" s="375">
        <f>+Baseline_NaturalGas!K24</f>
        <v>1656.5089715892002</v>
      </c>
      <c r="K858" s="375">
        <f>+Baseline_NaturalGas!L24</f>
        <v>1656.5089715892002</v>
      </c>
      <c r="L858" s="375">
        <f>+Baseline_NaturalGas!M24</f>
        <v>1656.5089715892002</v>
      </c>
      <c r="M858" s="375">
        <f>+Baseline_NaturalGas!N24</f>
        <v>1656.5089715892002</v>
      </c>
      <c r="N858" s="375">
        <f>+Baseline_NaturalGas!O24</f>
        <v>1656.5089715892002</v>
      </c>
      <c r="O858" s="375">
        <f>+Baseline_NaturalGas!P24</f>
        <v>1656.5089715892002</v>
      </c>
      <c r="P858" s="375">
        <f>+Baseline_NaturalGas!Q24</f>
        <v>1656.5089715892002</v>
      </c>
      <c r="Q858" s="375">
        <f>+Baseline_NaturalGas!R24</f>
        <v>1656.5089715892002</v>
      </c>
    </row>
    <row r="859" spans="1:17" ht="14.4">
      <c r="A859" s="366" t="s">
        <v>108</v>
      </c>
      <c r="B859" s="387">
        <f>+Baseline_NaturalGas!C25</f>
        <v>0.90200000000000002</v>
      </c>
      <c r="C859" s="373"/>
      <c r="D859" s="373"/>
      <c r="E859" s="373"/>
      <c r="F859" s="373"/>
      <c r="G859" s="373"/>
      <c r="H859" s="373"/>
      <c r="I859" s="373"/>
      <c r="J859" s="373"/>
      <c r="K859" s="373"/>
      <c r="L859" s="373"/>
      <c r="M859" s="373"/>
      <c r="N859" s="373"/>
      <c r="O859" s="373"/>
      <c r="P859" s="373"/>
      <c r="Q859" s="373"/>
    </row>
    <row r="860" spans="1:17" ht="14.4">
      <c r="A860" s="366" t="s">
        <v>345</v>
      </c>
      <c r="B860" s="373"/>
      <c r="C860" s="375">
        <f>+Baseline_NaturalGas!D26</f>
        <v>1741816.7092883086</v>
      </c>
      <c r="D860" s="375">
        <f>+Baseline_NaturalGas!E26</f>
        <v>1741816.7092883086</v>
      </c>
      <c r="E860" s="375">
        <f>+Baseline_NaturalGas!F26</f>
        <v>1741816.7092883086</v>
      </c>
      <c r="F860" s="375">
        <f>+Baseline_NaturalGas!G26</f>
        <v>1741816.7092883086</v>
      </c>
      <c r="G860" s="375">
        <f>+Baseline_NaturalGas!H26</f>
        <v>1741816.7092883086</v>
      </c>
      <c r="H860" s="375">
        <f>+Baseline_NaturalGas!I26</f>
        <v>1741816.7092883086</v>
      </c>
      <c r="I860" s="375">
        <f>+Baseline_NaturalGas!J26</f>
        <v>1741816.7092883086</v>
      </c>
      <c r="J860" s="375">
        <f>+Baseline_NaturalGas!K26</f>
        <v>1741816.7092883086</v>
      </c>
      <c r="K860" s="375">
        <f>+Baseline_NaturalGas!L26</f>
        <v>1741816.7092883086</v>
      </c>
      <c r="L860" s="375">
        <f>+Baseline_NaturalGas!M26</f>
        <v>1741816.7092883086</v>
      </c>
      <c r="M860" s="375">
        <f>+Baseline_NaturalGas!N26</f>
        <v>1741816.7092883086</v>
      </c>
      <c r="N860" s="375">
        <f>+Baseline_NaturalGas!O26</f>
        <v>1741816.7092883086</v>
      </c>
      <c r="O860" s="375">
        <f>+Baseline_NaturalGas!P26</f>
        <v>1741816.7092883086</v>
      </c>
      <c r="P860" s="375">
        <f>+Baseline_NaturalGas!Q26</f>
        <v>1741816.7092883086</v>
      </c>
      <c r="Q860" s="375">
        <f>+Baseline_NaturalGas!R26</f>
        <v>1741816.7092883086</v>
      </c>
    </row>
    <row r="861" spans="1:17" ht="14.4">
      <c r="A861" s="366" t="s">
        <v>66</v>
      </c>
      <c r="B861" s="373"/>
      <c r="C861" s="375">
        <f>+Baseline_NaturalGas!D27</f>
        <v>5.6086944825694198</v>
      </c>
      <c r="D861" s="375">
        <f>+Baseline_NaturalGas!E27</f>
        <v>5.5051083831058802</v>
      </c>
      <c r="E861" s="375">
        <f>+Baseline_NaturalGas!F27</f>
        <v>5.61862622286578</v>
      </c>
      <c r="F861" s="375">
        <f>+Baseline_NaturalGas!G27</f>
        <v>5.8406487933251103</v>
      </c>
      <c r="G861" s="375">
        <f>+Baseline_NaturalGas!H27</f>
        <v>5.8453745748678001</v>
      </c>
      <c r="H861" s="375">
        <f>+Baseline_NaturalGas!I27</f>
        <v>6.0672099673130804</v>
      </c>
      <c r="I861" s="375">
        <f>+Baseline_NaturalGas!J27</f>
        <v>6.39755565092754</v>
      </c>
      <c r="J861" s="375">
        <f>+Baseline_NaturalGas!K27</f>
        <v>6.39755565092754</v>
      </c>
      <c r="K861" s="375">
        <f>+Baseline_NaturalGas!L27</f>
        <v>6.39755565092754</v>
      </c>
      <c r="L861" s="375">
        <f>+Baseline_NaturalGas!M27</f>
        <v>6.39755565092754</v>
      </c>
      <c r="M861" s="375">
        <f>+Baseline_NaturalGas!N27</f>
        <v>6.39755565092754</v>
      </c>
      <c r="N861" s="375">
        <f>+Baseline_NaturalGas!O27</f>
        <v>6.39755565092754</v>
      </c>
      <c r="O861" s="375">
        <f>+Baseline_NaturalGas!P27</f>
        <v>6.39755565092754</v>
      </c>
      <c r="P861" s="375">
        <f>+Baseline_NaturalGas!Q27</f>
        <v>6.39755565092754</v>
      </c>
      <c r="Q861" s="375">
        <f>+Baseline_NaturalGas!R27</f>
        <v>6.39755565092754</v>
      </c>
    </row>
    <row r="862" spans="1:17" ht="14.4">
      <c r="A862" s="370"/>
      <c r="B862" s="379"/>
      <c r="C862" s="379"/>
      <c r="D862" s="379"/>
      <c r="E862" s="379"/>
      <c r="F862" s="379"/>
      <c r="G862" s="379"/>
      <c r="H862" s="379"/>
      <c r="I862" s="379"/>
      <c r="J862" s="379"/>
      <c r="K862" s="379"/>
      <c r="L862" s="379"/>
      <c r="M862" s="379"/>
      <c r="N862" s="379"/>
      <c r="O862" s="379"/>
      <c r="P862" s="379"/>
      <c r="Q862" s="379"/>
    </row>
    <row r="863" spans="1:17" ht="14.4">
      <c r="A863" s="366" t="s">
        <v>102</v>
      </c>
      <c r="B863" s="378">
        <f t="shared" ref="B863" si="228">+SUM(C863:Q863)</f>
        <v>160358.02702356796</v>
      </c>
      <c r="C863" s="375">
        <f>+C860*C861/1000</f>
        <v>9769.3177670325604</v>
      </c>
      <c r="D863" s="375">
        <f t="shared" ref="D863:Q863" si="229">+D860*D861/1000</f>
        <v>9588.8897681369654</v>
      </c>
      <c r="E863" s="375">
        <f t="shared" si="229"/>
        <v>9786.6170382330711</v>
      </c>
      <c r="F863" s="375">
        <f t="shared" si="229"/>
        <v>10173.339661298274</v>
      </c>
      <c r="G863" s="375">
        <f t="shared" si="229"/>
        <v>10181.571106553778</v>
      </c>
      <c r="H863" s="375">
        <f t="shared" si="229"/>
        <v>10567.967699826495</v>
      </c>
      <c r="I863" s="375">
        <f t="shared" si="229"/>
        <v>11143.36933138743</v>
      </c>
      <c r="J863" s="375">
        <f t="shared" si="229"/>
        <v>11143.36933138743</v>
      </c>
      <c r="K863" s="375">
        <f t="shared" si="229"/>
        <v>11143.36933138743</v>
      </c>
      <c r="L863" s="375">
        <f t="shared" si="229"/>
        <v>11143.36933138743</v>
      </c>
      <c r="M863" s="375">
        <f t="shared" si="229"/>
        <v>11143.36933138743</v>
      </c>
      <c r="N863" s="375">
        <f t="shared" si="229"/>
        <v>11143.36933138743</v>
      </c>
      <c r="O863" s="375">
        <f t="shared" si="229"/>
        <v>11143.36933138743</v>
      </c>
      <c r="P863" s="375">
        <f t="shared" si="229"/>
        <v>11143.36933138743</v>
      </c>
      <c r="Q863" s="375">
        <f t="shared" si="229"/>
        <v>11143.36933138743</v>
      </c>
    </row>
    <row r="864" spans="1:17" ht="14.4">
      <c r="A864" s="370"/>
      <c r="B864" s="373"/>
      <c r="C864" s="373"/>
      <c r="D864" s="373"/>
      <c r="E864" s="373"/>
      <c r="F864" s="373"/>
      <c r="G864" s="373"/>
      <c r="H864" s="373"/>
      <c r="I864" s="373"/>
      <c r="J864" s="373"/>
      <c r="K864" s="373"/>
      <c r="L864" s="373"/>
      <c r="M864" s="373"/>
      <c r="N864" s="373"/>
      <c r="O864" s="373"/>
      <c r="P864" s="373"/>
      <c r="Q864" s="373"/>
    </row>
    <row r="865" spans="1:17" ht="14.4">
      <c r="A865" s="370"/>
      <c r="B865" s="379"/>
      <c r="C865" s="379"/>
      <c r="D865" s="379"/>
      <c r="E865" s="379"/>
      <c r="F865" s="379"/>
      <c r="G865" s="379"/>
      <c r="H865" s="379"/>
      <c r="I865" s="379"/>
      <c r="J865" s="379"/>
      <c r="K865" s="379"/>
      <c r="L865" s="379"/>
      <c r="M865" s="379"/>
      <c r="N865" s="379"/>
      <c r="O865" s="379"/>
      <c r="P865" s="379"/>
      <c r="Q865" s="379"/>
    </row>
    <row r="866" spans="1:17" ht="14.4">
      <c r="A866" s="366" t="s">
        <v>101</v>
      </c>
      <c r="B866" s="373"/>
      <c r="C866" s="375">
        <f>+C863+C854</f>
        <v>10727.338794532559</v>
      </c>
      <c r="D866" s="375">
        <f t="shared" ref="D866:Q866" si="230">+D863+D854</f>
        <v>10572.585759173966</v>
      </c>
      <c r="E866" s="375">
        <f t="shared" si="230"/>
        <v>10796.676081829863</v>
      </c>
      <c r="F866" s="375">
        <f t="shared" si="230"/>
        <v>11210.46828726346</v>
      </c>
      <c r="G866" s="375">
        <f t="shared" si="230"/>
        <v>11246.494779694831</v>
      </c>
      <c r="H866" s="375">
        <f t="shared" si="230"/>
        <v>11661.431327407727</v>
      </c>
      <c r="I866" s="375">
        <f t="shared" si="230"/>
        <v>12266.13778418784</v>
      </c>
      <c r="J866" s="375">
        <f t="shared" si="230"/>
        <v>12296.227978722891</v>
      </c>
      <c r="K866" s="375">
        <f t="shared" si="230"/>
        <v>12327.124590471481</v>
      </c>
      <c r="L866" s="375">
        <f t="shared" si="230"/>
        <v>12358.849231414933</v>
      </c>
      <c r="M866" s="375">
        <f t="shared" si="230"/>
        <v>12391.42409273567</v>
      </c>
      <c r="N866" s="375">
        <f t="shared" si="230"/>
        <v>12424.871960339802</v>
      </c>
      <c r="O866" s="375">
        <f t="shared" si="230"/>
        <v>12459.216230795726</v>
      </c>
      <c r="P866" s="375">
        <f t="shared" si="230"/>
        <v>12494.480927699869</v>
      </c>
      <c r="Q866" s="375">
        <f t="shared" si="230"/>
        <v>12530.690718481042</v>
      </c>
    </row>
    <row r="867" spans="1:17" ht="14.4">
      <c r="A867" s="370"/>
      <c r="B867" s="379"/>
      <c r="C867" s="379"/>
      <c r="D867" s="379"/>
      <c r="E867" s="379"/>
      <c r="F867" s="379"/>
      <c r="G867" s="379"/>
      <c r="H867" s="379"/>
      <c r="I867" s="379"/>
      <c r="J867" s="379"/>
      <c r="K867" s="379"/>
      <c r="L867" s="379"/>
      <c r="M867" s="379"/>
      <c r="N867" s="379"/>
      <c r="O867" s="379"/>
      <c r="P867" s="379"/>
      <c r="Q867" s="379"/>
    </row>
    <row r="868" spans="1:17" ht="14.4">
      <c r="A868" s="366" t="s">
        <v>73</v>
      </c>
      <c r="B868" s="378">
        <f>+SUM(C868:Q868)</f>
        <v>11487.524395535713</v>
      </c>
      <c r="C868" s="367">
        <f>+Baseline_NaturalGas!$D$5/'Initial Data'!$C$19</f>
        <v>1148.7524395535715</v>
      </c>
      <c r="D868" s="367">
        <f>+Baseline_NaturalGas!$D$5/'Initial Data'!$C$19</f>
        <v>1148.7524395535715</v>
      </c>
      <c r="E868" s="367">
        <f>+Baseline_NaturalGas!$D$5/'Initial Data'!$C$19</f>
        <v>1148.7524395535715</v>
      </c>
      <c r="F868" s="367">
        <f>+Baseline_NaturalGas!$D$5/'Initial Data'!$C$19</f>
        <v>1148.7524395535715</v>
      </c>
      <c r="G868" s="367">
        <f>+Baseline_NaturalGas!$D$5/'Initial Data'!$C$19</f>
        <v>1148.7524395535715</v>
      </c>
      <c r="H868" s="367">
        <f>+Baseline_NaturalGas!$D$5/'Initial Data'!$C$19</f>
        <v>1148.7524395535715</v>
      </c>
      <c r="I868" s="367">
        <f>+Baseline_NaturalGas!$D$5/'Initial Data'!$C$19</f>
        <v>1148.7524395535715</v>
      </c>
      <c r="J868" s="367">
        <f>+Baseline_NaturalGas!$D$5/'Initial Data'!$C$19</f>
        <v>1148.7524395535715</v>
      </c>
      <c r="K868" s="367">
        <f>+Baseline_NaturalGas!$D$5/'Initial Data'!$C$19</f>
        <v>1148.7524395535715</v>
      </c>
      <c r="L868" s="367">
        <f>+Baseline_NaturalGas!$D$5/'Initial Data'!$C$19</f>
        <v>1148.7524395535715</v>
      </c>
      <c r="M868" s="367">
        <v>0</v>
      </c>
      <c r="N868" s="367">
        <v>0</v>
      </c>
      <c r="O868" s="367">
        <v>0</v>
      </c>
      <c r="P868" s="367">
        <v>0</v>
      </c>
      <c r="Q868" s="367">
        <v>0</v>
      </c>
    </row>
    <row r="869" spans="1:17" ht="14.4">
      <c r="A869" s="366" t="s">
        <v>74</v>
      </c>
      <c r="B869" s="378">
        <f>+SUM(C869:Q869)</f>
        <v>11487.524395535713</v>
      </c>
      <c r="C869" s="367">
        <f>SUM(C868:C868)</f>
        <v>1148.7524395535715</v>
      </c>
      <c r="D869" s="367">
        <f t="shared" ref="D869:Q869" si="231">SUM(D868:D868)</f>
        <v>1148.7524395535715</v>
      </c>
      <c r="E869" s="367">
        <f t="shared" si="231"/>
        <v>1148.7524395535715</v>
      </c>
      <c r="F869" s="367">
        <f t="shared" si="231"/>
        <v>1148.7524395535715</v>
      </c>
      <c r="G869" s="367">
        <f t="shared" si="231"/>
        <v>1148.7524395535715</v>
      </c>
      <c r="H869" s="367">
        <f t="shared" si="231"/>
        <v>1148.7524395535715</v>
      </c>
      <c r="I869" s="367">
        <f t="shared" si="231"/>
        <v>1148.7524395535715</v>
      </c>
      <c r="J869" s="367">
        <f t="shared" si="231"/>
        <v>1148.7524395535715</v>
      </c>
      <c r="K869" s="367">
        <f t="shared" si="231"/>
        <v>1148.7524395535715</v>
      </c>
      <c r="L869" s="367">
        <f t="shared" si="231"/>
        <v>1148.7524395535715</v>
      </c>
      <c r="M869" s="367">
        <f t="shared" si="231"/>
        <v>0</v>
      </c>
      <c r="N869" s="367">
        <f t="shared" si="231"/>
        <v>0</v>
      </c>
      <c r="O869" s="367">
        <f t="shared" si="231"/>
        <v>0</v>
      </c>
      <c r="P869" s="367">
        <f t="shared" si="231"/>
        <v>0</v>
      </c>
      <c r="Q869" s="367">
        <f t="shared" si="231"/>
        <v>0</v>
      </c>
    </row>
    <row r="870" spans="1:17" ht="14.4">
      <c r="A870" s="90"/>
      <c r="B870" s="388"/>
      <c r="C870" s="373"/>
      <c r="D870" s="373"/>
      <c r="E870" s="373"/>
      <c r="F870" s="373"/>
      <c r="G870" s="373"/>
      <c r="H870" s="373"/>
      <c r="I870" s="373"/>
      <c r="J870" s="373"/>
      <c r="K870" s="373"/>
      <c r="L870" s="373"/>
      <c r="M870" s="373"/>
      <c r="N870" s="373"/>
      <c r="O870" s="373"/>
      <c r="P870" s="373"/>
      <c r="Q870" s="373"/>
    </row>
    <row r="871" spans="1:17" ht="14.4">
      <c r="A871" s="366" t="s">
        <v>75</v>
      </c>
      <c r="B871" s="378">
        <f>+SUM(C871:Q871)</f>
        <v>189251.54294028736</v>
      </c>
      <c r="C871" s="367">
        <f>+C866+C869</f>
        <v>11876.09123408613</v>
      </c>
      <c r="D871" s="367">
        <f t="shared" ref="D871:Q871" si="232">+D866+D869</f>
        <v>11721.338198727537</v>
      </c>
      <c r="E871" s="367">
        <f t="shared" si="232"/>
        <v>11945.428521383434</v>
      </c>
      <c r="F871" s="367">
        <f t="shared" si="232"/>
        <v>12359.220726817031</v>
      </c>
      <c r="G871" s="367">
        <f t="shared" si="232"/>
        <v>12395.247219248402</v>
      </c>
      <c r="H871" s="367">
        <f t="shared" si="232"/>
        <v>12810.183766961298</v>
      </c>
      <c r="I871" s="367">
        <f t="shared" si="232"/>
        <v>13414.890223741411</v>
      </c>
      <c r="J871" s="367">
        <f t="shared" si="232"/>
        <v>13444.980418276462</v>
      </c>
      <c r="K871" s="367">
        <f t="shared" si="232"/>
        <v>13475.877030025053</v>
      </c>
      <c r="L871" s="367">
        <f t="shared" si="232"/>
        <v>13507.601670968505</v>
      </c>
      <c r="M871" s="367">
        <f t="shared" si="232"/>
        <v>12391.42409273567</v>
      </c>
      <c r="N871" s="367">
        <f t="shared" si="232"/>
        <v>12424.871960339802</v>
      </c>
      <c r="O871" s="367">
        <f t="shared" si="232"/>
        <v>12459.216230795726</v>
      </c>
      <c r="P871" s="367">
        <f t="shared" si="232"/>
        <v>12494.480927699869</v>
      </c>
      <c r="Q871" s="367">
        <f t="shared" si="232"/>
        <v>12530.690718481042</v>
      </c>
    </row>
    <row r="872" spans="1:17">
      <c r="A872" s="74"/>
    </row>
    <row r="873" spans="1:17" ht="14.4">
      <c r="A873" s="366" t="s">
        <v>76</v>
      </c>
      <c r="B873" s="378">
        <f>+SUM(C873:Q873)</f>
        <v>1690799.5581648815</v>
      </c>
      <c r="C873" s="367">
        <f>+C851-C871</f>
        <v>91601.408765913875</v>
      </c>
      <c r="D873" s="367">
        <f t="shared" ref="D873:Q873" si="233">+D851-D871</f>
        <v>94529.358801272465</v>
      </c>
      <c r="E873" s="367">
        <f t="shared" si="233"/>
        <v>97152.787158216554</v>
      </c>
      <c r="F873" s="367">
        <f t="shared" si="233"/>
        <v>99662.82713299623</v>
      </c>
      <c r="G873" s="367">
        <f t="shared" si="233"/>
        <v>102628.99152320785</v>
      </c>
      <c r="H873" s="367">
        <f t="shared" si="233"/>
        <v>105296.70457379277</v>
      </c>
      <c r="I873" s="367">
        <f t="shared" si="233"/>
        <v>107857.26272454487</v>
      </c>
      <c r="J873" s="367">
        <f t="shared" si="233"/>
        <v>111077.26622902387</v>
      </c>
      <c r="K873" s="367">
        <f t="shared" si="233"/>
        <v>114383.56582742294</v>
      </c>
      <c r="L873" s="367">
        <f t="shared" si="233"/>
        <v>117778.47425505907</v>
      </c>
      <c r="M873" s="367">
        <f t="shared" si="233"/>
        <v>122413.11866810943</v>
      </c>
      <c r="N873" s="367">
        <f t="shared" si="233"/>
        <v>125992.43254649593</v>
      </c>
      <c r="O873" s="367">
        <f t="shared" si="233"/>
        <v>129667.67203682321</v>
      </c>
      <c r="P873" s="367">
        <f t="shared" si="233"/>
        <v>133441.40794549123</v>
      </c>
      <c r="Q873" s="367">
        <f t="shared" si="233"/>
        <v>137316.27997651155</v>
      </c>
    </row>
    <row r="874" spans="1:17" ht="14.4">
      <c r="A874" s="369"/>
      <c r="B874" s="373"/>
      <c r="C874" s="373"/>
      <c r="D874" s="373"/>
      <c r="E874" s="373"/>
      <c r="F874" s="373"/>
      <c r="G874" s="373"/>
      <c r="H874" s="373"/>
      <c r="I874" s="373"/>
      <c r="J874" s="373"/>
      <c r="K874" s="373"/>
      <c r="L874" s="373"/>
      <c r="M874" s="373"/>
      <c r="N874" s="373"/>
      <c r="O874" s="373"/>
      <c r="P874" s="373"/>
      <c r="Q874" s="373"/>
    </row>
    <row r="875" spans="1:17" ht="14.4">
      <c r="A875" s="366" t="s">
        <v>222</v>
      </c>
      <c r="B875" s="380">
        <f>+Baseline_NaturalGas!C43</f>
        <v>0.7</v>
      </c>
      <c r="C875" s="367">
        <f>IF((+$B$875*C873)&lt;0,"0",(+$B$875*C873))</f>
        <v>64120.986136139705</v>
      </c>
      <c r="D875" s="367">
        <f t="shared" ref="D875:Q875" si="234">IF((+$B$875*D873)&lt;0,"0",(+$B$875*D873))</f>
        <v>66170.551160890725</v>
      </c>
      <c r="E875" s="367">
        <f t="shared" si="234"/>
        <v>68006.951010751582</v>
      </c>
      <c r="F875" s="367">
        <f t="shared" si="234"/>
        <v>69763.978993097349</v>
      </c>
      <c r="G875" s="367">
        <f t="shared" si="234"/>
        <v>71840.294066245493</v>
      </c>
      <c r="H875" s="367">
        <f t="shared" si="234"/>
        <v>73707.69320165494</v>
      </c>
      <c r="I875" s="367">
        <f t="shared" si="234"/>
        <v>75500.083907181397</v>
      </c>
      <c r="J875" s="367">
        <f t="shared" si="234"/>
        <v>77754.086360316694</v>
      </c>
      <c r="K875" s="367">
        <f t="shared" si="234"/>
        <v>80068.496079196048</v>
      </c>
      <c r="L875" s="367">
        <f t="shared" si="234"/>
        <v>82444.931978541354</v>
      </c>
      <c r="M875" s="367">
        <f t="shared" si="234"/>
        <v>85689.183067676597</v>
      </c>
      <c r="N875" s="367">
        <f t="shared" si="234"/>
        <v>88194.702782547145</v>
      </c>
      <c r="O875" s="367">
        <f t="shared" si="234"/>
        <v>90767.370425776244</v>
      </c>
      <c r="P875" s="367">
        <f t="shared" si="234"/>
        <v>93408.98556184386</v>
      </c>
      <c r="Q875" s="367">
        <f t="shared" si="234"/>
        <v>96121.395983558075</v>
      </c>
    </row>
    <row r="876" spans="1:17" ht="14.4">
      <c r="A876" s="366" t="s">
        <v>77</v>
      </c>
      <c r="B876" s="378">
        <f>+SUM(C876:Q876)</f>
        <v>1183559.6907154173</v>
      </c>
      <c r="C876" s="367">
        <f>SUM(C875:C875)</f>
        <v>64120.986136139705</v>
      </c>
      <c r="D876" s="367">
        <f t="shared" ref="D876:Q876" si="235">SUM(D875:D875)</f>
        <v>66170.551160890725</v>
      </c>
      <c r="E876" s="367">
        <f t="shared" si="235"/>
        <v>68006.951010751582</v>
      </c>
      <c r="F876" s="367">
        <f t="shared" si="235"/>
        <v>69763.978993097349</v>
      </c>
      <c r="G876" s="367">
        <f t="shared" si="235"/>
        <v>71840.294066245493</v>
      </c>
      <c r="H876" s="367">
        <f t="shared" si="235"/>
        <v>73707.69320165494</v>
      </c>
      <c r="I876" s="367">
        <f t="shared" si="235"/>
        <v>75500.083907181397</v>
      </c>
      <c r="J876" s="367">
        <f t="shared" si="235"/>
        <v>77754.086360316694</v>
      </c>
      <c r="K876" s="367">
        <f t="shared" si="235"/>
        <v>80068.496079196048</v>
      </c>
      <c r="L876" s="367">
        <f t="shared" si="235"/>
        <v>82444.931978541354</v>
      </c>
      <c r="M876" s="367">
        <f t="shared" si="235"/>
        <v>85689.183067676597</v>
      </c>
      <c r="N876" s="367">
        <f t="shared" si="235"/>
        <v>88194.702782547145</v>
      </c>
      <c r="O876" s="367">
        <f t="shared" si="235"/>
        <v>90767.370425776244</v>
      </c>
      <c r="P876" s="367">
        <f t="shared" si="235"/>
        <v>93408.98556184386</v>
      </c>
      <c r="Q876" s="367">
        <f t="shared" si="235"/>
        <v>96121.395983558075</v>
      </c>
    </row>
    <row r="877" spans="1:17" ht="14.4">
      <c r="A877" s="369"/>
      <c r="B877" s="373"/>
      <c r="C877" s="373"/>
      <c r="D877" s="373"/>
      <c r="E877" s="373"/>
      <c r="F877" s="373"/>
      <c r="G877" s="373"/>
      <c r="H877" s="373"/>
      <c r="I877" s="373"/>
      <c r="J877" s="373"/>
      <c r="K877" s="373"/>
      <c r="L877" s="373"/>
      <c r="M877" s="373"/>
      <c r="N877" s="373"/>
      <c r="O877" s="373"/>
      <c r="P877" s="373"/>
      <c r="Q877" s="373"/>
    </row>
    <row r="878" spans="1:17" ht="14.4">
      <c r="A878" s="366" t="s">
        <v>78</v>
      </c>
      <c r="B878" s="378">
        <f>+SUM(C878:Q878)</f>
        <v>507239.86744946457</v>
      </c>
      <c r="C878" s="367">
        <f>+C873-C876</f>
        <v>27480.42262977417</v>
      </c>
      <c r="D878" s="367">
        <f t="shared" ref="D878:Q878" si="236">+D873-D876</f>
        <v>28358.807640381739</v>
      </c>
      <c r="E878" s="367">
        <f t="shared" si="236"/>
        <v>29145.836147464972</v>
      </c>
      <c r="F878" s="367">
        <f t="shared" si="236"/>
        <v>29898.848139898881</v>
      </c>
      <c r="G878" s="367">
        <f t="shared" si="236"/>
        <v>30788.697456962356</v>
      </c>
      <c r="H878" s="367">
        <f t="shared" si="236"/>
        <v>31589.011372137829</v>
      </c>
      <c r="I878" s="367">
        <f t="shared" si="236"/>
        <v>32357.17881736347</v>
      </c>
      <c r="J878" s="367">
        <f t="shared" si="236"/>
        <v>33323.179868707171</v>
      </c>
      <c r="K878" s="367">
        <f t="shared" si="236"/>
        <v>34315.069748226888</v>
      </c>
      <c r="L878" s="367">
        <f t="shared" si="236"/>
        <v>35333.542276517721</v>
      </c>
      <c r="M878" s="367">
        <f t="shared" si="236"/>
        <v>36723.935600432829</v>
      </c>
      <c r="N878" s="367">
        <f t="shared" si="236"/>
        <v>37797.729763948781</v>
      </c>
      <c r="O878" s="367">
        <f t="shared" si="236"/>
        <v>38900.301611046962</v>
      </c>
      <c r="P878" s="367">
        <f t="shared" si="236"/>
        <v>40032.422383647368</v>
      </c>
      <c r="Q878" s="367">
        <f t="shared" si="236"/>
        <v>41194.883992953473</v>
      </c>
    </row>
    <row r="879" spans="1:17" ht="14.4">
      <c r="A879" s="395" t="s">
        <v>331</v>
      </c>
      <c r="B879" s="378">
        <f>+SUM(C879:Q879)</f>
        <v>11487.524395535713</v>
      </c>
      <c r="C879" s="377">
        <f>+C868</f>
        <v>1148.7524395535715</v>
      </c>
      <c r="D879" s="377">
        <f t="shared" ref="D879:Q879" si="237">+D868</f>
        <v>1148.7524395535715</v>
      </c>
      <c r="E879" s="377">
        <f t="shared" si="237"/>
        <v>1148.7524395535715</v>
      </c>
      <c r="F879" s="377">
        <f t="shared" si="237"/>
        <v>1148.7524395535715</v>
      </c>
      <c r="G879" s="377">
        <f t="shared" si="237"/>
        <v>1148.7524395535715</v>
      </c>
      <c r="H879" s="377">
        <f t="shared" si="237"/>
        <v>1148.7524395535715</v>
      </c>
      <c r="I879" s="377">
        <f t="shared" si="237"/>
        <v>1148.7524395535715</v>
      </c>
      <c r="J879" s="377">
        <f t="shared" si="237"/>
        <v>1148.7524395535715</v>
      </c>
      <c r="K879" s="377">
        <f t="shared" si="237"/>
        <v>1148.7524395535715</v>
      </c>
      <c r="L879" s="377">
        <f t="shared" si="237"/>
        <v>1148.7524395535715</v>
      </c>
      <c r="M879" s="377">
        <f t="shared" si="237"/>
        <v>0</v>
      </c>
      <c r="N879" s="377">
        <f t="shared" si="237"/>
        <v>0</v>
      </c>
      <c r="O879" s="377">
        <f t="shared" si="237"/>
        <v>0</v>
      </c>
      <c r="P879" s="377">
        <f t="shared" si="237"/>
        <v>0</v>
      </c>
      <c r="Q879" s="377">
        <f t="shared" si="237"/>
        <v>0</v>
      </c>
    </row>
    <row r="880" spans="1:17" ht="14.4">
      <c r="A880" s="395" t="s">
        <v>332</v>
      </c>
      <c r="B880" s="378">
        <f>+Baseline_NaturalGas!C813</f>
        <v>0</v>
      </c>
      <c r="C880" s="367">
        <f>+Baseline_NaturalGas!D813</f>
        <v>0</v>
      </c>
      <c r="D880" s="367">
        <f>+Baseline_NaturalGas!E813</f>
        <v>0</v>
      </c>
      <c r="E880" s="367">
        <f>+Baseline_NaturalGas!F813</f>
        <v>0</v>
      </c>
      <c r="F880" s="367">
        <f>+Baseline_NaturalGas!G813</f>
        <v>0</v>
      </c>
      <c r="G880" s="367">
        <f>+Baseline_NaturalGas!H813</f>
        <v>0</v>
      </c>
      <c r="H880" s="367">
        <f>+Baseline_NaturalGas!I813</f>
        <v>0</v>
      </c>
      <c r="I880" s="367">
        <f>+Baseline_NaturalGas!J813</f>
        <v>0</v>
      </c>
      <c r="J880" s="367">
        <f>+Baseline_NaturalGas!K813</f>
        <v>0</v>
      </c>
      <c r="K880" s="367">
        <f>+Baseline_NaturalGas!L813</f>
        <v>0</v>
      </c>
      <c r="L880" s="367">
        <f>+Baseline_NaturalGas!M813</f>
        <v>0</v>
      </c>
      <c r="M880" s="367">
        <f>+Baseline_NaturalGas!N813</f>
        <v>0</v>
      </c>
      <c r="N880" s="367">
        <f>+Baseline_NaturalGas!O813</f>
        <v>0</v>
      </c>
      <c r="O880" s="367">
        <f>+Baseline_NaturalGas!P813</f>
        <v>0</v>
      </c>
      <c r="P880" s="367">
        <f>+Baseline_NaturalGas!Q813</f>
        <v>0</v>
      </c>
      <c r="Q880" s="367">
        <f>+Baseline_NaturalGas!R813</f>
        <v>0</v>
      </c>
    </row>
    <row r="881" spans="1:17" ht="14.4">
      <c r="A881" s="376"/>
      <c r="B881" s="389"/>
      <c r="C881" s="389"/>
      <c r="D881" s="389"/>
      <c r="E881" s="389"/>
      <c r="F881" s="389"/>
      <c r="G881" s="389"/>
      <c r="H881" s="389"/>
      <c r="I881" s="389"/>
      <c r="J881" s="389"/>
      <c r="K881" s="389"/>
      <c r="L881" s="389"/>
      <c r="M881" s="389"/>
      <c r="N881" s="389"/>
      <c r="O881" s="389"/>
      <c r="P881" s="389"/>
      <c r="Q881" s="389"/>
    </row>
    <row r="882" spans="1:17" ht="14.4">
      <c r="A882" s="366" t="s">
        <v>110</v>
      </c>
      <c r="B882" s="378">
        <f>-Baseline_NaturalGas!$D$5</f>
        <v>-11487.524395535715</v>
      </c>
      <c r="C882" s="367">
        <f>+C878+C879+C880</f>
        <v>28629.175069327743</v>
      </c>
      <c r="D882" s="367">
        <f t="shared" ref="D882:Q882" si="238">+D878+D879+D880</f>
        <v>29507.560079935312</v>
      </c>
      <c r="E882" s="367">
        <f t="shared" si="238"/>
        <v>30294.588587018545</v>
      </c>
      <c r="F882" s="367">
        <f t="shared" si="238"/>
        <v>31047.600579452454</v>
      </c>
      <c r="G882" s="367">
        <f t="shared" si="238"/>
        <v>31937.449896515929</v>
      </c>
      <c r="H882" s="367">
        <f t="shared" si="238"/>
        <v>32737.763811691402</v>
      </c>
      <c r="I882" s="367">
        <f t="shared" si="238"/>
        <v>33505.931256917043</v>
      </c>
      <c r="J882" s="367">
        <f t="shared" si="238"/>
        <v>34471.932308260744</v>
      </c>
      <c r="K882" s="367">
        <f t="shared" si="238"/>
        <v>35463.822187780461</v>
      </c>
      <c r="L882" s="367">
        <f t="shared" si="238"/>
        <v>36482.294716071294</v>
      </c>
      <c r="M882" s="367">
        <f t="shared" si="238"/>
        <v>36723.935600432829</v>
      </c>
      <c r="N882" s="367">
        <f t="shared" si="238"/>
        <v>37797.729763948781</v>
      </c>
      <c r="O882" s="367">
        <f t="shared" si="238"/>
        <v>38900.301611046962</v>
      </c>
      <c r="P882" s="367">
        <f t="shared" si="238"/>
        <v>40032.422383647368</v>
      </c>
      <c r="Q882" s="367">
        <f t="shared" si="238"/>
        <v>41194.883992953473</v>
      </c>
    </row>
    <row r="883" spans="1:17" ht="15.6">
      <c r="A883" s="366" t="s">
        <v>51</v>
      </c>
      <c r="B883" s="132">
        <f>IRR(B882:Q882)</f>
        <v>2.521619855210234</v>
      </c>
      <c r="C883" s="390"/>
      <c r="D883" s="390"/>
      <c r="E883" s="390"/>
      <c r="F883" s="390"/>
      <c r="G883" s="390"/>
      <c r="H883" s="390"/>
      <c r="I883" s="390"/>
      <c r="J883" s="390"/>
      <c r="K883" s="390"/>
      <c r="L883" s="390"/>
      <c r="M883" s="390"/>
      <c r="N883" s="390"/>
      <c r="O883" s="390"/>
      <c r="P883" s="390"/>
      <c r="Q883" s="390"/>
    </row>
    <row r="884" spans="1:17" ht="15.6">
      <c r="A884" s="366" t="s">
        <v>267</v>
      </c>
      <c r="B884" s="303">
        <f>NPV('Initial Data'!$C$21/100,B882:Q882)</f>
        <v>189379.89778148205</v>
      </c>
      <c r="C884" s="373"/>
      <c r="D884" s="373"/>
      <c r="E884" s="373"/>
      <c r="F884" s="373"/>
      <c r="G884" s="373"/>
      <c r="H884" s="373"/>
      <c r="I884" s="373"/>
      <c r="J884" s="373"/>
      <c r="K884" s="373"/>
      <c r="L884" s="373"/>
      <c r="M884" s="373"/>
      <c r="N884" s="373"/>
      <c r="O884" s="373"/>
      <c r="P884" s="373"/>
      <c r="Q884" s="373"/>
    </row>
    <row r="886" spans="1:17" ht="14.4">
      <c r="A886" s="417" t="s">
        <v>341</v>
      </c>
      <c r="B886" s="418"/>
      <c r="C886" s="418"/>
      <c r="D886" s="418"/>
      <c r="E886" s="418"/>
      <c r="F886" s="418"/>
      <c r="G886" s="418"/>
      <c r="H886" s="418"/>
      <c r="I886" s="418"/>
      <c r="J886" s="418"/>
      <c r="K886" s="418"/>
      <c r="L886" s="418"/>
      <c r="M886" s="418"/>
      <c r="N886" s="418"/>
      <c r="O886" s="418"/>
      <c r="P886" s="418"/>
      <c r="Q886" s="418"/>
    </row>
    <row r="887" spans="1:17" ht="14.4">
      <c r="A887" s="371" t="s">
        <v>328</v>
      </c>
      <c r="B887" s="372"/>
      <c r="C887" s="372"/>
      <c r="D887" s="372"/>
      <c r="E887" s="372"/>
      <c r="F887" s="372"/>
      <c r="G887" s="372"/>
      <c r="H887" s="372"/>
      <c r="I887" s="372"/>
      <c r="J887" s="372"/>
      <c r="K887" s="372"/>
      <c r="L887" s="372"/>
      <c r="M887" s="372"/>
      <c r="N887" s="372"/>
      <c r="O887" s="372"/>
      <c r="P887" s="372"/>
      <c r="Q887" s="372"/>
    </row>
    <row r="888" spans="1:17" ht="27">
      <c r="A888" s="376"/>
      <c r="B888" s="304" t="s">
        <v>35</v>
      </c>
      <c r="C888" s="352" t="s">
        <v>407</v>
      </c>
      <c r="D888" s="352" t="s">
        <v>408</v>
      </c>
      <c r="E888" s="352" t="s">
        <v>409</v>
      </c>
      <c r="F888" s="352" t="s">
        <v>410</v>
      </c>
      <c r="G888" s="352" t="s">
        <v>411</v>
      </c>
      <c r="H888" s="352" t="s">
        <v>412</v>
      </c>
      <c r="I888" s="352" t="s">
        <v>413</v>
      </c>
      <c r="J888" s="352" t="s">
        <v>414</v>
      </c>
      <c r="K888" s="352" t="s">
        <v>415</v>
      </c>
      <c r="L888" s="352" t="s">
        <v>416</v>
      </c>
      <c r="M888" s="352" t="s">
        <v>417</v>
      </c>
      <c r="N888" s="352" t="s">
        <v>418</v>
      </c>
      <c r="O888" s="352" t="s">
        <v>419</v>
      </c>
      <c r="P888" s="352" t="s">
        <v>420</v>
      </c>
      <c r="Q888" s="352" t="s">
        <v>421</v>
      </c>
    </row>
    <row r="889" spans="1:17" ht="14.4">
      <c r="A889" s="363" t="s">
        <v>290</v>
      </c>
      <c r="B889" s="365"/>
      <c r="C889" s="381">
        <f>+Baseline_NaturalGas!D10*(1+$F$7)</f>
        <v>240900.00000000003</v>
      </c>
      <c r="D889" s="381">
        <f>+Baseline_NaturalGas!E10*(1+$F$7)</f>
        <v>240900.00000000003</v>
      </c>
      <c r="E889" s="381">
        <f>+Baseline_NaturalGas!F10*(1+$F$7)</f>
        <v>240900.00000000003</v>
      </c>
      <c r="F889" s="381">
        <f>+Baseline_NaturalGas!G10*(1+$F$7)</f>
        <v>240900.00000000003</v>
      </c>
      <c r="G889" s="381">
        <f>+Baseline_NaturalGas!H10*(1+$F$7)</f>
        <v>240900.00000000003</v>
      </c>
      <c r="H889" s="381">
        <f>+Baseline_NaturalGas!I10*(1+$F$7)</f>
        <v>240900.00000000003</v>
      </c>
      <c r="I889" s="381">
        <f>+Baseline_NaturalGas!J10*(1+$F$7)</f>
        <v>240900.00000000003</v>
      </c>
      <c r="J889" s="381">
        <f>+Baseline_NaturalGas!K10*(1+$F$7)</f>
        <v>240900.00000000003</v>
      </c>
      <c r="K889" s="381">
        <f>+Baseline_NaturalGas!L10*(1+$F$7)</f>
        <v>240900.00000000003</v>
      </c>
      <c r="L889" s="381">
        <f>+Baseline_NaturalGas!M10*(1+$F$7)</f>
        <v>240900.00000000003</v>
      </c>
      <c r="M889" s="381">
        <f>+Baseline_NaturalGas!N10*(1+$F$7)</f>
        <v>240900.00000000003</v>
      </c>
      <c r="N889" s="381">
        <f>+Baseline_NaturalGas!O10*(1+$F$7)</f>
        <v>240900.00000000003</v>
      </c>
      <c r="O889" s="381">
        <f>+Baseline_NaturalGas!P10*(1+$F$7)</f>
        <v>240900.00000000003</v>
      </c>
      <c r="P889" s="381">
        <f>+Baseline_NaturalGas!Q10*(1+$F$7)</f>
        <v>240900.00000000003</v>
      </c>
      <c r="Q889" s="381">
        <f>+Baseline_NaturalGas!R10*(1+$F$7)</f>
        <v>240900.00000000003</v>
      </c>
    </row>
    <row r="890" spans="1:17" ht="14.4">
      <c r="A890" s="364" t="s">
        <v>291</v>
      </c>
      <c r="B890" s="365"/>
      <c r="C890" s="367">
        <f>'Initial Data'!$C$50-'Initial Data'!$C$51</f>
        <v>70</v>
      </c>
      <c r="D890" s="367">
        <f>'Initial Data'!$C$50-'Initial Data'!$C$51</f>
        <v>70</v>
      </c>
      <c r="E890" s="367">
        <f>'Initial Data'!$C$50-'Initial Data'!$C$51</f>
        <v>70</v>
      </c>
      <c r="F890" s="367">
        <f>'Initial Data'!$C$50-'Initial Data'!$C$51</f>
        <v>70</v>
      </c>
      <c r="G890" s="367">
        <f>'Initial Data'!$C$50-'Initial Data'!$C$51</f>
        <v>70</v>
      </c>
      <c r="H890" s="367">
        <f>'Initial Data'!$C$50-'Initial Data'!$C$51</f>
        <v>70</v>
      </c>
      <c r="I890" s="367">
        <f>'Initial Data'!$C$50-'Initial Data'!$C$51</f>
        <v>70</v>
      </c>
      <c r="J890" s="367">
        <f>'Initial Data'!$C$50-'Initial Data'!$C$51</f>
        <v>70</v>
      </c>
      <c r="K890" s="367">
        <f>'Initial Data'!$C$50-'Initial Data'!$C$51</f>
        <v>70</v>
      </c>
      <c r="L890" s="367">
        <f>'Initial Data'!$C$50-'Initial Data'!$C$51</f>
        <v>70</v>
      </c>
      <c r="M890" s="367">
        <f>'Initial Data'!$C$50-'Initial Data'!$C$51</f>
        <v>70</v>
      </c>
      <c r="N890" s="367">
        <f>'Initial Data'!$C$50-'Initial Data'!$C$51</f>
        <v>70</v>
      </c>
      <c r="O890" s="367">
        <f>'Initial Data'!$C$50-'Initial Data'!$C$51</f>
        <v>70</v>
      </c>
      <c r="P890" s="367">
        <f>'Initial Data'!$C$50-'Initial Data'!$C$51</f>
        <v>70</v>
      </c>
      <c r="Q890" s="367">
        <f>'Initial Data'!$C$50-'Initial Data'!$C$51</f>
        <v>70</v>
      </c>
    </row>
    <row r="891" spans="1:17" ht="14.4">
      <c r="A891" s="366" t="s">
        <v>292</v>
      </c>
      <c r="B891" s="365"/>
      <c r="C891" s="375">
        <f>+Baseline_NaturalGas!D12</f>
        <v>6.4285714285714288</v>
      </c>
      <c r="D891" s="375">
        <f>+Baseline_NaturalGas!E12</f>
        <v>6.6008571428571425</v>
      </c>
      <c r="E891" s="375">
        <f>+Baseline_NaturalGas!F12</f>
        <v>6.7777601142857131</v>
      </c>
      <c r="F891" s="375">
        <f>+Baseline_NaturalGas!G12</f>
        <v>6.9594040853485701</v>
      </c>
      <c r="G891" s="375">
        <f>+Baseline_NaturalGas!H12</f>
        <v>7.1459161148359112</v>
      </c>
      <c r="H891" s="375">
        <f>+Baseline_NaturalGas!I12</f>
        <v>7.3374266667135135</v>
      </c>
      <c r="I891" s="375">
        <f>+Baseline_NaturalGas!J12</f>
        <v>7.5340697013814353</v>
      </c>
      <c r="J891" s="375">
        <f>+Baseline_NaturalGas!K12</f>
        <v>7.7359827693784569</v>
      </c>
      <c r="K891" s="375">
        <f>+Baseline_NaturalGas!L12</f>
        <v>7.943307107597799</v>
      </c>
      <c r="L891" s="375">
        <f>+Baseline_NaturalGas!M12</f>
        <v>8.1561877380814192</v>
      </c>
      <c r="M891" s="375">
        <f>+Baseline_NaturalGas!N12</f>
        <v>8.3747735694620005</v>
      </c>
      <c r="N891" s="375">
        <f>+Baseline_NaturalGas!O12</f>
        <v>8.5992175011235812</v>
      </c>
      <c r="O891" s="375">
        <f>+Baseline_NaturalGas!P12</f>
        <v>8.8296765301536926</v>
      </c>
      <c r="P891" s="375">
        <f>+Baseline_NaturalGas!Q12</f>
        <v>9.066311861161811</v>
      </c>
      <c r="Q891" s="375">
        <f>+Baseline_NaturalGas!R12</f>
        <v>9.3092890190409463</v>
      </c>
    </row>
    <row r="892" spans="1:17" ht="14.4">
      <c r="A892" s="366" t="s">
        <v>293</v>
      </c>
      <c r="B892" s="365"/>
      <c r="C892" s="367">
        <f>+C890*C891</f>
        <v>450</v>
      </c>
      <c r="D892" s="367">
        <f t="shared" ref="D892:Q892" si="239">+D890*D891</f>
        <v>462.06</v>
      </c>
      <c r="E892" s="367">
        <f t="shared" si="239"/>
        <v>474.44320799999991</v>
      </c>
      <c r="F892" s="367">
        <f t="shared" si="239"/>
        <v>487.15828597439992</v>
      </c>
      <c r="G892" s="367">
        <f t="shared" si="239"/>
        <v>500.21412803851376</v>
      </c>
      <c r="H892" s="367">
        <f t="shared" si="239"/>
        <v>513.61986666994596</v>
      </c>
      <c r="I892" s="367">
        <f t="shared" si="239"/>
        <v>527.3848790967005</v>
      </c>
      <c r="J892" s="367">
        <f t="shared" si="239"/>
        <v>541.51879385649192</v>
      </c>
      <c r="K892" s="367">
        <f t="shared" si="239"/>
        <v>556.03149753184596</v>
      </c>
      <c r="L892" s="367">
        <f t="shared" si="239"/>
        <v>570.9331416656994</v>
      </c>
      <c r="M892" s="367">
        <f t="shared" si="239"/>
        <v>586.23414986234002</v>
      </c>
      <c r="N892" s="367">
        <f t="shared" si="239"/>
        <v>601.94522507865065</v>
      </c>
      <c r="O892" s="367">
        <f t="shared" si="239"/>
        <v>618.0773571107585</v>
      </c>
      <c r="P892" s="367">
        <f t="shared" si="239"/>
        <v>634.64183028132675</v>
      </c>
      <c r="Q892" s="367">
        <f t="shared" si="239"/>
        <v>651.65023133286627</v>
      </c>
    </row>
    <row r="893" spans="1:17" ht="14.4">
      <c r="A893" s="370"/>
      <c r="B893" s="373"/>
      <c r="C893" s="373"/>
      <c r="D893" s="373"/>
      <c r="E893" s="373"/>
      <c r="F893" s="373"/>
      <c r="G893" s="373"/>
      <c r="H893" s="373"/>
      <c r="I893" s="373"/>
      <c r="J893" s="373"/>
      <c r="K893" s="373"/>
      <c r="L893" s="373"/>
      <c r="M893" s="373"/>
      <c r="N893" s="373"/>
      <c r="O893" s="373"/>
      <c r="P893" s="373"/>
      <c r="Q893" s="373"/>
    </row>
    <row r="894" spans="1:17" ht="14.4">
      <c r="A894" s="366" t="s">
        <v>294</v>
      </c>
      <c r="B894" s="378">
        <f>+SUM(C894:Q894)</f>
        <v>1969577.3440149394</v>
      </c>
      <c r="C894" s="377">
        <f>C889*C892/1000*'Initial Data'!$C$34/'Initial Data'!$C$33</f>
        <v>108405.00000000001</v>
      </c>
      <c r="D894" s="377">
        <f>D889*D892/1000*'Initial Data'!$C$34/'Initial Data'!$C$33</f>
        <v>111310.25400000002</v>
      </c>
      <c r="E894" s="377">
        <f>E889*E892/1000*'Initial Data'!$C$34/'Initial Data'!$C$33</f>
        <v>114293.36880719999</v>
      </c>
      <c r="F894" s="377">
        <f>F889*F892/1000*'Initial Data'!$C$34/'Initial Data'!$C$33</f>
        <v>117356.43109123295</v>
      </c>
      <c r="G894" s="377">
        <f>G889*G892/1000*'Initial Data'!$C$34/'Initial Data'!$C$33</f>
        <v>120501.58344447798</v>
      </c>
      <c r="H894" s="377">
        <f>H889*H892/1000*'Initial Data'!$C$34/'Initial Data'!$C$33</f>
        <v>123731.02588079</v>
      </c>
      <c r="I894" s="377">
        <f>I889*I892/1000*'Initial Data'!$C$34/'Initial Data'!$C$33</f>
        <v>127047.01737439516</v>
      </c>
      <c r="J894" s="377">
        <f>J889*J892/1000*'Initial Data'!$C$34/'Initial Data'!$C$33</f>
        <v>130451.87744002893</v>
      </c>
      <c r="K894" s="377">
        <f>K889*K892/1000*'Initial Data'!$C$34/'Initial Data'!$C$33</f>
        <v>133947.98775542172</v>
      </c>
      <c r="L894" s="377">
        <f>L889*L892/1000*'Initial Data'!$C$34/'Initial Data'!$C$33</f>
        <v>137537.79382726699</v>
      </c>
      <c r="M894" s="377">
        <f>M889*M892/1000*'Initial Data'!$C$34/'Initial Data'!$C$33</f>
        <v>141223.80670183772</v>
      </c>
      <c r="N894" s="377">
        <f>N889*N892/1000*'Initial Data'!$C$34/'Initial Data'!$C$33</f>
        <v>145008.60472144696</v>
      </c>
      <c r="O894" s="377">
        <f>O889*O892/1000*'Initial Data'!$C$34/'Initial Data'!$C$33</f>
        <v>148894.83532798174</v>
      </c>
      <c r="P894" s="377">
        <f>P889*P892/1000*'Initial Data'!$C$34/'Initial Data'!$C$33</f>
        <v>152885.21691477165</v>
      </c>
      <c r="Q894" s="377">
        <f>Q889*Q892/1000*'Initial Data'!$C$34/'Initial Data'!$C$33</f>
        <v>156982.54072808751</v>
      </c>
    </row>
    <row r="895" spans="1:17" ht="14.4">
      <c r="A895" s="370"/>
      <c r="B895" s="373"/>
      <c r="C895" s="373"/>
      <c r="D895" s="373"/>
      <c r="E895" s="373"/>
      <c r="F895" s="373"/>
      <c r="G895" s="373"/>
      <c r="H895" s="373"/>
      <c r="I895" s="373"/>
      <c r="J895" s="373"/>
      <c r="K895" s="373"/>
      <c r="L895" s="373"/>
      <c r="M895" s="373"/>
      <c r="N895" s="373"/>
      <c r="O895" s="373"/>
      <c r="P895" s="373"/>
      <c r="Q895" s="373"/>
    </row>
    <row r="896" spans="1:17" ht="14.4">
      <c r="A896" s="366" t="s">
        <v>295</v>
      </c>
      <c r="B896" s="378">
        <f>+SUM(C896:Q896)</f>
        <v>1969577.3440149394</v>
      </c>
      <c r="C896" s="367">
        <f>+C894</f>
        <v>108405.00000000001</v>
      </c>
      <c r="D896" s="367">
        <f t="shared" ref="D896:Q896" si="240">+D894</f>
        <v>111310.25400000002</v>
      </c>
      <c r="E896" s="367">
        <f t="shared" si="240"/>
        <v>114293.36880719999</v>
      </c>
      <c r="F896" s="367">
        <f t="shared" si="240"/>
        <v>117356.43109123295</v>
      </c>
      <c r="G896" s="367">
        <f t="shared" si="240"/>
        <v>120501.58344447798</v>
      </c>
      <c r="H896" s="367">
        <f t="shared" si="240"/>
        <v>123731.02588079</v>
      </c>
      <c r="I896" s="367">
        <f t="shared" si="240"/>
        <v>127047.01737439516</v>
      </c>
      <c r="J896" s="367">
        <f t="shared" si="240"/>
        <v>130451.87744002893</v>
      </c>
      <c r="K896" s="367">
        <f t="shared" si="240"/>
        <v>133947.98775542172</v>
      </c>
      <c r="L896" s="367">
        <f t="shared" si="240"/>
        <v>137537.79382726699</v>
      </c>
      <c r="M896" s="367">
        <f t="shared" si="240"/>
        <v>141223.80670183772</v>
      </c>
      <c r="N896" s="367">
        <f t="shared" si="240"/>
        <v>145008.60472144696</v>
      </c>
      <c r="O896" s="367">
        <f t="shared" si="240"/>
        <v>148894.83532798174</v>
      </c>
      <c r="P896" s="367">
        <f t="shared" si="240"/>
        <v>152885.21691477165</v>
      </c>
      <c r="Q896" s="367">
        <f t="shared" si="240"/>
        <v>156982.54072808751</v>
      </c>
    </row>
    <row r="897" spans="1:17" ht="14.4">
      <c r="A897" s="370"/>
      <c r="B897" s="374"/>
      <c r="C897" s="374"/>
      <c r="D897" s="374"/>
      <c r="E897" s="374"/>
      <c r="F897" s="374"/>
      <c r="G897" s="374"/>
      <c r="H897" s="374"/>
      <c r="I897" s="374"/>
      <c r="J897" s="374"/>
      <c r="K897" s="374"/>
      <c r="L897" s="374"/>
      <c r="M897" s="374"/>
      <c r="N897" s="374"/>
      <c r="O897" s="374"/>
      <c r="P897" s="374"/>
      <c r="Q897" s="374"/>
    </row>
    <row r="898" spans="1:17" ht="14.4">
      <c r="A898" s="366" t="s">
        <v>68</v>
      </c>
      <c r="B898" s="368"/>
      <c r="C898" s="368"/>
      <c r="D898" s="368"/>
      <c r="E898" s="368"/>
      <c r="F898" s="368"/>
      <c r="G898" s="368"/>
      <c r="H898" s="368"/>
      <c r="I898" s="368"/>
      <c r="J898" s="368"/>
      <c r="K898" s="368"/>
      <c r="L898" s="368"/>
      <c r="M898" s="368"/>
      <c r="N898" s="368"/>
      <c r="O898" s="368"/>
      <c r="P898" s="368"/>
      <c r="Q898" s="368"/>
    </row>
    <row r="899" spans="1:17" ht="14.4">
      <c r="A899" s="366" t="s">
        <v>330</v>
      </c>
      <c r="B899" s="378">
        <f>+SUM(C899:Q899)</f>
        <v>17405.991521183645</v>
      </c>
      <c r="C899" s="375">
        <f>+Baseline_NaturalGas!D20</f>
        <v>958.02102749999995</v>
      </c>
      <c r="D899" s="375">
        <f>+Baseline_NaturalGas!E20</f>
        <v>983.69599103699989</v>
      </c>
      <c r="E899" s="375">
        <f>+Baseline_NaturalGas!F20</f>
        <v>1010.0590435967914</v>
      </c>
      <c r="F899" s="375">
        <f>+Baseline_NaturalGas!G20</f>
        <v>1037.1286259651854</v>
      </c>
      <c r="G899" s="375">
        <f>+Baseline_NaturalGas!H20</f>
        <v>1064.9236731410524</v>
      </c>
      <c r="H899" s="375">
        <f>+Baseline_NaturalGas!I20</f>
        <v>1093.4636275812325</v>
      </c>
      <c r="I899" s="375">
        <f>+Baseline_NaturalGas!J20</f>
        <v>1122.7684528004095</v>
      </c>
      <c r="J899" s="375">
        <f>+Baseline_NaturalGas!K20</f>
        <v>1152.8586473354603</v>
      </c>
      <c r="K899" s="375">
        <f>+Baseline_NaturalGas!L20</f>
        <v>1183.7552590840505</v>
      </c>
      <c r="L899" s="375">
        <f>+Baseline_NaturalGas!M20</f>
        <v>1215.4799000275029</v>
      </c>
      <c r="M899" s="375">
        <f>+Baseline_NaturalGas!N20</f>
        <v>1248.0547613482399</v>
      </c>
      <c r="N899" s="375">
        <f>+Baseline_NaturalGas!O20</f>
        <v>1281.5026289523728</v>
      </c>
      <c r="O899" s="375">
        <f>+Baseline_NaturalGas!P20</f>
        <v>1315.8468994082964</v>
      </c>
      <c r="P899" s="375">
        <f>+Baseline_NaturalGas!Q20</f>
        <v>1351.1115963124387</v>
      </c>
      <c r="Q899" s="375">
        <f>+Baseline_NaturalGas!R20</f>
        <v>1387.321387093612</v>
      </c>
    </row>
    <row r="900" spans="1:17" ht="14.4">
      <c r="A900" s="370"/>
      <c r="B900" s="369"/>
      <c r="C900" s="369"/>
      <c r="D900" s="369"/>
      <c r="E900" s="369"/>
      <c r="F900" s="369"/>
      <c r="G900" s="369"/>
      <c r="H900" s="369"/>
      <c r="I900" s="369"/>
      <c r="J900" s="369"/>
      <c r="K900" s="369"/>
      <c r="L900" s="369"/>
      <c r="M900" s="369"/>
      <c r="N900" s="369"/>
      <c r="O900" s="369"/>
      <c r="P900" s="369"/>
      <c r="Q900" s="369"/>
    </row>
    <row r="901" spans="1:17" ht="14.4">
      <c r="A901" s="366" t="s">
        <v>71</v>
      </c>
      <c r="B901" s="379"/>
      <c r="C901" s="379"/>
      <c r="D901" s="379"/>
      <c r="E901" s="379"/>
      <c r="F901" s="379"/>
      <c r="G901" s="379"/>
      <c r="H901" s="379"/>
      <c r="I901" s="379"/>
      <c r="J901" s="379"/>
      <c r="K901" s="379"/>
      <c r="L901" s="379"/>
      <c r="M901" s="379"/>
      <c r="N901" s="379"/>
      <c r="O901" s="379"/>
      <c r="P901" s="379"/>
      <c r="Q901" s="379"/>
    </row>
    <row r="902" spans="1:17" ht="14.4">
      <c r="A902" s="370"/>
      <c r="B902" s="379"/>
      <c r="C902" s="379"/>
      <c r="D902" s="379"/>
      <c r="E902" s="379"/>
      <c r="F902" s="379"/>
      <c r="G902" s="379"/>
      <c r="H902" s="379"/>
      <c r="I902" s="379"/>
      <c r="J902" s="379"/>
      <c r="K902" s="379"/>
      <c r="L902" s="379"/>
      <c r="M902" s="379"/>
      <c r="N902" s="379"/>
      <c r="O902" s="379"/>
      <c r="P902" s="379"/>
      <c r="Q902" s="379"/>
    </row>
    <row r="903" spans="1:17" ht="14.4">
      <c r="A903" s="366" t="s">
        <v>64</v>
      </c>
      <c r="B903" s="373"/>
      <c r="C903" s="375">
        <f>+Baseline_NaturalGas!D24</f>
        <v>1656.5089715892002</v>
      </c>
      <c r="D903" s="375">
        <f>+Baseline_NaturalGas!E24</f>
        <v>1656.5089715892002</v>
      </c>
      <c r="E903" s="375">
        <f>+Baseline_NaturalGas!F24</f>
        <v>1656.5089715892002</v>
      </c>
      <c r="F903" s="375">
        <f>+Baseline_NaturalGas!G24</f>
        <v>1656.5089715892002</v>
      </c>
      <c r="G903" s="375">
        <f>+Baseline_NaturalGas!H24</f>
        <v>1656.5089715892002</v>
      </c>
      <c r="H903" s="375">
        <f>+Baseline_NaturalGas!I24</f>
        <v>1656.5089715892002</v>
      </c>
      <c r="I903" s="375">
        <f>+Baseline_NaturalGas!J24</f>
        <v>1656.5089715892002</v>
      </c>
      <c r="J903" s="375">
        <f>+Baseline_NaturalGas!K24</f>
        <v>1656.5089715892002</v>
      </c>
      <c r="K903" s="375">
        <f>+Baseline_NaturalGas!L24</f>
        <v>1656.5089715892002</v>
      </c>
      <c r="L903" s="375">
        <f>+Baseline_NaturalGas!M24</f>
        <v>1656.5089715892002</v>
      </c>
      <c r="M903" s="375">
        <f>+Baseline_NaturalGas!N24</f>
        <v>1656.5089715892002</v>
      </c>
      <c r="N903" s="375">
        <f>+Baseline_NaturalGas!O24</f>
        <v>1656.5089715892002</v>
      </c>
      <c r="O903" s="375">
        <f>+Baseline_NaturalGas!P24</f>
        <v>1656.5089715892002</v>
      </c>
      <c r="P903" s="375">
        <f>+Baseline_NaturalGas!Q24</f>
        <v>1656.5089715892002</v>
      </c>
      <c r="Q903" s="375">
        <f>+Baseline_NaturalGas!R24</f>
        <v>1656.5089715892002</v>
      </c>
    </row>
    <row r="904" spans="1:17" ht="14.4">
      <c r="A904" s="366" t="s">
        <v>108</v>
      </c>
      <c r="B904" s="387">
        <f>+Baseline_NaturalGas!C25</f>
        <v>0.90200000000000002</v>
      </c>
      <c r="C904" s="373"/>
      <c r="D904" s="373"/>
      <c r="E904" s="373"/>
      <c r="F904" s="373"/>
      <c r="G904" s="373"/>
      <c r="H904" s="373"/>
      <c r="I904" s="373"/>
      <c r="J904" s="373"/>
      <c r="K904" s="373"/>
      <c r="L904" s="373"/>
      <c r="M904" s="373"/>
      <c r="N904" s="373"/>
      <c r="O904" s="373"/>
      <c r="P904" s="373"/>
      <c r="Q904" s="373"/>
    </row>
    <row r="905" spans="1:17" ht="14.4">
      <c r="A905" s="366" t="s">
        <v>345</v>
      </c>
      <c r="B905" s="373"/>
      <c r="C905" s="375">
        <f>+Baseline_NaturalGas!D26</f>
        <v>1741816.7092883086</v>
      </c>
      <c r="D905" s="375">
        <f>+Baseline_NaturalGas!E26</f>
        <v>1741816.7092883086</v>
      </c>
      <c r="E905" s="375">
        <f>+Baseline_NaturalGas!F26</f>
        <v>1741816.7092883086</v>
      </c>
      <c r="F905" s="375">
        <f>+Baseline_NaturalGas!G26</f>
        <v>1741816.7092883086</v>
      </c>
      <c r="G905" s="375">
        <f>+Baseline_NaturalGas!H26</f>
        <v>1741816.7092883086</v>
      </c>
      <c r="H905" s="375">
        <f>+Baseline_NaturalGas!I26</f>
        <v>1741816.7092883086</v>
      </c>
      <c r="I905" s="375">
        <f>+Baseline_NaturalGas!J26</f>
        <v>1741816.7092883086</v>
      </c>
      <c r="J905" s="375">
        <f>+Baseline_NaturalGas!K26</f>
        <v>1741816.7092883086</v>
      </c>
      <c r="K905" s="375">
        <f>+Baseline_NaturalGas!L26</f>
        <v>1741816.7092883086</v>
      </c>
      <c r="L905" s="375">
        <f>+Baseline_NaturalGas!M26</f>
        <v>1741816.7092883086</v>
      </c>
      <c r="M905" s="375">
        <f>+Baseline_NaturalGas!N26</f>
        <v>1741816.7092883086</v>
      </c>
      <c r="N905" s="375">
        <f>+Baseline_NaturalGas!O26</f>
        <v>1741816.7092883086</v>
      </c>
      <c r="O905" s="375">
        <f>+Baseline_NaturalGas!P26</f>
        <v>1741816.7092883086</v>
      </c>
      <c r="P905" s="375">
        <f>+Baseline_NaturalGas!Q26</f>
        <v>1741816.7092883086</v>
      </c>
      <c r="Q905" s="375">
        <f>+Baseline_NaturalGas!R26</f>
        <v>1741816.7092883086</v>
      </c>
    </row>
    <row r="906" spans="1:17" ht="14.4">
      <c r="A906" s="366" t="s">
        <v>66</v>
      </c>
      <c r="B906" s="373"/>
      <c r="C906" s="375">
        <f>+Baseline_NaturalGas!D27</f>
        <v>5.6086944825694198</v>
      </c>
      <c r="D906" s="375">
        <f>+Baseline_NaturalGas!E27</f>
        <v>5.5051083831058802</v>
      </c>
      <c r="E906" s="375">
        <f>+Baseline_NaturalGas!F27</f>
        <v>5.61862622286578</v>
      </c>
      <c r="F906" s="375">
        <f>+Baseline_NaturalGas!G27</f>
        <v>5.8406487933251103</v>
      </c>
      <c r="G906" s="375">
        <f>+Baseline_NaturalGas!H27</f>
        <v>5.8453745748678001</v>
      </c>
      <c r="H906" s="375">
        <f>+Baseline_NaturalGas!I27</f>
        <v>6.0672099673130804</v>
      </c>
      <c r="I906" s="375">
        <f>+Baseline_NaturalGas!J27</f>
        <v>6.39755565092754</v>
      </c>
      <c r="J906" s="375">
        <f>+Baseline_NaturalGas!K27</f>
        <v>6.39755565092754</v>
      </c>
      <c r="K906" s="375">
        <f>+Baseline_NaturalGas!L27</f>
        <v>6.39755565092754</v>
      </c>
      <c r="L906" s="375">
        <f>+Baseline_NaturalGas!M27</f>
        <v>6.39755565092754</v>
      </c>
      <c r="M906" s="375">
        <f>+Baseline_NaturalGas!N27</f>
        <v>6.39755565092754</v>
      </c>
      <c r="N906" s="375">
        <f>+Baseline_NaturalGas!O27</f>
        <v>6.39755565092754</v>
      </c>
      <c r="O906" s="375">
        <f>+Baseline_NaturalGas!P27</f>
        <v>6.39755565092754</v>
      </c>
      <c r="P906" s="375">
        <f>+Baseline_NaturalGas!Q27</f>
        <v>6.39755565092754</v>
      </c>
      <c r="Q906" s="375">
        <f>+Baseline_NaturalGas!R27</f>
        <v>6.39755565092754</v>
      </c>
    </row>
    <row r="907" spans="1:17" ht="14.4">
      <c r="A907" s="370"/>
      <c r="B907" s="379"/>
      <c r="C907" s="379"/>
      <c r="D907" s="379"/>
      <c r="E907" s="379"/>
      <c r="F907" s="379"/>
      <c r="G907" s="379"/>
      <c r="H907" s="379"/>
      <c r="I907" s="379"/>
      <c r="J907" s="379"/>
      <c r="K907" s="379"/>
      <c r="L907" s="379"/>
      <c r="M907" s="379"/>
      <c r="N907" s="379"/>
      <c r="O907" s="379"/>
      <c r="P907" s="379"/>
      <c r="Q907" s="379"/>
    </row>
    <row r="908" spans="1:17" ht="14.4">
      <c r="A908" s="366" t="s">
        <v>102</v>
      </c>
      <c r="B908" s="378">
        <f t="shared" ref="B908" si="241">+SUM(C908:Q908)</f>
        <v>160358.02702356796</v>
      </c>
      <c r="C908" s="375">
        <f>+C905*C906/1000</f>
        <v>9769.3177670325604</v>
      </c>
      <c r="D908" s="375">
        <f t="shared" ref="D908:Q908" si="242">+D905*D906/1000</f>
        <v>9588.8897681369654</v>
      </c>
      <c r="E908" s="375">
        <f t="shared" si="242"/>
        <v>9786.6170382330711</v>
      </c>
      <c r="F908" s="375">
        <f t="shared" si="242"/>
        <v>10173.339661298274</v>
      </c>
      <c r="G908" s="375">
        <f t="shared" si="242"/>
        <v>10181.571106553778</v>
      </c>
      <c r="H908" s="375">
        <f t="shared" si="242"/>
        <v>10567.967699826495</v>
      </c>
      <c r="I908" s="375">
        <f t="shared" si="242"/>
        <v>11143.36933138743</v>
      </c>
      <c r="J908" s="375">
        <f t="shared" si="242"/>
        <v>11143.36933138743</v>
      </c>
      <c r="K908" s="375">
        <f t="shared" si="242"/>
        <v>11143.36933138743</v>
      </c>
      <c r="L908" s="375">
        <f t="shared" si="242"/>
        <v>11143.36933138743</v>
      </c>
      <c r="M908" s="375">
        <f t="shared" si="242"/>
        <v>11143.36933138743</v>
      </c>
      <c r="N908" s="375">
        <f t="shared" si="242"/>
        <v>11143.36933138743</v>
      </c>
      <c r="O908" s="375">
        <f t="shared" si="242"/>
        <v>11143.36933138743</v>
      </c>
      <c r="P908" s="375">
        <f t="shared" si="242"/>
        <v>11143.36933138743</v>
      </c>
      <c r="Q908" s="375">
        <f t="shared" si="242"/>
        <v>11143.36933138743</v>
      </c>
    </row>
    <row r="909" spans="1:17" ht="14.4">
      <c r="A909" s="370"/>
      <c r="B909" s="373"/>
      <c r="C909" s="373"/>
      <c r="D909" s="373"/>
      <c r="E909" s="373"/>
      <c r="F909" s="373"/>
      <c r="G909" s="373"/>
      <c r="H909" s="373"/>
      <c r="I909" s="373"/>
      <c r="J909" s="373"/>
      <c r="K909" s="373"/>
      <c r="L909" s="373"/>
      <c r="M909" s="373"/>
      <c r="N909" s="373"/>
      <c r="O909" s="373"/>
      <c r="P909" s="373"/>
      <c r="Q909" s="373"/>
    </row>
    <row r="910" spans="1:17" ht="14.4">
      <c r="A910" s="370"/>
      <c r="B910" s="379"/>
      <c r="C910" s="379"/>
      <c r="D910" s="379"/>
      <c r="E910" s="379"/>
      <c r="F910" s="379"/>
      <c r="G910" s="379"/>
      <c r="H910" s="379"/>
      <c r="I910" s="379"/>
      <c r="J910" s="379"/>
      <c r="K910" s="379"/>
      <c r="L910" s="379"/>
      <c r="M910" s="379"/>
      <c r="N910" s="379"/>
      <c r="O910" s="379"/>
      <c r="P910" s="379"/>
      <c r="Q910" s="379"/>
    </row>
    <row r="911" spans="1:17" ht="14.4">
      <c r="A911" s="366" t="s">
        <v>101</v>
      </c>
      <c r="B911" s="373"/>
      <c r="C911" s="375">
        <f>+C908+C899</f>
        <v>10727.338794532559</v>
      </c>
      <c r="D911" s="375">
        <f t="shared" ref="D911:Q911" si="243">+D908+D899</f>
        <v>10572.585759173966</v>
      </c>
      <c r="E911" s="375">
        <f t="shared" si="243"/>
        <v>10796.676081829863</v>
      </c>
      <c r="F911" s="375">
        <f t="shared" si="243"/>
        <v>11210.46828726346</v>
      </c>
      <c r="G911" s="375">
        <f t="shared" si="243"/>
        <v>11246.494779694831</v>
      </c>
      <c r="H911" s="375">
        <f t="shared" si="243"/>
        <v>11661.431327407727</v>
      </c>
      <c r="I911" s="375">
        <f t="shared" si="243"/>
        <v>12266.13778418784</v>
      </c>
      <c r="J911" s="375">
        <f t="shared" si="243"/>
        <v>12296.227978722891</v>
      </c>
      <c r="K911" s="375">
        <f t="shared" si="243"/>
        <v>12327.124590471481</v>
      </c>
      <c r="L911" s="375">
        <f t="shared" si="243"/>
        <v>12358.849231414933</v>
      </c>
      <c r="M911" s="375">
        <f t="shared" si="243"/>
        <v>12391.42409273567</v>
      </c>
      <c r="N911" s="375">
        <f t="shared" si="243"/>
        <v>12424.871960339802</v>
      </c>
      <c r="O911" s="375">
        <f t="shared" si="243"/>
        <v>12459.216230795726</v>
      </c>
      <c r="P911" s="375">
        <f t="shared" si="243"/>
        <v>12494.480927699869</v>
      </c>
      <c r="Q911" s="375">
        <f t="shared" si="243"/>
        <v>12530.690718481042</v>
      </c>
    </row>
    <row r="912" spans="1:17" ht="14.4">
      <c r="A912" s="370"/>
      <c r="B912" s="379"/>
      <c r="C912" s="379"/>
      <c r="D912" s="379"/>
      <c r="E912" s="379"/>
      <c r="F912" s="379"/>
      <c r="G912" s="379"/>
      <c r="H912" s="379"/>
      <c r="I912" s="379"/>
      <c r="J912" s="379"/>
      <c r="K912" s="379"/>
      <c r="L912" s="379"/>
      <c r="M912" s="379"/>
      <c r="N912" s="379"/>
      <c r="O912" s="379"/>
      <c r="P912" s="379"/>
      <c r="Q912" s="379"/>
    </row>
    <row r="913" spans="1:17" ht="14.4">
      <c r="A913" s="366" t="s">
        <v>73</v>
      </c>
      <c r="B913" s="378">
        <f>+SUM(C913:Q913)</f>
        <v>11487.524395535713</v>
      </c>
      <c r="C913" s="367">
        <f>+Baseline_NaturalGas!$D$5/'Initial Data'!$C$19</f>
        <v>1148.7524395535715</v>
      </c>
      <c r="D913" s="367">
        <f>+Baseline_NaturalGas!$D$5/'Initial Data'!$C$19</f>
        <v>1148.7524395535715</v>
      </c>
      <c r="E913" s="367">
        <f>+Baseline_NaturalGas!$D$5/'Initial Data'!$C$19</f>
        <v>1148.7524395535715</v>
      </c>
      <c r="F913" s="367">
        <f>+Baseline_NaturalGas!$D$5/'Initial Data'!$C$19</f>
        <v>1148.7524395535715</v>
      </c>
      <c r="G913" s="367">
        <f>+Baseline_NaturalGas!$D$5/'Initial Data'!$C$19</f>
        <v>1148.7524395535715</v>
      </c>
      <c r="H913" s="367">
        <f>+Baseline_NaturalGas!$D$5/'Initial Data'!$C$19</f>
        <v>1148.7524395535715</v>
      </c>
      <c r="I913" s="367">
        <f>+Baseline_NaturalGas!$D$5/'Initial Data'!$C$19</f>
        <v>1148.7524395535715</v>
      </c>
      <c r="J913" s="367">
        <f>+Baseline_NaturalGas!$D$5/'Initial Data'!$C$19</f>
        <v>1148.7524395535715</v>
      </c>
      <c r="K913" s="367">
        <f>+Baseline_NaturalGas!$D$5/'Initial Data'!$C$19</f>
        <v>1148.7524395535715</v>
      </c>
      <c r="L913" s="367">
        <f>+Baseline_NaturalGas!$D$5/'Initial Data'!$C$19</f>
        <v>1148.7524395535715</v>
      </c>
      <c r="M913" s="367">
        <v>0</v>
      </c>
      <c r="N913" s="367">
        <v>0</v>
      </c>
      <c r="O913" s="367">
        <v>0</v>
      </c>
      <c r="P913" s="367">
        <v>0</v>
      </c>
      <c r="Q913" s="367">
        <v>0</v>
      </c>
    </row>
    <row r="914" spans="1:17" ht="14.4">
      <c r="A914" s="366" t="s">
        <v>74</v>
      </c>
      <c r="B914" s="378">
        <f>+SUM(C914:Q914)</f>
        <v>11487.524395535713</v>
      </c>
      <c r="C914" s="367">
        <f>SUM(C913:C913)</f>
        <v>1148.7524395535715</v>
      </c>
      <c r="D914" s="367">
        <f t="shared" ref="D914:Q914" si="244">SUM(D913:D913)</f>
        <v>1148.7524395535715</v>
      </c>
      <c r="E914" s="367">
        <f t="shared" si="244"/>
        <v>1148.7524395535715</v>
      </c>
      <c r="F914" s="367">
        <f t="shared" si="244"/>
        <v>1148.7524395535715</v>
      </c>
      <c r="G914" s="367">
        <f t="shared" si="244"/>
        <v>1148.7524395535715</v>
      </c>
      <c r="H914" s="367">
        <f t="shared" si="244"/>
        <v>1148.7524395535715</v>
      </c>
      <c r="I914" s="367">
        <f t="shared" si="244"/>
        <v>1148.7524395535715</v>
      </c>
      <c r="J914" s="367">
        <f t="shared" si="244"/>
        <v>1148.7524395535715</v>
      </c>
      <c r="K914" s="367">
        <f t="shared" si="244"/>
        <v>1148.7524395535715</v>
      </c>
      <c r="L914" s="367">
        <f t="shared" si="244"/>
        <v>1148.7524395535715</v>
      </c>
      <c r="M914" s="367">
        <f t="shared" si="244"/>
        <v>0</v>
      </c>
      <c r="N914" s="367">
        <f t="shared" si="244"/>
        <v>0</v>
      </c>
      <c r="O914" s="367">
        <f t="shared" si="244"/>
        <v>0</v>
      </c>
      <c r="P914" s="367">
        <f t="shared" si="244"/>
        <v>0</v>
      </c>
      <c r="Q914" s="367">
        <f t="shared" si="244"/>
        <v>0</v>
      </c>
    </row>
    <row r="915" spans="1:17" ht="14.4">
      <c r="A915" s="90"/>
      <c r="B915" s="388"/>
      <c r="C915" s="373"/>
      <c r="D915" s="373"/>
      <c r="E915" s="373"/>
      <c r="F915" s="373"/>
      <c r="G915" s="373"/>
      <c r="H915" s="373"/>
      <c r="I915" s="373"/>
      <c r="J915" s="373"/>
      <c r="K915" s="373"/>
      <c r="L915" s="373"/>
      <c r="M915" s="373"/>
      <c r="N915" s="373"/>
      <c r="O915" s="373"/>
      <c r="P915" s="373"/>
      <c r="Q915" s="373"/>
    </row>
    <row r="916" spans="1:17" ht="14.4">
      <c r="A916" s="366" t="s">
        <v>75</v>
      </c>
      <c r="B916" s="378">
        <f>+SUM(C916:Q916)</f>
        <v>189251.54294028736</v>
      </c>
      <c r="C916" s="367">
        <f>+C911+C914</f>
        <v>11876.09123408613</v>
      </c>
      <c r="D916" s="367">
        <f t="shared" ref="D916:Q916" si="245">+D911+D914</f>
        <v>11721.338198727537</v>
      </c>
      <c r="E916" s="367">
        <f t="shared" si="245"/>
        <v>11945.428521383434</v>
      </c>
      <c r="F916" s="367">
        <f t="shared" si="245"/>
        <v>12359.220726817031</v>
      </c>
      <c r="G916" s="367">
        <f t="shared" si="245"/>
        <v>12395.247219248402</v>
      </c>
      <c r="H916" s="367">
        <f t="shared" si="245"/>
        <v>12810.183766961298</v>
      </c>
      <c r="I916" s="367">
        <f t="shared" si="245"/>
        <v>13414.890223741411</v>
      </c>
      <c r="J916" s="367">
        <f t="shared" si="245"/>
        <v>13444.980418276462</v>
      </c>
      <c r="K916" s="367">
        <f t="shared" si="245"/>
        <v>13475.877030025053</v>
      </c>
      <c r="L916" s="367">
        <f t="shared" si="245"/>
        <v>13507.601670968505</v>
      </c>
      <c r="M916" s="367">
        <f t="shared" si="245"/>
        <v>12391.42409273567</v>
      </c>
      <c r="N916" s="367">
        <f t="shared" si="245"/>
        <v>12424.871960339802</v>
      </c>
      <c r="O916" s="367">
        <f t="shared" si="245"/>
        <v>12459.216230795726</v>
      </c>
      <c r="P916" s="367">
        <f t="shared" si="245"/>
        <v>12494.480927699869</v>
      </c>
      <c r="Q916" s="367">
        <f t="shared" si="245"/>
        <v>12530.690718481042</v>
      </c>
    </row>
    <row r="917" spans="1:17">
      <c r="A917" s="74"/>
    </row>
    <row r="918" spans="1:17" ht="14.4">
      <c r="A918" s="366" t="s">
        <v>76</v>
      </c>
      <c r="B918" s="378">
        <f>+SUM(C918:Q918)</f>
        <v>1780325.8010746518</v>
      </c>
      <c r="C918" s="367">
        <f>+C896-C916</f>
        <v>96528.90876591389</v>
      </c>
      <c r="D918" s="367">
        <f t="shared" ref="D918:Q918" si="246">+D896-D916</f>
        <v>99588.91580127248</v>
      </c>
      <c r="E918" s="367">
        <f t="shared" si="246"/>
        <v>102347.94028581656</v>
      </c>
      <c r="F918" s="367">
        <f t="shared" si="246"/>
        <v>104997.21036441592</v>
      </c>
      <c r="G918" s="367">
        <f t="shared" si="246"/>
        <v>108106.33622522958</v>
      </c>
      <c r="H918" s="367">
        <f t="shared" si="246"/>
        <v>110920.84211382869</v>
      </c>
      <c r="I918" s="367">
        <f t="shared" si="246"/>
        <v>113632.12715065375</v>
      </c>
      <c r="J918" s="367">
        <f t="shared" si="246"/>
        <v>117006.89702175246</v>
      </c>
      <c r="K918" s="367">
        <f t="shared" si="246"/>
        <v>120472.11072539668</v>
      </c>
      <c r="L918" s="367">
        <f t="shared" si="246"/>
        <v>124030.19215629848</v>
      </c>
      <c r="M918" s="367">
        <f t="shared" si="246"/>
        <v>128832.38260910205</v>
      </c>
      <c r="N918" s="367">
        <f t="shared" si="246"/>
        <v>132583.73276110715</v>
      </c>
      <c r="O918" s="367">
        <f t="shared" si="246"/>
        <v>136435.61909718602</v>
      </c>
      <c r="P918" s="367">
        <f t="shared" si="246"/>
        <v>140390.73598707179</v>
      </c>
      <c r="Q918" s="367">
        <f t="shared" si="246"/>
        <v>144451.85000960645</v>
      </c>
    </row>
    <row r="919" spans="1:17" ht="14.4">
      <c r="A919" s="369"/>
      <c r="B919" s="373"/>
      <c r="C919" s="373"/>
      <c r="D919" s="373"/>
      <c r="E919" s="373"/>
      <c r="F919" s="373"/>
      <c r="G919" s="373"/>
      <c r="H919" s="373"/>
      <c r="I919" s="373"/>
      <c r="J919" s="373"/>
      <c r="K919" s="373"/>
      <c r="L919" s="373"/>
      <c r="M919" s="373"/>
      <c r="N919" s="373"/>
      <c r="O919" s="373"/>
      <c r="P919" s="373"/>
      <c r="Q919" s="373"/>
    </row>
    <row r="920" spans="1:17" ht="14.4">
      <c r="A920" s="366" t="s">
        <v>222</v>
      </c>
      <c r="B920" s="380">
        <f>+Baseline_NaturalGas!C43</f>
        <v>0.7</v>
      </c>
      <c r="C920" s="367">
        <f>IF((+$B$920*C918)&lt;0,"0",(+$B$920*C918))</f>
        <v>67570.23613613972</v>
      </c>
      <c r="D920" s="367">
        <f t="shared" ref="D920:Q920" si="247">IF((+$B$920*D918)&lt;0,"0",(+$B$920*D918))</f>
        <v>69712.241060890738</v>
      </c>
      <c r="E920" s="367">
        <f t="shared" si="247"/>
        <v>71643.55820007158</v>
      </c>
      <c r="F920" s="367">
        <f t="shared" si="247"/>
        <v>73498.047255091136</v>
      </c>
      <c r="G920" s="367">
        <f t="shared" si="247"/>
        <v>75674.435357660695</v>
      </c>
      <c r="H920" s="367">
        <f t="shared" si="247"/>
        <v>77644.589479680086</v>
      </c>
      <c r="I920" s="367">
        <f t="shared" si="247"/>
        <v>79542.48900545761</v>
      </c>
      <c r="J920" s="367">
        <f t="shared" si="247"/>
        <v>81904.827915226721</v>
      </c>
      <c r="K920" s="367">
        <f t="shared" si="247"/>
        <v>84330.477507777672</v>
      </c>
      <c r="L920" s="367">
        <f t="shared" si="247"/>
        <v>86821.134509408934</v>
      </c>
      <c r="M920" s="367">
        <f t="shared" si="247"/>
        <v>90182.667826371428</v>
      </c>
      <c r="N920" s="367">
        <f t="shared" si="247"/>
        <v>92808.612932774995</v>
      </c>
      <c r="O920" s="367">
        <f t="shared" si="247"/>
        <v>95504.933368030208</v>
      </c>
      <c r="P920" s="367">
        <f t="shared" si="247"/>
        <v>98273.515190950246</v>
      </c>
      <c r="Q920" s="367">
        <f t="shared" si="247"/>
        <v>101116.29500672451</v>
      </c>
    </row>
    <row r="921" spans="1:17" ht="14.4">
      <c r="A921" s="366" t="s">
        <v>77</v>
      </c>
      <c r="B921" s="378">
        <f>+SUM(C921:Q921)</f>
        <v>1246228.0607522563</v>
      </c>
      <c r="C921" s="367">
        <f>SUM(C920:C920)</f>
        <v>67570.23613613972</v>
      </c>
      <c r="D921" s="367">
        <f t="shared" ref="D921:Q921" si="248">SUM(D920:D920)</f>
        <v>69712.241060890738</v>
      </c>
      <c r="E921" s="367">
        <f t="shared" si="248"/>
        <v>71643.55820007158</v>
      </c>
      <c r="F921" s="367">
        <f t="shared" si="248"/>
        <v>73498.047255091136</v>
      </c>
      <c r="G921" s="367">
        <f t="shared" si="248"/>
        <v>75674.435357660695</v>
      </c>
      <c r="H921" s="367">
        <f t="shared" si="248"/>
        <v>77644.589479680086</v>
      </c>
      <c r="I921" s="367">
        <f t="shared" si="248"/>
        <v>79542.48900545761</v>
      </c>
      <c r="J921" s="367">
        <f t="shared" si="248"/>
        <v>81904.827915226721</v>
      </c>
      <c r="K921" s="367">
        <f t="shared" si="248"/>
        <v>84330.477507777672</v>
      </c>
      <c r="L921" s="367">
        <f t="shared" si="248"/>
        <v>86821.134509408934</v>
      </c>
      <c r="M921" s="367">
        <f t="shared" si="248"/>
        <v>90182.667826371428</v>
      </c>
      <c r="N921" s="367">
        <f t="shared" si="248"/>
        <v>92808.612932774995</v>
      </c>
      <c r="O921" s="367">
        <f t="shared" si="248"/>
        <v>95504.933368030208</v>
      </c>
      <c r="P921" s="367">
        <f t="shared" si="248"/>
        <v>98273.515190950246</v>
      </c>
      <c r="Q921" s="367">
        <f t="shared" si="248"/>
        <v>101116.29500672451</v>
      </c>
    </row>
    <row r="922" spans="1:17" ht="14.4">
      <c r="A922" s="369"/>
      <c r="B922" s="373"/>
      <c r="C922" s="373"/>
      <c r="D922" s="373"/>
      <c r="E922" s="373"/>
      <c r="F922" s="373"/>
      <c r="G922" s="373"/>
      <c r="H922" s="373"/>
      <c r="I922" s="373"/>
      <c r="J922" s="373"/>
      <c r="K922" s="373"/>
      <c r="L922" s="373"/>
      <c r="M922" s="373"/>
      <c r="N922" s="373"/>
      <c r="O922" s="373"/>
      <c r="P922" s="373"/>
      <c r="Q922" s="373"/>
    </row>
    <row r="923" spans="1:17" ht="14.4">
      <c r="A923" s="366" t="s">
        <v>78</v>
      </c>
      <c r="B923" s="378">
        <f>+SUM(C923:Q923)</f>
        <v>534097.74032239558</v>
      </c>
      <c r="C923" s="367">
        <f>+C918-C921</f>
        <v>28958.67262977417</v>
      </c>
      <c r="D923" s="367">
        <f t="shared" ref="D923:Q923" si="249">+D918-D921</f>
        <v>29876.674740381743</v>
      </c>
      <c r="E923" s="367">
        <f t="shared" si="249"/>
        <v>30704.382085744975</v>
      </c>
      <c r="F923" s="367">
        <f t="shared" si="249"/>
        <v>31499.163109324785</v>
      </c>
      <c r="G923" s="367">
        <f t="shared" si="249"/>
        <v>32431.900867568882</v>
      </c>
      <c r="H923" s="367">
        <f t="shared" si="249"/>
        <v>33276.252634148608</v>
      </c>
      <c r="I923" s="367">
        <f t="shared" si="249"/>
        <v>34089.638145196135</v>
      </c>
      <c r="J923" s="367">
        <f t="shared" si="249"/>
        <v>35102.069106525742</v>
      </c>
      <c r="K923" s="367">
        <f t="shared" si="249"/>
        <v>36141.633217619004</v>
      </c>
      <c r="L923" s="367">
        <f t="shared" si="249"/>
        <v>37209.057646889545</v>
      </c>
      <c r="M923" s="367">
        <f t="shared" si="249"/>
        <v>38649.714782730618</v>
      </c>
      <c r="N923" s="367">
        <f t="shared" si="249"/>
        <v>39775.119828332157</v>
      </c>
      <c r="O923" s="367">
        <f t="shared" si="249"/>
        <v>40930.685729155812</v>
      </c>
      <c r="P923" s="367">
        <f t="shared" si="249"/>
        <v>42117.220796121546</v>
      </c>
      <c r="Q923" s="367">
        <f t="shared" si="249"/>
        <v>43335.555002881942</v>
      </c>
    </row>
    <row r="924" spans="1:17" ht="14.4">
      <c r="A924" s="395" t="s">
        <v>331</v>
      </c>
      <c r="B924" s="378">
        <f>+SUM(C924:Q924)</f>
        <v>11487.524395535713</v>
      </c>
      <c r="C924" s="377">
        <f>+C913</f>
        <v>1148.7524395535715</v>
      </c>
      <c r="D924" s="377">
        <f t="shared" ref="D924:Q924" si="250">+D913</f>
        <v>1148.7524395535715</v>
      </c>
      <c r="E924" s="377">
        <f t="shared" si="250"/>
        <v>1148.7524395535715</v>
      </c>
      <c r="F924" s="377">
        <f t="shared" si="250"/>
        <v>1148.7524395535715</v>
      </c>
      <c r="G924" s="377">
        <f t="shared" si="250"/>
        <v>1148.7524395535715</v>
      </c>
      <c r="H924" s="377">
        <f t="shared" si="250"/>
        <v>1148.7524395535715</v>
      </c>
      <c r="I924" s="377">
        <f t="shared" si="250"/>
        <v>1148.7524395535715</v>
      </c>
      <c r="J924" s="377">
        <f t="shared" si="250"/>
        <v>1148.7524395535715</v>
      </c>
      <c r="K924" s="377">
        <f t="shared" si="250"/>
        <v>1148.7524395535715</v>
      </c>
      <c r="L924" s="377">
        <f t="shared" si="250"/>
        <v>1148.7524395535715</v>
      </c>
      <c r="M924" s="377">
        <f t="shared" si="250"/>
        <v>0</v>
      </c>
      <c r="N924" s="377">
        <f t="shared" si="250"/>
        <v>0</v>
      </c>
      <c r="O924" s="377">
        <f t="shared" si="250"/>
        <v>0</v>
      </c>
      <c r="P924" s="377">
        <f t="shared" si="250"/>
        <v>0</v>
      </c>
      <c r="Q924" s="377">
        <f t="shared" si="250"/>
        <v>0</v>
      </c>
    </row>
    <row r="925" spans="1:17" ht="14.4">
      <c r="A925" s="395" t="s">
        <v>332</v>
      </c>
      <c r="B925" s="378">
        <f>+Baseline_NaturalGas!C858</f>
        <v>0</v>
      </c>
      <c r="C925" s="367">
        <f>+Baseline_NaturalGas!D858</f>
        <v>0</v>
      </c>
      <c r="D925" s="367">
        <f>+Baseline_NaturalGas!E858</f>
        <v>0</v>
      </c>
      <c r="E925" s="367">
        <f>+Baseline_NaturalGas!F858</f>
        <v>0</v>
      </c>
      <c r="F925" s="367">
        <f>+Baseline_NaturalGas!G858</f>
        <v>0</v>
      </c>
      <c r="G925" s="367">
        <f>+Baseline_NaturalGas!H858</f>
        <v>0</v>
      </c>
      <c r="H925" s="367">
        <f>+Baseline_NaturalGas!I858</f>
        <v>0</v>
      </c>
      <c r="I925" s="367">
        <f>+Baseline_NaturalGas!J858</f>
        <v>0</v>
      </c>
      <c r="J925" s="367">
        <f>+Baseline_NaturalGas!K858</f>
        <v>0</v>
      </c>
      <c r="K925" s="367">
        <f>+Baseline_NaturalGas!L858</f>
        <v>0</v>
      </c>
      <c r="L925" s="367">
        <f>+Baseline_NaturalGas!M858</f>
        <v>0</v>
      </c>
      <c r="M925" s="367">
        <f>+Baseline_NaturalGas!N858</f>
        <v>0</v>
      </c>
      <c r="N925" s="367">
        <f>+Baseline_NaturalGas!O858</f>
        <v>0</v>
      </c>
      <c r="O925" s="367">
        <f>+Baseline_NaturalGas!P858</f>
        <v>0</v>
      </c>
      <c r="P925" s="367">
        <f>+Baseline_NaturalGas!Q858</f>
        <v>0</v>
      </c>
      <c r="Q925" s="367">
        <f>+Baseline_NaturalGas!R858</f>
        <v>0</v>
      </c>
    </row>
    <row r="926" spans="1:17" ht="14.4">
      <c r="A926" s="376"/>
      <c r="B926" s="389"/>
      <c r="C926" s="389"/>
      <c r="D926" s="389"/>
      <c r="E926" s="389"/>
      <c r="F926" s="389"/>
      <c r="G926" s="389"/>
      <c r="H926" s="389"/>
      <c r="I926" s="389"/>
      <c r="J926" s="389"/>
      <c r="K926" s="389"/>
      <c r="L926" s="389"/>
      <c r="M926" s="389"/>
      <c r="N926" s="389"/>
      <c r="O926" s="389"/>
      <c r="P926" s="389"/>
      <c r="Q926" s="389"/>
    </row>
    <row r="927" spans="1:17" ht="14.4">
      <c r="A927" s="366" t="s">
        <v>110</v>
      </c>
      <c r="B927" s="378">
        <f>-Baseline_NaturalGas!$D$5</f>
        <v>-11487.524395535715</v>
      </c>
      <c r="C927" s="367">
        <f>+C923+C924+C925</f>
        <v>30107.425069327743</v>
      </c>
      <c r="D927" s="367">
        <f t="shared" ref="D927:Q927" si="251">+D923+D924+D925</f>
        <v>31025.427179935316</v>
      </c>
      <c r="E927" s="367">
        <f t="shared" si="251"/>
        <v>31853.134525298548</v>
      </c>
      <c r="F927" s="367">
        <f t="shared" si="251"/>
        <v>32647.915548878358</v>
      </c>
      <c r="G927" s="367">
        <f t="shared" si="251"/>
        <v>33580.653307122455</v>
      </c>
      <c r="H927" s="367">
        <f t="shared" si="251"/>
        <v>34425.005073702181</v>
      </c>
      <c r="I927" s="367">
        <f t="shared" si="251"/>
        <v>35238.390584749708</v>
      </c>
      <c r="J927" s="367">
        <f t="shared" si="251"/>
        <v>36250.821546079314</v>
      </c>
      <c r="K927" s="367">
        <f t="shared" si="251"/>
        <v>37290.385657172577</v>
      </c>
      <c r="L927" s="367">
        <f t="shared" si="251"/>
        <v>38357.810086443118</v>
      </c>
      <c r="M927" s="367">
        <f t="shared" si="251"/>
        <v>38649.714782730618</v>
      </c>
      <c r="N927" s="367">
        <f t="shared" si="251"/>
        <v>39775.119828332157</v>
      </c>
      <c r="O927" s="367">
        <f t="shared" si="251"/>
        <v>40930.685729155812</v>
      </c>
      <c r="P927" s="367">
        <f t="shared" si="251"/>
        <v>42117.220796121546</v>
      </c>
      <c r="Q927" s="367">
        <f t="shared" si="251"/>
        <v>43335.555002881942</v>
      </c>
    </row>
    <row r="928" spans="1:17" ht="15.6">
      <c r="A928" s="366" t="s">
        <v>51</v>
      </c>
      <c r="B928" s="132">
        <f>IRR(B927:Q927)</f>
        <v>2.6502178227737527</v>
      </c>
      <c r="C928" s="390"/>
      <c r="D928" s="390"/>
      <c r="E928" s="390"/>
      <c r="F928" s="390"/>
      <c r="G928" s="390"/>
      <c r="H928" s="390"/>
      <c r="I928" s="390"/>
      <c r="J928" s="390"/>
      <c r="K928" s="390"/>
      <c r="L928" s="390"/>
      <c r="M928" s="390"/>
      <c r="N928" s="390"/>
      <c r="O928" s="390"/>
      <c r="P928" s="390"/>
      <c r="Q928" s="390"/>
    </row>
    <row r="929" spans="1:17" ht="15.6">
      <c r="A929" s="366" t="s">
        <v>267</v>
      </c>
      <c r="B929" s="303">
        <f>NPV('Initial Data'!$C$21/100,B927:Q927)</f>
        <v>199694.46829491752</v>
      </c>
      <c r="C929" s="373"/>
      <c r="D929" s="373"/>
      <c r="E929" s="373"/>
      <c r="F929" s="373"/>
      <c r="G929" s="373"/>
      <c r="H929" s="373"/>
      <c r="I929" s="373"/>
      <c r="J929" s="373"/>
      <c r="K929" s="373"/>
      <c r="L929" s="373"/>
      <c r="M929" s="373"/>
      <c r="N929" s="373"/>
      <c r="O929" s="373"/>
      <c r="P929" s="373"/>
      <c r="Q929" s="373"/>
    </row>
    <row r="931" spans="1:17" ht="14.4">
      <c r="A931" s="417" t="s">
        <v>342</v>
      </c>
      <c r="B931" s="418"/>
      <c r="C931" s="418"/>
      <c r="D931" s="418"/>
      <c r="E931" s="418"/>
      <c r="F931" s="418"/>
      <c r="G931" s="418"/>
      <c r="H931" s="418"/>
      <c r="I931" s="418"/>
      <c r="J931" s="418"/>
      <c r="K931" s="418"/>
      <c r="L931" s="418"/>
      <c r="M931" s="418"/>
      <c r="N931" s="418"/>
      <c r="O931" s="418"/>
      <c r="P931" s="418"/>
      <c r="Q931" s="418"/>
    </row>
    <row r="932" spans="1:17" ht="14.4">
      <c r="A932" s="371" t="s">
        <v>344</v>
      </c>
      <c r="B932" s="372"/>
      <c r="C932" s="372"/>
      <c r="D932" s="372"/>
      <c r="E932" s="372"/>
      <c r="F932" s="372"/>
      <c r="G932" s="372"/>
      <c r="H932" s="372"/>
      <c r="I932" s="372"/>
      <c r="J932" s="372"/>
      <c r="K932" s="372"/>
      <c r="L932" s="372"/>
      <c r="M932" s="372"/>
      <c r="N932" s="372"/>
      <c r="O932" s="372"/>
      <c r="P932" s="372"/>
      <c r="Q932" s="372"/>
    </row>
    <row r="933" spans="1:17" ht="27">
      <c r="A933" s="376"/>
      <c r="B933" s="304" t="s">
        <v>35</v>
      </c>
      <c r="C933" s="352" t="s">
        <v>407</v>
      </c>
      <c r="D933" s="352" t="s">
        <v>408</v>
      </c>
      <c r="E933" s="352" t="s">
        <v>409</v>
      </c>
      <c r="F933" s="352" t="s">
        <v>410</v>
      </c>
      <c r="G933" s="352" t="s">
        <v>411</v>
      </c>
      <c r="H933" s="352" t="s">
        <v>412</v>
      </c>
      <c r="I933" s="352" t="s">
        <v>413</v>
      </c>
      <c r="J933" s="352" t="s">
        <v>414</v>
      </c>
      <c r="K933" s="352" t="s">
        <v>415</v>
      </c>
      <c r="L933" s="352" t="s">
        <v>416</v>
      </c>
      <c r="M933" s="352" t="s">
        <v>417</v>
      </c>
      <c r="N933" s="352" t="s">
        <v>418</v>
      </c>
      <c r="O933" s="352" t="s">
        <v>419</v>
      </c>
      <c r="P933" s="352" t="s">
        <v>420</v>
      </c>
      <c r="Q933" s="352" t="s">
        <v>421</v>
      </c>
    </row>
    <row r="934" spans="1:17" ht="14.4">
      <c r="A934" s="363" t="s">
        <v>290</v>
      </c>
      <c r="B934" s="365"/>
      <c r="C934" s="367">
        <f>+Baseline_NaturalGas!D10</f>
        <v>219000</v>
      </c>
      <c r="D934" s="367">
        <f>+Baseline_NaturalGas!E10</f>
        <v>219000</v>
      </c>
      <c r="E934" s="367">
        <f>+Baseline_NaturalGas!F10</f>
        <v>219000</v>
      </c>
      <c r="F934" s="367">
        <f>+Baseline_NaturalGas!G10</f>
        <v>219000</v>
      </c>
      <c r="G934" s="367">
        <f>+Baseline_NaturalGas!H10</f>
        <v>219000</v>
      </c>
      <c r="H934" s="367">
        <f>+Baseline_NaturalGas!I10</f>
        <v>219000</v>
      </c>
      <c r="I934" s="367">
        <f>+Baseline_NaturalGas!J10</f>
        <v>219000</v>
      </c>
      <c r="J934" s="367">
        <f>+Baseline_NaturalGas!K10</f>
        <v>219000</v>
      </c>
      <c r="K934" s="367">
        <f>+Baseline_NaturalGas!L10</f>
        <v>219000</v>
      </c>
      <c r="L934" s="367">
        <f>+Baseline_NaturalGas!M10</f>
        <v>219000</v>
      </c>
      <c r="M934" s="367">
        <f>+Baseline_NaturalGas!N10</f>
        <v>219000</v>
      </c>
      <c r="N934" s="367">
        <f>+Baseline_NaturalGas!O10</f>
        <v>219000</v>
      </c>
      <c r="O934" s="367">
        <f>+Baseline_NaturalGas!P10</f>
        <v>219000</v>
      </c>
      <c r="P934" s="367">
        <f>+Baseline_NaturalGas!Q10</f>
        <v>219000</v>
      </c>
      <c r="Q934" s="367">
        <f>+Baseline_NaturalGas!R10</f>
        <v>219000</v>
      </c>
    </row>
    <row r="935" spans="1:17" ht="14.4">
      <c r="A935" s="364" t="s">
        <v>291</v>
      </c>
      <c r="B935" s="365"/>
      <c r="C935" s="367">
        <f>'Initial Data'!$C$50-'Initial Data'!$C$51</f>
        <v>70</v>
      </c>
      <c r="D935" s="367">
        <f>'Initial Data'!$C$50-'Initial Data'!$C$51</f>
        <v>70</v>
      </c>
      <c r="E935" s="367">
        <f>'Initial Data'!$C$50-'Initial Data'!$C$51</f>
        <v>70</v>
      </c>
      <c r="F935" s="367">
        <f>'Initial Data'!$C$50-'Initial Data'!$C$51</f>
        <v>70</v>
      </c>
      <c r="G935" s="367">
        <f>'Initial Data'!$C$50-'Initial Data'!$C$51</f>
        <v>70</v>
      </c>
      <c r="H935" s="367">
        <f>'Initial Data'!$C$50-'Initial Data'!$C$51</f>
        <v>70</v>
      </c>
      <c r="I935" s="367">
        <f>'Initial Data'!$C$50-'Initial Data'!$C$51</f>
        <v>70</v>
      </c>
      <c r="J935" s="367">
        <f>'Initial Data'!$C$50-'Initial Data'!$C$51</f>
        <v>70</v>
      </c>
      <c r="K935" s="367">
        <f>'Initial Data'!$C$50-'Initial Data'!$C$51</f>
        <v>70</v>
      </c>
      <c r="L935" s="367">
        <f>'Initial Data'!$C$50-'Initial Data'!$C$51</f>
        <v>70</v>
      </c>
      <c r="M935" s="367">
        <f>'Initial Data'!$C$50-'Initial Data'!$C$51</f>
        <v>70</v>
      </c>
      <c r="N935" s="367">
        <f>'Initial Data'!$C$50-'Initial Data'!$C$51</f>
        <v>70</v>
      </c>
      <c r="O935" s="367">
        <f>'Initial Data'!$C$50-'Initial Data'!$C$51</f>
        <v>70</v>
      </c>
      <c r="P935" s="367">
        <f>'Initial Data'!$C$50-'Initial Data'!$C$51</f>
        <v>70</v>
      </c>
      <c r="Q935" s="367">
        <f>'Initial Data'!$C$50-'Initial Data'!$C$51</f>
        <v>70</v>
      </c>
    </row>
    <row r="936" spans="1:17" ht="14.4">
      <c r="A936" s="366" t="s">
        <v>292</v>
      </c>
      <c r="B936" s="365"/>
      <c r="C936" s="367">
        <f>+Baseline_NaturalGas!D12</f>
        <v>6.4285714285714288</v>
      </c>
      <c r="D936" s="367">
        <f>+Baseline_NaturalGas!E12</f>
        <v>6.6008571428571425</v>
      </c>
      <c r="E936" s="367">
        <f>+Baseline_NaturalGas!F12</f>
        <v>6.7777601142857131</v>
      </c>
      <c r="F936" s="367">
        <f>+Baseline_NaturalGas!G12</f>
        <v>6.9594040853485701</v>
      </c>
      <c r="G936" s="367">
        <f>+Baseline_NaturalGas!H12</f>
        <v>7.1459161148359112</v>
      </c>
      <c r="H936" s="367">
        <f>+Baseline_NaturalGas!I12</f>
        <v>7.3374266667135135</v>
      </c>
      <c r="I936" s="367">
        <f>+Baseline_NaturalGas!J12</f>
        <v>7.5340697013814353</v>
      </c>
      <c r="J936" s="367">
        <f>+Baseline_NaturalGas!K12</f>
        <v>7.7359827693784569</v>
      </c>
      <c r="K936" s="367">
        <f>+Baseline_NaturalGas!L12</f>
        <v>7.943307107597799</v>
      </c>
      <c r="L936" s="367">
        <f>+Baseline_NaturalGas!M12</f>
        <v>8.1561877380814192</v>
      </c>
      <c r="M936" s="367">
        <f>+Baseline_NaturalGas!N12</f>
        <v>8.3747735694620005</v>
      </c>
      <c r="N936" s="367">
        <f>+Baseline_NaturalGas!O12</f>
        <v>8.5992175011235812</v>
      </c>
      <c r="O936" s="367">
        <f>+Baseline_NaturalGas!P12</f>
        <v>8.8296765301536926</v>
      </c>
      <c r="P936" s="367">
        <f>+Baseline_NaturalGas!Q12</f>
        <v>9.066311861161811</v>
      </c>
      <c r="Q936" s="367">
        <f>+Baseline_NaturalGas!R12</f>
        <v>9.3092890190409463</v>
      </c>
    </row>
    <row r="937" spans="1:17" ht="14.4">
      <c r="A937" s="366" t="s">
        <v>293</v>
      </c>
      <c r="B937" s="365"/>
      <c r="C937" s="367">
        <f>+C935*C936</f>
        <v>450</v>
      </c>
      <c r="D937" s="367">
        <f t="shared" ref="D937:Q937" si="252">+D935*D936</f>
        <v>462.06</v>
      </c>
      <c r="E937" s="367">
        <f t="shared" si="252"/>
        <v>474.44320799999991</v>
      </c>
      <c r="F937" s="367">
        <f t="shared" si="252"/>
        <v>487.15828597439992</v>
      </c>
      <c r="G937" s="367">
        <f t="shared" si="252"/>
        <v>500.21412803851376</v>
      </c>
      <c r="H937" s="367">
        <f t="shared" si="252"/>
        <v>513.61986666994596</v>
      </c>
      <c r="I937" s="367">
        <f t="shared" si="252"/>
        <v>527.3848790967005</v>
      </c>
      <c r="J937" s="367">
        <f t="shared" si="252"/>
        <v>541.51879385649192</v>
      </c>
      <c r="K937" s="367">
        <f t="shared" si="252"/>
        <v>556.03149753184596</v>
      </c>
      <c r="L937" s="367">
        <f t="shared" si="252"/>
        <v>570.9331416656994</v>
      </c>
      <c r="M937" s="367">
        <f t="shared" si="252"/>
        <v>586.23414986234002</v>
      </c>
      <c r="N937" s="367">
        <f t="shared" si="252"/>
        <v>601.94522507865065</v>
      </c>
      <c r="O937" s="367">
        <f t="shared" si="252"/>
        <v>618.0773571107585</v>
      </c>
      <c r="P937" s="367">
        <f t="shared" si="252"/>
        <v>634.64183028132675</v>
      </c>
      <c r="Q937" s="367">
        <f t="shared" si="252"/>
        <v>651.65023133286627</v>
      </c>
    </row>
    <row r="938" spans="1:17" ht="14.4">
      <c r="A938" s="370"/>
      <c r="B938" s="373"/>
      <c r="C938" s="373"/>
      <c r="D938" s="373"/>
      <c r="E938" s="373"/>
      <c r="F938" s="373"/>
      <c r="G938" s="373"/>
      <c r="H938" s="373"/>
      <c r="I938" s="373"/>
      <c r="J938" s="373"/>
      <c r="K938" s="373"/>
      <c r="L938" s="373"/>
      <c r="M938" s="373"/>
      <c r="N938" s="373"/>
      <c r="O938" s="373"/>
      <c r="P938" s="373"/>
      <c r="Q938" s="373"/>
    </row>
    <row r="939" spans="1:17" ht="14.4">
      <c r="A939" s="366" t="s">
        <v>294</v>
      </c>
      <c r="B939" s="378">
        <f>+SUM(C939:Q939)</f>
        <v>1790524.8581953994</v>
      </c>
      <c r="C939" s="377">
        <f>C934*C937/1000*'Initial Data'!$C$34/'Initial Data'!$C$33</f>
        <v>98550</v>
      </c>
      <c r="D939" s="377">
        <f>D934*D937/1000*'Initial Data'!$C$34/'Initial Data'!$C$33</f>
        <v>101191.14</v>
      </c>
      <c r="E939" s="377">
        <f>E934*E937/1000*'Initial Data'!$C$34/'Initial Data'!$C$33</f>
        <v>103903.06255199999</v>
      </c>
      <c r="F939" s="377">
        <f>F934*F937/1000*'Initial Data'!$C$34/'Initial Data'!$C$33</f>
        <v>106687.66462839357</v>
      </c>
      <c r="G939" s="377">
        <f>G934*G937/1000*'Initial Data'!$C$34/'Initial Data'!$C$33</f>
        <v>109546.8940404345</v>
      </c>
      <c r="H939" s="377">
        <f>H934*H937/1000*'Initial Data'!$C$34/'Initial Data'!$C$33</f>
        <v>112482.75080071818</v>
      </c>
      <c r="I939" s="377">
        <f>I934*I937/1000*'Initial Data'!$C$34/'Initial Data'!$C$33</f>
        <v>115497.28852217742</v>
      </c>
      <c r="J939" s="377">
        <f>J934*J937/1000*'Initial Data'!$C$34/'Initial Data'!$C$33</f>
        <v>118592.61585457173</v>
      </c>
      <c r="K939" s="377">
        <f>K934*K937/1000*'Initial Data'!$C$34/'Initial Data'!$C$33</f>
        <v>121770.89795947427</v>
      </c>
      <c r="L939" s="377">
        <f>L934*L937/1000*'Initial Data'!$C$34/'Initial Data'!$C$33</f>
        <v>125034.35802478818</v>
      </c>
      <c r="M939" s="377">
        <f>M934*M937/1000*'Initial Data'!$C$34/'Initial Data'!$C$33</f>
        <v>128385.27881985246</v>
      </c>
      <c r="N939" s="377">
        <f>N934*N937/1000*'Initial Data'!$C$34/'Initial Data'!$C$33</f>
        <v>131826.0042922245</v>
      </c>
      <c r="O939" s="377">
        <f>O934*O937/1000*'Initial Data'!$C$34/'Initial Data'!$C$33</f>
        <v>135358.94120725611</v>
      </c>
      <c r="P939" s="377">
        <f>P934*P937/1000*'Initial Data'!$C$34/'Initial Data'!$C$33</f>
        <v>138986.56083161055</v>
      </c>
      <c r="Q939" s="377">
        <f>Q934*Q937/1000*'Initial Data'!$C$34/'Initial Data'!$C$33</f>
        <v>142711.40066189773</v>
      </c>
    </row>
    <row r="940" spans="1:17" ht="14.4">
      <c r="A940" s="370"/>
      <c r="B940" s="373"/>
      <c r="C940" s="373"/>
      <c r="D940" s="373"/>
      <c r="E940" s="373"/>
      <c r="F940" s="373"/>
      <c r="G940" s="373"/>
      <c r="H940" s="373"/>
      <c r="I940" s="373"/>
      <c r="J940" s="373"/>
      <c r="K940" s="373"/>
      <c r="L940" s="373"/>
      <c r="M940" s="373"/>
      <c r="N940" s="373"/>
      <c r="O940" s="373"/>
      <c r="P940" s="373"/>
      <c r="Q940" s="373"/>
    </row>
    <row r="941" spans="1:17" ht="14.4">
      <c r="A941" s="366" t="s">
        <v>295</v>
      </c>
      <c r="B941" s="378">
        <f>+SUM(C941:Q941)</f>
        <v>1790524.8581953994</v>
      </c>
      <c r="C941" s="367">
        <f>+C939</f>
        <v>98550</v>
      </c>
      <c r="D941" s="367">
        <f t="shared" ref="D941:Q941" si="253">+D939</f>
        <v>101191.14</v>
      </c>
      <c r="E941" s="367">
        <f t="shared" si="253"/>
        <v>103903.06255199999</v>
      </c>
      <c r="F941" s="367">
        <f t="shared" si="253"/>
        <v>106687.66462839357</v>
      </c>
      <c r="G941" s="367">
        <f t="shared" si="253"/>
        <v>109546.8940404345</v>
      </c>
      <c r="H941" s="367">
        <f t="shared" si="253"/>
        <v>112482.75080071818</v>
      </c>
      <c r="I941" s="367">
        <f t="shared" si="253"/>
        <v>115497.28852217742</v>
      </c>
      <c r="J941" s="367">
        <f t="shared" si="253"/>
        <v>118592.61585457173</v>
      </c>
      <c r="K941" s="367">
        <f t="shared" si="253"/>
        <v>121770.89795947427</v>
      </c>
      <c r="L941" s="367">
        <f t="shared" si="253"/>
        <v>125034.35802478818</v>
      </c>
      <c r="M941" s="367">
        <f t="shared" si="253"/>
        <v>128385.27881985246</v>
      </c>
      <c r="N941" s="367">
        <f t="shared" si="253"/>
        <v>131826.0042922245</v>
      </c>
      <c r="O941" s="367">
        <f t="shared" si="253"/>
        <v>135358.94120725611</v>
      </c>
      <c r="P941" s="367">
        <f t="shared" si="253"/>
        <v>138986.56083161055</v>
      </c>
      <c r="Q941" s="367">
        <f t="shared" si="253"/>
        <v>142711.40066189773</v>
      </c>
    </row>
    <row r="942" spans="1:17" ht="14.4">
      <c r="A942" s="370"/>
      <c r="B942" s="374"/>
      <c r="C942" s="374"/>
      <c r="D942" s="374"/>
      <c r="E942" s="374"/>
      <c r="F942" s="374"/>
      <c r="G942" s="374"/>
      <c r="H942" s="374"/>
      <c r="I942" s="374"/>
      <c r="J942" s="374"/>
      <c r="K942" s="374"/>
      <c r="L942" s="374"/>
      <c r="M942" s="374"/>
      <c r="N942" s="374"/>
      <c r="O942" s="374"/>
      <c r="P942" s="374"/>
      <c r="Q942" s="374"/>
    </row>
    <row r="943" spans="1:17" ht="14.4">
      <c r="A943" s="366" t="s">
        <v>68</v>
      </c>
      <c r="B943" s="368"/>
      <c r="C943" s="368"/>
      <c r="D943" s="368"/>
      <c r="E943" s="368"/>
      <c r="F943" s="368"/>
      <c r="G943" s="368"/>
      <c r="H943" s="368"/>
      <c r="I943" s="368"/>
      <c r="J943" s="368"/>
      <c r="K943" s="368"/>
      <c r="L943" s="368"/>
      <c r="M943" s="368"/>
      <c r="N943" s="368"/>
      <c r="O943" s="368"/>
      <c r="P943" s="368"/>
      <c r="Q943" s="368"/>
    </row>
    <row r="944" spans="1:17" ht="14.4">
      <c r="A944" s="366" t="s">
        <v>330</v>
      </c>
      <c r="B944" s="378">
        <f>+SUM(C944:Q944)</f>
        <v>17405.991521183645</v>
      </c>
      <c r="C944" s="367">
        <f>+Baseline_NaturalGas!D20</f>
        <v>958.02102749999995</v>
      </c>
      <c r="D944" s="367">
        <f>+Baseline_NaturalGas!E20</f>
        <v>983.69599103699989</v>
      </c>
      <c r="E944" s="367">
        <f>+Baseline_NaturalGas!F20</f>
        <v>1010.0590435967914</v>
      </c>
      <c r="F944" s="367">
        <f>+Baseline_NaturalGas!G20</f>
        <v>1037.1286259651854</v>
      </c>
      <c r="G944" s="367">
        <f>+Baseline_NaturalGas!H20</f>
        <v>1064.9236731410524</v>
      </c>
      <c r="H944" s="367">
        <f>+Baseline_NaturalGas!I20</f>
        <v>1093.4636275812325</v>
      </c>
      <c r="I944" s="367">
        <f>+Baseline_NaturalGas!J20</f>
        <v>1122.7684528004095</v>
      </c>
      <c r="J944" s="367">
        <f>+Baseline_NaturalGas!K20</f>
        <v>1152.8586473354603</v>
      </c>
      <c r="K944" s="367">
        <f>+Baseline_NaturalGas!L20</f>
        <v>1183.7552590840505</v>
      </c>
      <c r="L944" s="367">
        <f>+Baseline_NaturalGas!M20</f>
        <v>1215.4799000275029</v>
      </c>
      <c r="M944" s="367">
        <f>+Baseline_NaturalGas!N20</f>
        <v>1248.0547613482399</v>
      </c>
      <c r="N944" s="367">
        <f>+Baseline_NaturalGas!O20</f>
        <v>1281.5026289523728</v>
      </c>
      <c r="O944" s="367">
        <f>+Baseline_NaturalGas!P20</f>
        <v>1315.8468994082964</v>
      </c>
      <c r="P944" s="367">
        <f>+Baseline_NaturalGas!Q20</f>
        <v>1351.1115963124387</v>
      </c>
      <c r="Q944" s="367">
        <f>+Baseline_NaturalGas!R20</f>
        <v>1387.321387093612</v>
      </c>
    </row>
    <row r="945" spans="1:17" ht="14.4">
      <c r="A945" s="370"/>
      <c r="B945" s="369"/>
      <c r="C945" s="369"/>
      <c r="D945" s="369"/>
      <c r="E945" s="369"/>
      <c r="F945" s="369"/>
      <c r="G945" s="369"/>
      <c r="H945" s="369"/>
      <c r="I945" s="369"/>
      <c r="J945" s="369"/>
      <c r="K945" s="369"/>
      <c r="L945" s="369"/>
      <c r="M945" s="369"/>
      <c r="N945" s="369"/>
      <c r="O945" s="369"/>
      <c r="P945" s="369"/>
      <c r="Q945" s="369"/>
    </row>
    <row r="946" spans="1:17" ht="14.4">
      <c r="A946" s="366" t="s">
        <v>71</v>
      </c>
      <c r="B946" s="379"/>
      <c r="C946" s="379"/>
      <c r="D946" s="379"/>
      <c r="E946" s="379"/>
      <c r="F946" s="379"/>
      <c r="G946" s="379"/>
      <c r="H946" s="379"/>
      <c r="I946" s="379"/>
      <c r="J946" s="379"/>
      <c r="K946" s="379"/>
      <c r="L946" s="379"/>
      <c r="M946" s="379"/>
      <c r="N946" s="379"/>
      <c r="O946" s="379"/>
      <c r="P946" s="379"/>
      <c r="Q946" s="379"/>
    </row>
    <row r="947" spans="1:17" ht="14.4">
      <c r="A947" s="370"/>
      <c r="B947" s="379"/>
      <c r="C947" s="379"/>
      <c r="D947" s="379"/>
      <c r="E947" s="379"/>
      <c r="F947" s="379"/>
      <c r="G947" s="379"/>
      <c r="H947" s="379"/>
      <c r="I947" s="379"/>
      <c r="J947" s="379"/>
      <c r="K947" s="379"/>
      <c r="L947" s="379"/>
      <c r="M947" s="379"/>
      <c r="N947" s="379"/>
      <c r="O947" s="379"/>
      <c r="P947" s="379"/>
      <c r="Q947" s="379"/>
    </row>
    <row r="948" spans="1:17" ht="14.4">
      <c r="A948" s="366" t="s">
        <v>64</v>
      </c>
      <c r="B948" s="373"/>
      <c r="C948" s="367">
        <f>+Baseline_NaturalGas!D24</f>
        <v>1656.5089715892002</v>
      </c>
      <c r="D948" s="367">
        <f>+Baseline_NaturalGas!E24</f>
        <v>1656.5089715892002</v>
      </c>
      <c r="E948" s="367">
        <f>+Baseline_NaturalGas!F24</f>
        <v>1656.5089715892002</v>
      </c>
      <c r="F948" s="367">
        <f>+Baseline_NaturalGas!G24</f>
        <v>1656.5089715892002</v>
      </c>
      <c r="G948" s="367">
        <f>+Baseline_NaturalGas!H24</f>
        <v>1656.5089715892002</v>
      </c>
      <c r="H948" s="367">
        <f>+Baseline_NaturalGas!I24</f>
        <v>1656.5089715892002</v>
      </c>
      <c r="I948" s="367">
        <f>+Baseline_NaturalGas!J24</f>
        <v>1656.5089715892002</v>
      </c>
      <c r="J948" s="367">
        <f>+Baseline_NaturalGas!K24</f>
        <v>1656.5089715892002</v>
      </c>
      <c r="K948" s="367">
        <f>+Baseline_NaturalGas!L24</f>
        <v>1656.5089715892002</v>
      </c>
      <c r="L948" s="367">
        <f>+Baseline_NaturalGas!M24</f>
        <v>1656.5089715892002</v>
      </c>
      <c r="M948" s="367">
        <f>+Baseline_NaturalGas!N24</f>
        <v>1656.5089715892002</v>
      </c>
      <c r="N948" s="367">
        <f>+Baseline_NaturalGas!O24</f>
        <v>1656.5089715892002</v>
      </c>
      <c r="O948" s="367">
        <f>+Baseline_NaturalGas!P24</f>
        <v>1656.5089715892002</v>
      </c>
      <c r="P948" s="367">
        <f>+Baseline_NaturalGas!Q24</f>
        <v>1656.5089715892002</v>
      </c>
      <c r="Q948" s="367">
        <f>+Baseline_NaturalGas!R24</f>
        <v>1656.5089715892002</v>
      </c>
    </row>
    <row r="949" spans="1:17" ht="14.4">
      <c r="A949" s="366" t="s">
        <v>108</v>
      </c>
      <c r="B949" s="387">
        <f>+Baseline_NaturalGas!C25</f>
        <v>0.90200000000000002</v>
      </c>
      <c r="C949" s="373"/>
      <c r="D949" s="373"/>
      <c r="E949" s="373"/>
      <c r="F949" s="373"/>
      <c r="G949" s="373"/>
      <c r="H949" s="373"/>
      <c r="I949" s="373"/>
      <c r="J949" s="373"/>
      <c r="K949" s="373"/>
      <c r="L949" s="373"/>
      <c r="M949" s="373"/>
      <c r="N949" s="373"/>
      <c r="O949" s="373"/>
      <c r="P949" s="373"/>
      <c r="Q949" s="373"/>
    </row>
    <row r="950" spans="1:17" ht="14.4">
      <c r="A950" s="366" t="s">
        <v>345</v>
      </c>
      <c r="B950" s="373"/>
      <c r="C950" s="367">
        <f>+Baseline_NaturalGas!D26</f>
        <v>1741816.7092883086</v>
      </c>
      <c r="D950" s="367">
        <f>+Baseline_NaturalGas!E26</f>
        <v>1741816.7092883086</v>
      </c>
      <c r="E950" s="367">
        <f>+Baseline_NaturalGas!F26</f>
        <v>1741816.7092883086</v>
      </c>
      <c r="F950" s="367">
        <f>+Baseline_NaturalGas!G26</f>
        <v>1741816.7092883086</v>
      </c>
      <c r="G950" s="367">
        <f>+Baseline_NaturalGas!H26</f>
        <v>1741816.7092883086</v>
      </c>
      <c r="H950" s="367">
        <f>+Baseline_NaturalGas!I26</f>
        <v>1741816.7092883086</v>
      </c>
      <c r="I950" s="367">
        <f>+Baseline_NaturalGas!J26</f>
        <v>1741816.7092883086</v>
      </c>
      <c r="J950" s="367">
        <f>+Baseline_NaturalGas!K26</f>
        <v>1741816.7092883086</v>
      </c>
      <c r="K950" s="367">
        <f>+Baseline_NaturalGas!L26</f>
        <v>1741816.7092883086</v>
      </c>
      <c r="L950" s="367">
        <f>+Baseline_NaturalGas!M26</f>
        <v>1741816.7092883086</v>
      </c>
      <c r="M950" s="367">
        <f>+Baseline_NaturalGas!N26</f>
        <v>1741816.7092883086</v>
      </c>
      <c r="N950" s="367">
        <f>+Baseline_NaturalGas!O26</f>
        <v>1741816.7092883086</v>
      </c>
      <c r="O950" s="367">
        <f>+Baseline_NaturalGas!P26</f>
        <v>1741816.7092883086</v>
      </c>
      <c r="P950" s="367">
        <f>+Baseline_NaturalGas!Q26</f>
        <v>1741816.7092883086</v>
      </c>
      <c r="Q950" s="367">
        <f>+Baseline_NaturalGas!R26</f>
        <v>1741816.7092883086</v>
      </c>
    </row>
    <row r="951" spans="1:17" ht="14.4">
      <c r="A951" s="366" t="s">
        <v>66</v>
      </c>
      <c r="B951" s="373"/>
      <c r="C951" s="383">
        <f>+Baseline_NaturalGas!D27*(1+$B$7)</f>
        <v>5.0478250343124778</v>
      </c>
      <c r="D951" s="383">
        <f>+Baseline_NaturalGas!E27*(1+$B$7)</f>
        <v>4.9545975447952921</v>
      </c>
      <c r="E951" s="383">
        <f>+Baseline_NaturalGas!F27*(1+$B$7)</f>
        <v>5.0567636005792025</v>
      </c>
      <c r="F951" s="383">
        <f>+Baseline_NaturalGas!G27*(1+$B$7)</f>
        <v>5.2565839139925998</v>
      </c>
      <c r="G951" s="383">
        <f>+Baseline_NaturalGas!H27*(1+$B$7)</f>
        <v>5.26083711738102</v>
      </c>
      <c r="H951" s="383">
        <f>+Baseline_NaturalGas!I27*(1+$B$7)</f>
        <v>5.4604889705817721</v>
      </c>
      <c r="I951" s="383">
        <f>+Baseline_NaturalGas!J27*(1+$B$7)</f>
        <v>5.757800085834786</v>
      </c>
      <c r="J951" s="383">
        <f>+Baseline_NaturalGas!K27*(1+$B$7)</f>
        <v>5.757800085834786</v>
      </c>
      <c r="K951" s="383">
        <f>+Baseline_NaturalGas!L27*(1+$B$7)</f>
        <v>5.757800085834786</v>
      </c>
      <c r="L951" s="383">
        <f>+Baseline_NaturalGas!M27*(1+$B$7)</f>
        <v>5.757800085834786</v>
      </c>
      <c r="M951" s="383">
        <f>+Baseline_NaturalGas!N27*(1+$B$7)</f>
        <v>5.757800085834786</v>
      </c>
      <c r="N951" s="383">
        <f>+Baseline_NaturalGas!O27*(1+$B$7)</f>
        <v>5.757800085834786</v>
      </c>
      <c r="O951" s="383">
        <f>+Baseline_NaturalGas!P27*(1+$B$7)</f>
        <v>5.757800085834786</v>
      </c>
      <c r="P951" s="383">
        <f>+Baseline_NaturalGas!Q27*(1+$B$7)</f>
        <v>5.757800085834786</v>
      </c>
      <c r="Q951" s="383">
        <f>+Baseline_NaturalGas!R27*(1+$B$7)</f>
        <v>5.757800085834786</v>
      </c>
    </row>
    <row r="952" spans="1:17" ht="14.4">
      <c r="A952" s="370"/>
      <c r="B952" s="379"/>
      <c r="C952" s="379"/>
      <c r="D952" s="379"/>
      <c r="E952" s="379"/>
      <c r="F952" s="379"/>
      <c r="G952" s="379"/>
      <c r="H952" s="379"/>
      <c r="I952" s="379"/>
      <c r="J952" s="379"/>
      <c r="K952" s="379"/>
      <c r="L952" s="379"/>
      <c r="M952" s="379"/>
      <c r="N952" s="379"/>
      <c r="O952" s="379"/>
      <c r="P952" s="379"/>
      <c r="Q952" s="379"/>
    </row>
    <row r="953" spans="1:17" ht="14.4">
      <c r="A953" s="366" t="s">
        <v>102</v>
      </c>
      <c r="B953" s="378">
        <f t="shared" ref="B953" si="254">+SUM(C953:Q953)</f>
        <v>144322.22432121122</v>
      </c>
      <c r="C953" s="375">
        <f>+C950*C951/1000</f>
        <v>8792.3859903293032</v>
      </c>
      <c r="D953" s="375">
        <f t="shared" ref="D953:Q953" si="255">+D950*D951/1000</f>
        <v>8630.0007913232694</v>
      </c>
      <c r="E953" s="375">
        <f t="shared" si="255"/>
        <v>8807.9553344097658</v>
      </c>
      <c r="F953" s="375">
        <f t="shared" si="255"/>
        <v>9156.0056951684492</v>
      </c>
      <c r="G953" s="375">
        <f t="shared" si="255"/>
        <v>9163.4139958983997</v>
      </c>
      <c r="H953" s="375">
        <f t="shared" si="255"/>
        <v>9511.1709298438473</v>
      </c>
      <c r="I953" s="375">
        <f t="shared" si="255"/>
        <v>10029.032398248688</v>
      </c>
      <c r="J953" s="375">
        <f t="shared" si="255"/>
        <v>10029.032398248688</v>
      </c>
      <c r="K953" s="375">
        <f t="shared" si="255"/>
        <v>10029.032398248688</v>
      </c>
      <c r="L953" s="375">
        <f t="shared" si="255"/>
        <v>10029.032398248688</v>
      </c>
      <c r="M953" s="375">
        <f t="shared" si="255"/>
        <v>10029.032398248688</v>
      </c>
      <c r="N953" s="375">
        <f t="shared" si="255"/>
        <v>10029.032398248688</v>
      </c>
      <c r="O953" s="375">
        <f t="shared" si="255"/>
        <v>10029.032398248688</v>
      </c>
      <c r="P953" s="375">
        <f t="shared" si="255"/>
        <v>10029.032398248688</v>
      </c>
      <c r="Q953" s="375">
        <f t="shared" si="255"/>
        <v>10029.032398248688</v>
      </c>
    </row>
    <row r="954" spans="1:17" ht="14.4">
      <c r="A954" s="370"/>
      <c r="B954" s="373"/>
      <c r="C954" s="373"/>
      <c r="D954" s="373"/>
      <c r="E954" s="373"/>
      <c r="F954" s="373"/>
      <c r="G954" s="373"/>
      <c r="H954" s="373"/>
      <c r="I954" s="373"/>
      <c r="J954" s="373"/>
      <c r="K954" s="373"/>
      <c r="L954" s="373"/>
      <c r="M954" s="373"/>
      <c r="N954" s="373"/>
      <c r="O954" s="373"/>
      <c r="P954" s="373"/>
      <c r="Q954" s="373"/>
    </row>
    <row r="955" spans="1:17" ht="14.4">
      <c r="A955" s="370"/>
      <c r="B955" s="379"/>
      <c r="C955" s="379"/>
      <c r="D955" s="379"/>
      <c r="E955" s="379"/>
      <c r="F955" s="379"/>
      <c r="G955" s="379"/>
      <c r="H955" s="379"/>
      <c r="I955" s="379"/>
      <c r="J955" s="379"/>
      <c r="K955" s="379"/>
      <c r="L955" s="379"/>
      <c r="M955" s="379"/>
      <c r="N955" s="379"/>
      <c r="O955" s="379"/>
      <c r="P955" s="379"/>
      <c r="Q955" s="379"/>
    </row>
    <row r="956" spans="1:17" ht="14.4">
      <c r="A956" s="366" t="s">
        <v>101</v>
      </c>
      <c r="B956" s="373"/>
      <c r="C956" s="375">
        <f>+C953+C944</f>
        <v>9750.4070178293041</v>
      </c>
      <c r="D956" s="375">
        <f t="shared" ref="D956:Q956" si="256">+D953+D944</f>
        <v>9613.6967823602699</v>
      </c>
      <c r="E956" s="375">
        <f t="shared" si="256"/>
        <v>9818.0143780065573</v>
      </c>
      <c r="F956" s="375">
        <f t="shared" si="256"/>
        <v>10193.134321133635</v>
      </c>
      <c r="G956" s="375">
        <f t="shared" si="256"/>
        <v>10228.337669039453</v>
      </c>
      <c r="H956" s="375">
        <f t="shared" si="256"/>
        <v>10604.634557425079</v>
      </c>
      <c r="I956" s="375">
        <f t="shared" si="256"/>
        <v>11151.800851049098</v>
      </c>
      <c r="J956" s="375">
        <f t="shared" si="256"/>
        <v>11181.891045584149</v>
      </c>
      <c r="K956" s="375">
        <f t="shared" si="256"/>
        <v>11212.787657332738</v>
      </c>
      <c r="L956" s="375">
        <f t="shared" si="256"/>
        <v>11244.512298276191</v>
      </c>
      <c r="M956" s="375">
        <f t="shared" si="256"/>
        <v>11277.087159596927</v>
      </c>
      <c r="N956" s="375">
        <f t="shared" si="256"/>
        <v>11310.53502720106</v>
      </c>
      <c r="O956" s="375">
        <f t="shared" si="256"/>
        <v>11344.879297656984</v>
      </c>
      <c r="P956" s="375">
        <f t="shared" si="256"/>
        <v>11380.143994561127</v>
      </c>
      <c r="Q956" s="375">
        <f t="shared" si="256"/>
        <v>11416.3537853423</v>
      </c>
    </row>
    <row r="957" spans="1:17" ht="14.4">
      <c r="A957" s="370"/>
      <c r="B957" s="379"/>
      <c r="C957" s="379"/>
      <c r="D957" s="379"/>
      <c r="E957" s="379"/>
      <c r="F957" s="379"/>
      <c r="G957" s="379"/>
      <c r="H957" s="379"/>
      <c r="I957" s="379"/>
      <c r="J957" s="379"/>
      <c r="K957" s="379"/>
      <c r="L957" s="379"/>
      <c r="M957" s="379"/>
      <c r="N957" s="379"/>
      <c r="O957" s="379"/>
      <c r="P957" s="379"/>
      <c r="Q957" s="379"/>
    </row>
    <row r="958" spans="1:17" ht="14.4">
      <c r="A958" s="366" t="s">
        <v>73</v>
      </c>
      <c r="B958" s="378">
        <f>+SUM(C958:Q958)</f>
        <v>11487.524395535713</v>
      </c>
      <c r="C958" s="367">
        <f>+Baseline_NaturalGas!$D$5/'Initial Data'!$C$19</f>
        <v>1148.7524395535715</v>
      </c>
      <c r="D958" s="367">
        <f>+Baseline_NaturalGas!$D$5/'Initial Data'!$C$19</f>
        <v>1148.7524395535715</v>
      </c>
      <c r="E958" s="367">
        <f>+Baseline_NaturalGas!$D$5/'Initial Data'!$C$19</f>
        <v>1148.7524395535715</v>
      </c>
      <c r="F958" s="367">
        <f>+Baseline_NaturalGas!$D$5/'Initial Data'!$C$19</f>
        <v>1148.7524395535715</v>
      </c>
      <c r="G958" s="367">
        <f>+Baseline_NaturalGas!$D$5/'Initial Data'!$C$19</f>
        <v>1148.7524395535715</v>
      </c>
      <c r="H958" s="367">
        <f>+Baseline_NaturalGas!$D$5/'Initial Data'!$C$19</f>
        <v>1148.7524395535715</v>
      </c>
      <c r="I958" s="367">
        <f>+Baseline_NaturalGas!$D$5/'Initial Data'!$C$19</f>
        <v>1148.7524395535715</v>
      </c>
      <c r="J958" s="367">
        <f>+Baseline_NaturalGas!$D$5/'Initial Data'!$C$19</f>
        <v>1148.7524395535715</v>
      </c>
      <c r="K958" s="367">
        <f>+Baseline_NaturalGas!$D$5/'Initial Data'!$C$19</f>
        <v>1148.7524395535715</v>
      </c>
      <c r="L958" s="367">
        <f>+Baseline_NaturalGas!$D$5/'Initial Data'!$C$19</f>
        <v>1148.7524395535715</v>
      </c>
      <c r="M958" s="367">
        <v>0</v>
      </c>
      <c r="N958" s="367">
        <v>0</v>
      </c>
      <c r="O958" s="367">
        <v>0</v>
      </c>
      <c r="P958" s="367">
        <v>0</v>
      </c>
      <c r="Q958" s="367">
        <v>0</v>
      </c>
    </row>
    <row r="959" spans="1:17" ht="14.4">
      <c r="A959" s="366" t="s">
        <v>74</v>
      </c>
      <c r="B959" s="378">
        <f>+SUM(C959:Q959)</f>
        <v>11487.524395535713</v>
      </c>
      <c r="C959" s="367">
        <f>SUM(C958:C958)</f>
        <v>1148.7524395535715</v>
      </c>
      <c r="D959" s="367">
        <f t="shared" ref="D959:Q959" si="257">SUM(D958:D958)</f>
        <v>1148.7524395535715</v>
      </c>
      <c r="E959" s="367">
        <f t="shared" si="257"/>
        <v>1148.7524395535715</v>
      </c>
      <c r="F959" s="367">
        <f t="shared" si="257"/>
        <v>1148.7524395535715</v>
      </c>
      <c r="G959" s="367">
        <f t="shared" si="257"/>
        <v>1148.7524395535715</v>
      </c>
      <c r="H959" s="367">
        <f t="shared" si="257"/>
        <v>1148.7524395535715</v>
      </c>
      <c r="I959" s="367">
        <f t="shared" si="257"/>
        <v>1148.7524395535715</v>
      </c>
      <c r="J959" s="367">
        <f t="shared" si="257"/>
        <v>1148.7524395535715</v>
      </c>
      <c r="K959" s="367">
        <f t="shared" si="257"/>
        <v>1148.7524395535715</v>
      </c>
      <c r="L959" s="367">
        <f t="shared" si="257"/>
        <v>1148.7524395535715</v>
      </c>
      <c r="M959" s="367">
        <f t="shared" si="257"/>
        <v>0</v>
      </c>
      <c r="N959" s="367">
        <f t="shared" si="257"/>
        <v>0</v>
      </c>
      <c r="O959" s="367">
        <f t="shared" si="257"/>
        <v>0</v>
      </c>
      <c r="P959" s="367">
        <f t="shared" si="257"/>
        <v>0</v>
      </c>
      <c r="Q959" s="367">
        <f t="shared" si="257"/>
        <v>0</v>
      </c>
    </row>
    <row r="960" spans="1:17" ht="14.4">
      <c r="A960" s="90"/>
      <c r="B960" s="388"/>
      <c r="C960" s="373"/>
      <c r="D960" s="373"/>
      <c r="E960" s="373"/>
      <c r="F960" s="373"/>
      <c r="G960" s="373"/>
      <c r="H960" s="373"/>
      <c r="I960" s="373"/>
      <c r="J960" s="373"/>
      <c r="K960" s="373"/>
      <c r="L960" s="373"/>
      <c r="M960" s="373"/>
      <c r="N960" s="373"/>
      <c r="O960" s="373"/>
      <c r="P960" s="373"/>
      <c r="Q960" s="373"/>
    </row>
    <row r="961" spans="1:17" ht="14.4">
      <c r="A961" s="366" t="s">
        <v>75</v>
      </c>
      <c r="B961" s="378">
        <f>+SUM(C961:Q961)</f>
        <v>173215.74023793061</v>
      </c>
      <c r="C961" s="367">
        <f>+C956+C959</f>
        <v>10899.159457382875</v>
      </c>
      <c r="D961" s="367">
        <f t="shared" ref="D961:Q961" si="258">+D956+D959</f>
        <v>10762.449221913841</v>
      </c>
      <c r="E961" s="367">
        <f t="shared" si="258"/>
        <v>10966.766817560128</v>
      </c>
      <c r="F961" s="367">
        <f t="shared" si="258"/>
        <v>11341.886760687206</v>
      </c>
      <c r="G961" s="367">
        <f t="shared" si="258"/>
        <v>11377.090108593024</v>
      </c>
      <c r="H961" s="367">
        <f t="shared" si="258"/>
        <v>11753.38699697865</v>
      </c>
      <c r="I961" s="367">
        <f t="shared" si="258"/>
        <v>12300.553290602669</v>
      </c>
      <c r="J961" s="367">
        <f t="shared" si="258"/>
        <v>12330.64348513772</v>
      </c>
      <c r="K961" s="367">
        <f t="shared" si="258"/>
        <v>12361.540096886309</v>
      </c>
      <c r="L961" s="367">
        <f t="shared" si="258"/>
        <v>12393.264737829762</v>
      </c>
      <c r="M961" s="367">
        <f t="shared" si="258"/>
        <v>11277.087159596927</v>
      </c>
      <c r="N961" s="367">
        <f t="shared" si="258"/>
        <v>11310.53502720106</v>
      </c>
      <c r="O961" s="367">
        <f t="shared" si="258"/>
        <v>11344.879297656984</v>
      </c>
      <c r="P961" s="367">
        <f t="shared" si="258"/>
        <v>11380.143994561127</v>
      </c>
      <c r="Q961" s="367">
        <f t="shared" si="258"/>
        <v>11416.3537853423</v>
      </c>
    </row>
    <row r="962" spans="1:17">
      <c r="A962" s="74"/>
    </row>
    <row r="963" spans="1:17" ht="14.4">
      <c r="A963" s="366" t="s">
        <v>76</v>
      </c>
      <c r="B963" s="378">
        <f>+SUM(C963:Q963)</f>
        <v>1617309.1179574686</v>
      </c>
      <c r="C963" s="367">
        <f>+C941-C961</f>
        <v>87650.840542617123</v>
      </c>
      <c r="D963" s="367">
        <f t="shared" ref="D963:Q963" si="259">+D941-D961</f>
        <v>90428.690778086166</v>
      </c>
      <c r="E963" s="367">
        <f t="shared" si="259"/>
        <v>92936.29573443986</v>
      </c>
      <c r="F963" s="367">
        <f t="shared" si="259"/>
        <v>95345.777867706362</v>
      </c>
      <c r="G963" s="367">
        <f t="shared" si="259"/>
        <v>98169.803931841481</v>
      </c>
      <c r="H963" s="367">
        <f t="shared" si="259"/>
        <v>100729.36380373953</v>
      </c>
      <c r="I963" s="367">
        <f t="shared" si="259"/>
        <v>103196.73523157476</v>
      </c>
      <c r="J963" s="367">
        <f t="shared" si="259"/>
        <v>106261.97236943402</v>
      </c>
      <c r="K963" s="367">
        <f t="shared" si="259"/>
        <v>109409.35786258796</v>
      </c>
      <c r="L963" s="367">
        <f t="shared" si="259"/>
        <v>112641.09328695841</v>
      </c>
      <c r="M963" s="367">
        <f t="shared" si="259"/>
        <v>117108.19166025554</v>
      </c>
      <c r="N963" s="367">
        <f t="shared" si="259"/>
        <v>120515.46926502345</v>
      </c>
      <c r="O963" s="367">
        <f t="shared" si="259"/>
        <v>124014.06190959913</v>
      </c>
      <c r="P963" s="367">
        <f t="shared" si="259"/>
        <v>127606.41683704942</v>
      </c>
      <c r="Q963" s="367">
        <f t="shared" si="259"/>
        <v>131295.04687655543</v>
      </c>
    </row>
    <row r="964" spans="1:17" ht="14.4">
      <c r="A964" s="369"/>
      <c r="B964" s="373"/>
      <c r="C964" s="373"/>
      <c r="D964" s="373"/>
      <c r="E964" s="373"/>
      <c r="F964" s="373"/>
      <c r="G964" s="373"/>
      <c r="H964" s="373"/>
      <c r="I964" s="373"/>
      <c r="J964" s="373"/>
      <c r="K964" s="373"/>
      <c r="L964" s="373"/>
      <c r="M964" s="373"/>
      <c r="N964" s="373"/>
      <c r="O964" s="373"/>
      <c r="P964" s="373"/>
      <c r="Q964" s="373"/>
    </row>
    <row r="965" spans="1:17" ht="14.4">
      <c r="A965" s="366" t="s">
        <v>222</v>
      </c>
      <c r="B965" s="380">
        <f>+Baseline_NaturalGas!C43</f>
        <v>0.7</v>
      </c>
      <c r="C965" s="367">
        <f>IF((+$B$965*C963)&lt;0,"0",(+$B$965*C963))</f>
        <v>61355.588379831985</v>
      </c>
      <c r="D965" s="367">
        <f t="shared" ref="D965:Q965" si="260">IF((+$B$965*D963)&lt;0,"0",(+$B$965*D963))</f>
        <v>63300.083544660309</v>
      </c>
      <c r="E965" s="367">
        <f t="shared" si="260"/>
        <v>65055.407014107899</v>
      </c>
      <c r="F965" s="367">
        <f t="shared" si="260"/>
        <v>66742.044507394443</v>
      </c>
      <c r="G965" s="367">
        <f t="shared" si="260"/>
        <v>68718.862752289031</v>
      </c>
      <c r="H965" s="367">
        <f t="shared" si="260"/>
        <v>70510.554662617666</v>
      </c>
      <c r="I965" s="367">
        <f t="shared" si="260"/>
        <v>72237.714662102328</v>
      </c>
      <c r="J965" s="367">
        <f t="shared" si="260"/>
        <v>74383.380658603812</v>
      </c>
      <c r="K965" s="367">
        <f t="shared" si="260"/>
        <v>76586.550503811566</v>
      </c>
      <c r="L965" s="367">
        <f t="shared" si="260"/>
        <v>78848.765300870873</v>
      </c>
      <c r="M965" s="367">
        <f t="shared" si="260"/>
        <v>81975.73416217888</v>
      </c>
      <c r="N965" s="367">
        <f t="shared" si="260"/>
        <v>84360.828485516409</v>
      </c>
      <c r="O965" s="367">
        <f t="shared" si="260"/>
        <v>86809.843336719379</v>
      </c>
      <c r="P965" s="367">
        <f t="shared" si="260"/>
        <v>89324.491785934588</v>
      </c>
      <c r="Q965" s="367">
        <f t="shared" si="260"/>
        <v>91906.532813588798</v>
      </c>
    </row>
    <row r="966" spans="1:17" ht="14.4">
      <c r="A966" s="366" t="s">
        <v>77</v>
      </c>
      <c r="B966" s="378">
        <f>+SUM(C966:Q966)</f>
        <v>1132116.3825702278</v>
      </c>
      <c r="C966" s="367">
        <f>SUM(C965:C965)</f>
        <v>61355.588379831985</v>
      </c>
      <c r="D966" s="367">
        <f t="shared" ref="D966:Q966" si="261">SUM(D965:D965)</f>
        <v>63300.083544660309</v>
      </c>
      <c r="E966" s="367">
        <f t="shared" si="261"/>
        <v>65055.407014107899</v>
      </c>
      <c r="F966" s="367">
        <f t="shared" si="261"/>
        <v>66742.044507394443</v>
      </c>
      <c r="G966" s="367">
        <f t="shared" si="261"/>
        <v>68718.862752289031</v>
      </c>
      <c r="H966" s="367">
        <f t="shared" si="261"/>
        <v>70510.554662617666</v>
      </c>
      <c r="I966" s="367">
        <f t="shared" si="261"/>
        <v>72237.714662102328</v>
      </c>
      <c r="J966" s="367">
        <f t="shared" si="261"/>
        <v>74383.380658603812</v>
      </c>
      <c r="K966" s="367">
        <f t="shared" si="261"/>
        <v>76586.550503811566</v>
      </c>
      <c r="L966" s="367">
        <f t="shared" si="261"/>
        <v>78848.765300870873</v>
      </c>
      <c r="M966" s="367">
        <f t="shared" si="261"/>
        <v>81975.73416217888</v>
      </c>
      <c r="N966" s="367">
        <f t="shared" si="261"/>
        <v>84360.828485516409</v>
      </c>
      <c r="O966" s="367">
        <f t="shared" si="261"/>
        <v>86809.843336719379</v>
      </c>
      <c r="P966" s="367">
        <f t="shared" si="261"/>
        <v>89324.491785934588</v>
      </c>
      <c r="Q966" s="367">
        <f t="shared" si="261"/>
        <v>91906.532813588798</v>
      </c>
    </row>
    <row r="967" spans="1:17" ht="14.4">
      <c r="A967" s="369"/>
      <c r="B967" s="373"/>
      <c r="C967" s="373"/>
      <c r="D967" s="373"/>
      <c r="E967" s="373"/>
      <c r="F967" s="373"/>
      <c r="G967" s="373"/>
      <c r="H967" s="373"/>
      <c r="I967" s="373"/>
      <c r="J967" s="373"/>
      <c r="K967" s="373"/>
      <c r="L967" s="373"/>
      <c r="M967" s="373"/>
      <c r="N967" s="373"/>
      <c r="O967" s="373"/>
      <c r="P967" s="373"/>
      <c r="Q967" s="373"/>
    </row>
    <row r="968" spans="1:17" ht="14.4">
      <c r="A968" s="366" t="s">
        <v>78</v>
      </c>
      <c r="B968" s="378">
        <f>+SUM(C968:Q968)</f>
        <v>485192.73538724065</v>
      </c>
      <c r="C968" s="367">
        <f>+C963-C966</f>
        <v>26295.252162785138</v>
      </c>
      <c r="D968" s="367">
        <f t="shared" ref="D968:Q968" si="262">+D963-D966</f>
        <v>27128.607233425857</v>
      </c>
      <c r="E968" s="367">
        <f t="shared" si="262"/>
        <v>27880.888720331961</v>
      </c>
      <c r="F968" s="367">
        <f t="shared" si="262"/>
        <v>28603.733360311919</v>
      </c>
      <c r="G968" s="367">
        <f t="shared" si="262"/>
        <v>29450.94117955245</v>
      </c>
      <c r="H968" s="367">
        <f t="shared" si="262"/>
        <v>30218.809141121863</v>
      </c>
      <c r="I968" s="367">
        <f t="shared" si="262"/>
        <v>30959.020569472428</v>
      </c>
      <c r="J968" s="367">
        <f t="shared" si="262"/>
        <v>31878.591710830209</v>
      </c>
      <c r="K968" s="367">
        <f t="shared" si="262"/>
        <v>32822.807358776394</v>
      </c>
      <c r="L968" s="367">
        <f t="shared" si="262"/>
        <v>33792.327986087534</v>
      </c>
      <c r="M968" s="367">
        <f t="shared" si="262"/>
        <v>35132.457498076663</v>
      </c>
      <c r="N968" s="367">
        <f t="shared" si="262"/>
        <v>36154.640779507041</v>
      </c>
      <c r="O968" s="367">
        <f t="shared" si="262"/>
        <v>37204.218572879749</v>
      </c>
      <c r="P968" s="367">
        <f t="shared" si="262"/>
        <v>38281.925051114828</v>
      </c>
      <c r="Q968" s="367">
        <f t="shared" si="262"/>
        <v>39388.514062966628</v>
      </c>
    </row>
    <row r="969" spans="1:17" ht="14.4">
      <c r="A969" s="395" t="s">
        <v>331</v>
      </c>
      <c r="B969" s="378">
        <f>+SUM(C969:Q969)</f>
        <v>11487.524395535713</v>
      </c>
      <c r="C969" s="377">
        <f>+C958</f>
        <v>1148.7524395535715</v>
      </c>
      <c r="D969" s="377">
        <f t="shared" ref="D969:Q969" si="263">+D958</f>
        <v>1148.7524395535715</v>
      </c>
      <c r="E969" s="377">
        <f t="shared" si="263"/>
        <v>1148.7524395535715</v>
      </c>
      <c r="F969" s="377">
        <f t="shared" si="263"/>
        <v>1148.7524395535715</v>
      </c>
      <c r="G969" s="377">
        <f t="shared" si="263"/>
        <v>1148.7524395535715</v>
      </c>
      <c r="H969" s="377">
        <f t="shared" si="263"/>
        <v>1148.7524395535715</v>
      </c>
      <c r="I969" s="377">
        <f t="shared" si="263"/>
        <v>1148.7524395535715</v>
      </c>
      <c r="J969" s="377">
        <f t="shared" si="263"/>
        <v>1148.7524395535715</v>
      </c>
      <c r="K969" s="377">
        <f t="shared" si="263"/>
        <v>1148.7524395535715</v>
      </c>
      <c r="L969" s="377">
        <f t="shared" si="263"/>
        <v>1148.7524395535715</v>
      </c>
      <c r="M969" s="377">
        <f t="shared" si="263"/>
        <v>0</v>
      </c>
      <c r="N969" s="377">
        <f t="shared" si="263"/>
        <v>0</v>
      </c>
      <c r="O969" s="377">
        <f t="shared" si="263"/>
        <v>0</v>
      </c>
      <c r="P969" s="377">
        <f t="shared" si="263"/>
        <v>0</v>
      </c>
      <c r="Q969" s="377">
        <f t="shared" si="263"/>
        <v>0</v>
      </c>
    </row>
    <row r="970" spans="1:17" ht="14.4">
      <c r="A970" s="395" t="s">
        <v>332</v>
      </c>
      <c r="B970" s="378">
        <f>+Baseline_NaturalGas!C903</f>
        <v>0</v>
      </c>
      <c r="C970" s="367">
        <f>+Baseline_NaturalGas!D903</f>
        <v>0</v>
      </c>
      <c r="D970" s="367">
        <f>+Baseline_NaturalGas!E903</f>
        <v>0</v>
      </c>
      <c r="E970" s="367">
        <f>+Baseline_NaturalGas!F903</f>
        <v>0</v>
      </c>
      <c r="F970" s="367">
        <f>+Baseline_NaturalGas!G903</f>
        <v>0</v>
      </c>
      <c r="G970" s="367">
        <f>+Baseline_NaturalGas!H903</f>
        <v>0</v>
      </c>
      <c r="H970" s="367">
        <f>+Baseline_NaturalGas!I903</f>
        <v>0</v>
      </c>
      <c r="I970" s="367">
        <f>+Baseline_NaturalGas!J903</f>
        <v>0</v>
      </c>
      <c r="J970" s="367">
        <f>+Baseline_NaturalGas!K903</f>
        <v>0</v>
      </c>
      <c r="K970" s="367">
        <f>+Baseline_NaturalGas!L903</f>
        <v>0</v>
      </c>
      <c r="L970" s="367">
        <f>+Baseline_NaturalGas!M903</f>
        <v>0</v>
      </c>
      <c r="M970" s="367">
        <f>+Baseline_NaturalGas!N903</f>
        <v>0</v>
      </c>
      <c r="N970" s="367">
        <f>+Baseline_NaturalGas!O903</f>
        <v>0</v>
      </c>
      <c r="O970" s="367">
        <f>+Baseline_NaturalGas!P903</f>
        <v>0</v>
      </c>
      <c r="P970" s="367">
        <f>+Baseline_NaturalGas!Q903</f>
        <v>0</v>
      </c>
      <c r="Q970" s="367">
        <f>+Baseline_NaturalGas!R903</f>
        <v>0</v>
      </c>
    </row>
    <row r="971" spans="1:17" ht="14.4">
      <c r="A971" s="376"/>
      <c r="B971" s="389"/>
      <c r="C971" s="389"/>
      <c r="D971" s="389"/>
      <c r="E971" s="389"/>
      <c r="F971" s="389"/>
      <c r="G971" s="389"/>
      <c r="H971" s="389"/>
      <c r="I971" s="389"/>
      <c r="J971" s="389"/>
      <c r="K971" s="389"/>
      <c r="L971" s="389"/>
      <c r="M971" s="389"/>
      <c r="N971" s="389"/>
      <c r="O971" s="389"/>
      <c r="P971" s="389"/>
      <c r="Q971" s="389"/>
    </row>
    <row r="972" spans="1:17" ht="14.4">
      <c r="A972" s="366" t="s">
        <v>110</v>
      </c>
      <c r="B972" s="378">
        <f>-Baseline_NaturalGas!$D$5</f>
        <v>-11487.524395535715</v>
      </c>
      <c r="C972" s="367">
        <f>+C968+C969+C970</f>
        <v>27444.004602338711</v>
      </c>
      <c r="D972" s="367">
        <f t="shared" ref="D972:Q972" si="264">+D968+D969+D970</f>
        <v>28277.35967297943</v>
      </c>
      <c r="E972" s="367">
        <f t="shared" si="264"/>
        <v>29029.641159885534</v>
      </c>
      <c r="F972" s="367">
        <f t="shared" si="264"/>
        <v>29752.485799865492</v>
      </c>
      <c r="G972" s="367">
        <f t="shared" si="264"/>
        <v>30599.693619106023</v>
      </c>
      <c r="H972" s="367">
        <f t="shared" si="264"/>
        <v>31367.561580675436</v>
      </c>
      <c r="I972" s="367">
        <f t="shared" si="264"/>
        <v>32107.773009026001</v>
      </c>
      <c r="J972" s="367">
        <f t="shared" si="264"/>
        <v>33027.344150383782</v>
      </c>
      <c r="K972" s="367">
        <f t="shared" si="264"/>
        <v>33971.559798329967</v>
      </c>
      <c r="L972" s="367">
        <f t="shared" si="264"/>
        <v>34941.080425641107</v>
      </c>
      <c r="M972" s="367">
        <f t="shared" si="264"/>
        <v>35132.457498076663</v>
      </c>
      <c r="N972" s="367">
        <f t="shared" si="264"/>
        <v>36154.640779507041</v>
      </c>
      <c r="O972" s="367">
        <f t="shared" si="264"/>
        <v>37204.218572879749</v>
      </c>
      <c r="P972" s="367">
        <f t="shared" si="264"/>
        <v>38281.925051114828</v>
      </c>
      <c r="Q972" s="367">
        <f t="shared" si="264"/>
        <v>39388.514062966628</v>
      </c>
    </row>
    <row r="973" spans="1:17" ht="15.6">
      <c r="A973" s="366" t="s">
        <v>51</v>
      </c>
      <c r="B973" s="132">
        <f>IRR(B972:Q972)</f>
        <v>2.4181749551184328</v>
      </c>
      <c r="C973" s="390"/>
      <c r="D973" s="390"/>
      <c r="E973" s="390"/>
      <c r="F973" s="390"/>
      <c r="G973" s="390"/>
      <c r="H973" s="390"/>
      <c r="I973" s="390"/>
      <c r="J973" s="390"/>
      <c r="K973" s="390"/>
      <c r="L973" s="390"/>
      <c r="M973" s="390"/>
      <c r="N973" s="390"/>
      <c r="O973" s="390"/>
      <c r="P973" s="390"/>
      <c r="Q973" s="390"/>
    </row>
    <row r="974" spans="1:17" ht="15.6">
      <c r="A974" s="366" t="s">
        <v>267</v>
      </c>
      <c r="B974" s="303">
        <f>NPV('Initial Data'!$C$21/100,B972:Q972)</f>
        <v>180967.39363597514</v>
      </c>
      <c r="C974" s="373"/>
      <c r="D974" s="373"/>
      <c r="E974" s="373"/>
      <c r="F974" s="373"/>
      <c r="G974" s="373"/>
      <c r="H974" s="373"/>
      <c r="I974" s="373"/>
      <c r="J974" s="373"/>
      <c r="K974" s="373"/>
      <c r="L974" s="373"/>
      <c r="M974" s="373"/>
      <c r="N974" s="373"/>
      <c r="O974" s="373"/>
      <c r="P974" s="373"/>
      <c r="Q974" s="373"/>
    </row>
    <row r="976" spans="1:17" ht="14.4">
      <c r="A976" s="417" t="s">
        <v>342</v>
      </c>
      <c r="B976" s="418"/>
      <c r="C976" s="418"/>
      <c r="D976" s="418"/>
      <c r="E976" s="418"/>
      <c r="F976" s="418"/>
      <c r="G976" s="418"/>
      <c r="H976" s="418"/>
      <c r="I976" s="418"/>
      <c r="J976" s="418"/>
      <c r="K976" s="418"/>
      <c r="L976" s="418"/>
      <c r="M976" s="418"/>
      <c r="N976" s="418"/>
      <c r="O976" s="418"/>
      <c r="P976" s="418"/>
      <c r="Q976" s="418"/>
    </row>
    <row r="977" spans="1:17" ht="14.4">
      <c r="A977" s="371" t="s">
        <v>347</v>
      </c>
      <c r="B977" s="372"/>
      <c r="C977" s="372"/>
      <c r="D977" s="372"/>
      <c r="E977" s="372"/>
      <c r="F977" s="372"/>
      <c r="G977" s="372"/>
      <c r="H977" s="372"/>
      <c r="I977" s="372"/>
      <c r="J977" s="372"/>
      <c r="K977" s="372"/>
      <c r="L977" s="372"/>
      <c r="M977" s="372"/>
      <c r="N977" s="372"/>
      <c r="O977" s="372"/>
      <c r="P977" s="372"/>
      <c r="Q977" s="372"/>
    </row>
    <row r="978" spans="1:17" ht="27">
      <c r="A978" s="376"/>
      <c r="B978" s="304" t="s">
        <v>35</v>
      </c>
      <c r="C978" s="352" t="s">
        <v>407</v>
      </c>
      <c r="D978" s="352" t="s">
        <v>408</v>
      </c>
      <c r="E978" s="352" t="s">
        <v>409</v>
      </c>
      <c r="F978" s="352" t="s">
        <v>410</v>
      </c>
      <c r="G978" s="352" t="s">
        <v>411</v>
      </c>
      <c r="H978" s="352" t="s">
        <v>412</v>
      </c>
      <c r="I978" s="352" t="s">
        <v>413</v>
      </c>
      <c r="J978" s="352" t="s">
        <v>414</v>
      </c>
      <c r="K978" s="352" t="s">
        <v>415</v>
      </c>
      <c r="L978" s="352" t="s">
        <v>416</v>
      </c>
      <c r="M978" s="352" t="s">
        <v>417</v>
      </c>
      <c r="N978" s="352" t="s">
        <v>418</v>
      </c>
      <c r="O978" s="352" t="s">
        <v>419</v>
      </c>
      <c r="P978" s="352" t="s">
        <v>420</v>
      </c>
      <c r="Q978" s="352" t="s">
        <v>421</v>
      </c>
    </row>
    <row r="979" spans="1:17" ht="14.4">
      <c r="A979" s="363" t="s">
        <v>290</v>
      </c>
      <c r="B979" s="365"/>
      <c r="C979" s="367">
        <f>+Baseline_NaturalGas!D10</f>
        <v>219000</v>
      </c>
      <c r="D979" s="367">
        <f>+Baseline_NaturalGas!E10</f>
        <v>219000</v>
      </c>
      <c r="E979" s="367">
        <f>+Baseline_NaturalGas!F10</f>
        <v>219000</v>
      </c>
      <c r="F979" s="367">
        <f>+Baseline_NaturalGas!G10</f>
        <v>219000</v>
      </c>
      <c r="G979" s="367">
        <f>+Baseline_NaturalGas!H10</f>
        <v>219000</v>
      </c>
      <c r="H979" s="367">
        <f>+Baseline_NaturalGas!I10</f>
        <v>219000</v>
      </c>
      <c r="I979" s="367">
        <f>+Baseline_NaturalGas!J10</f>
        <v>219000</v>
      </c>
      <c r="J979" s="367">
        <f>+Baseline_NaturalGas!K10</f>
        <v>219000</v>
      </c>
      <c r="K979" s="367">
        <f>+Baseline_NaturalGas!L10</f>
        <v>219000</v>
      </c>
      <c r="L979" s="367">
        <f>+Baseline_NaturalGas!M10</f>
        <v>219000</v>
      </c>
      <c r="M979" s="367">
        <f>+Baseline_NaturalGas!N10</f>
        <v>219000</v>
      </c>
      <c r="N979" s="367">
        <f>+Baseline_NaturalGas!O10</f>
        <v>219000</v>
      </c>
      <c r="O979" s="367">
        <f>+Baseline_NaturalGas!P10</f>
        <v>219000</v>
      </c>
      <c r="P979" s="367">
        <f>+Baseline_NaturalGas!Q10</f>
        <v>219000</v>
      </c>
      <c r="Q979" s="367">
        <f>+Baseline_NaturalGas!R10</f>
        <v>219000</v>
      </c>
    </row>
    <row r="980" spans="1:17" ht="14.4">
      <c r="A980" s="364" t="s">
        <v>291</v>
      </c>
      <c r="B980" s="365"/>
      <c r="C980" s="367">
        <f>+Baseline_NaturalGas!D11</f>
        <v>70</v>
      </c>
      <c r="D980" s="367">
        <f>+Baseline_NaturalGas!E11</f>
        <v>70</v>
      </c>
      <c r="E980" s="367">
        <f>+Baseline_NaturalGas!F11</f>
        <v>70</v>
      </c>
      <c r="F980" s="367">
        <f>+Baseline_NaturalGas!G11</f>
        <v>70</v>
      </c>
      <c r="G980" s="367">
        <f>+Baseline_NaturalGas!H11</f>
        <v>70</v>
      </c>
      <c r="H980" s="367">
        <f>+Baseline_NaturalGas!I11</f>
        <v>70</v>
      </c>
      <c r="I980" s="367">
        <f>+Baseline_NaturalGas!J11</f>
        <v>70</v>
      </c>
      <c r="J980" s="367">
        <f>+Baseline_NaturalGas!K11</f>
        <v>70</v>
      </c>
      <c r="K980" s="367">
        <f>+Baseline_NaturalGas!L11</f>
        <v>70</v>
      </c>
      <c r="L980" s="367">
        <f>+Baseline_NaturalGas!M11</f>
        <v>70</v>
      </c>
      <c r="M980" s="367">
        <f>+Baseline_NaturalGas!N11</f>
        <v>70</v>
      </c>
      <c r="N980" s="367">
        <f>+Baseline_NaturalGas!O11</f>
        <v>70</v>
      </c>
      <c r="O980" s="367">
        <f>+Baseline_NaturalGas!P11</f>
        <v>70</v>
      </c>
      <c r="P980" s="367">
        <f>+Baseline_NaturalGas!Q11</f>
        <v>70</v>
      </c>
      <c r="Q980" s="367">
        <f>+Baseline_NaturalGas!R11</f>
        <v>70</v>
      </c>
    </row>
    <row r="981" spans="1:17" ht="14.4">
      <c r="A981" s="366" t="s">
        <v>292</v>
      </c>
      <c r="B981" s="365"/>
      <c r="C981" s="367">
        <f>+Baseline_NaturalGas!D12</f>
        <v>6.4285714285714288</v>
      </c>
      <c r="D981" s="367">
        <f>+Baseline_NaturalGas!E12</f>
        <v>6.6008571428571425</v>
      </c>
      <c r="E981" s="367">
        <f>+Baseline_NaturalGas!F12</f>
        <v>6.7777601142857131</v>
      </c>
      <c r="F981" s="367">
        <f>+Baseline_NaturalGas!G12</f>
        <v>6.9594040853485701</v>
      </c>
      <c r="G981" s="367">
        <f>+Baseline_NaturalGas!H12</f>
        <v>7.1459161148359112</v>
      </c>
      <c r="H981" s="367">
        <f>+Baseline_NaturalGas!I12</f>
        <v>7.3374266667135135</v>
      </c>
      <c r="I981" s="367">
        <f>+Baseline_NaturalGas!J12</f>
        <v>7.5340697013814353</v>
      </c>
      <c r="J981" s="367">
        <f>+Baseline_NaturalGas!K12</f>
        <v>7.7359827693784569</v>
      </c>
      <c r="K981" s="367">
        <f>+Baseline_NaturalGas!L12</f>
        <v>7.943307107597799</v>
      </c>
      <c r="L981" s="367">
        <f>+Baseline_NaturalGas!M12</f>
        <v>8.1561877380814192</v>
      </c>
      <c r="M981" s="367">
        <f>+Baseline_NaturalGas!N12</f>
        <v>8.3747735694620005</v>
      </c>
      <c r="N981" s="367">
        <f>+Baseline_NaturalGas!O12</f>
        <v>8.5992175011235812</v>
      </c>
      <c r="O981" s="367">
        <f>+Baseline_NaturalGas!P12</f>
        <v>8.8296765301536926</v>
      </c>
      <c r="P981" s="367">
        <f>+Baseline_NaturalGas!Q12</f>
        <v>9.066311861161811</v>
      </c>
      <c r="Q981" s="367">
        <f>+Baseline_NaturalGas!R12</f>
        <v>9.3092890190409463</v>
      </c>
    </row>
    <row r="982" spans="1:17" ht="14.4">
      <c r="A982" s="366" t="s">
        <v>293</v>
      </c>
      <c r="B982" s="365"/>
      <c r="C982" s="367">
        <f>+C980*C981</f>
        <v>450</v>
      </c>
      <c r="D982" s="367">
        <f t="shared" ref="D982:Q982" si="265">+D980*D981</f>
        <v>462.06</v>
      </c>
      <c r="E982" s="367">
        <f t="shared" si="265"/>
        <v>474.44320799999991</v>
      </c>
      <c r="F982" s="367">
        <f t="shared" si="265"/>
        <v>487.15828597439992</v>
      </c>
      <c r="G982" s="367">
        <f t="shared" si="265"/>
        <v>500.21412803851376</v>
      </c>
      <c r="H982" s="367">
        <f t="shared" si="265"/>
        <v>513.61986666994596</v>
      </c>
      <c r="I982" s="367">
        <f t="shared" si="265"/>
        <v>527.3848790967005</v>
      </c>
      <c r="J982" s="367">
        <f t="shared" si="265"/>
        <v>541.51879385649192</v>
      </c>
      <c r="K982" s="367">
        <f t="shared" si="265"/>
        <v>556.03149753184596</v>
      </c>
      <c r="L982" s="367">
        <f t="shared" si="265"/>
        <v>570.9331416656994</v>
      </c>
      <c r="M982" s="367">
        <f t="shared" si="265"/>
        <v>586.23414986234002</v>
      </c>
      <c r="N982" s="367">
        <f t="shared" si="265"/>
        <v>601.94522507865065</v>
      </c>
      <c r="O982" s="367">
        <f t="shared" si="265"/>
        <v>618.0773571107585</v>
      </c>
      <c r="P982" s="367">
        <f t="shared" si="265"/>
        <v>634.64183028132675</v>
      </c>
      <c r="Q982" s="367">
        <f t="shared" si="265"/>
        <v>651.65023133286627</v>
      </c>
    </row>
    <row r="983" spans="1:17" ht="14.4">
      <c r="A983" s="370"/>
      <c r="B983" s="373"/>
      <c r="C983" s="373"/>
      <c r="D983" s="373"/>
      <c r="E983" s="373"/>
      <c r="F983" s="373"/>
      <c r="G983" s="373"/>
      <c r="H983" s="373"/>
      <c r="I983" s="373"/>
      <c r="J983" s="373"/>
      <c r="K983" s="373"/>
      <c r="L983" s="373"/>
      <c r="M983" s="373"/>
      <c r="N983" s="373"/>
      <c r="O983" s="373"/>
      <c r="P983" s="373"/>
      <c r="Q983" s="373"/>
    </row>
    <row r="984" spans="1:17" ht="14.4">
      <c r="A984" s="366" t="s">
        <v>294</v>
      </c>
      <c r="B984" s="378">
        <f>+SUM(C984:Q984)</f>
        <v>1790524.8581953994</v>
      </c>
      <c r="C984" s="377">
        <f>C979*C982/1000*'Initial Data'!$C$34/'Initial Data'!$C$33</f>
        <v>98550</v>
      </c>
      <c r="D984" s="377">
        <f>D979*D982/1000*'Initial Data'!$C$34/'Initial Data'!$C$33</f>
        <v>101191.14</v>
      </c>
      <c r="E984" s="377">
        <f>E979*E982/1000*'Initial Data'!$C$34/'Initial Data'!$C$33</f>
        <v>103903.06255199999</v>
      </c>
      <c r="F984" s="377">
        <f>F979*F982/1000*'Initial Data'!$C$34/'Initial Data'!$C$33</f>
        <v>106687.66462839357</v>
      </c>
      <c r="G984" s="377">
        <f>G979*G982/1000*'Initial Data'!$C$34/'Initial Data'!$C$33</f>
        <v>109546.8940404345</v>
      </c>
      <c r="H984" s="377">
        <f>H979*H982/1000*'Initial Data'!$C$34/'Initial Data'!$C$33</f>
        <v>112482.75080071818</v>
      </c>
      <c r="I984" s="377">
        <f>I979*I982/1000*'Initial Data'!$C$34/'Initial Data'!$C$33</f>
        <v>115497.28852217742</v>
      </c>
      <c r="J984" s="377">
        <f>J979*J982/1000*'Initial Data'!$C$34/'Initial Data'!$C$33</f>
        <v>118592.61585457173</v>
      </c>
      <c r="K984" s="377">
        <f>K979*K982/1000*'Initial Data'!$C$34/'Initial Data'!$C$33</f>
        <v>121770.89795947427</v>
      </c>
      <c r="L984" s="377">
        <f>L979*L982/1000*'Initial Data'!$C$34/'Initial Data'!$C$33</f>
        <v>125034.35802478818</v>
      </c>
      <c r="M984" s="377">
        <f>M979*M982/1000*'Initial Data'!$C$34/'Initial Data'!$C$33</f>
        <v>128385.27881985246</v>
      </c>
      <c r="N984" s="377">
        <f>N979*N982/1000*'Initial Data'!$C$34/'Initial Data'!$C$33</f>
        <v>131826.0042922245</v>
      </c>
      <c r="O984" s="377">
        <f>O979*O982/1000*'Initial Data'!$C$34/'Initial Data'!$C$33</f>
        <v>135358.94120725611</v>
      </c>
      <c r="P984" s="377">
        <f>P979*P982/1000*'Initial Data'!$C$34/'Initial Data'!$C$33</f>
        <v>138986.56083161055</v>
      </c>
      <c r="Q984" s="377">
        <f>Q979*Q982/1000*'Initial Data'!$C$34/'Initial Data'!$C$33</f>
        <v>142711.40066189773</v>
      </c>
    </row>
    <row r="985" spans="1:17" ht="14.4">
      <c r="A985" s="370"/>
      <c r="B985" s="373"/>
      <c r="C985" s="373"/>
      <c r="D985" s="373"/>
      <c r="E985" s="373"/>
      <c r="F985" s="373"/>
      <c r="G985" s="373"/>
      <c r="H985" s="373"/>
      <c r="I985" s="373"/>
      <c r="J985" s="373"/>
      <c r="K985" s="373"/>
      <c r="L985" s="373"/>
      <c r="M985" s="373"/>
      <c r="N985" s="373"/>
      <c r="O985" s="373"/>
      <c r="P985" s="373"/>
      <c r="Q985" s="373"/>
    </row>
    <row r="986" spans="1:17" ht="14.4">
      <c r="A986" s="366" t="s">
        <v>295</v>
      </c>
      <c r="B986" s="378">
        <f>+SUM(C986:Q986)</f>
        <v>1790524.8581953994</v>
      </c>
      <c r="C986" s="367">
        <f>+C984</f>
        <v>98550</v>
      </c>
      <c r="D986" s="367">
        <f t="shared" ref="D986:Q986" si="266">+D984</f>
        <v>101191.14</v>
      </c>
      <c r="E986" s="367">
        <f t="shared" si="266"/>
        <v>103903.06255199999</v>
      </c>
      <c r="F986" s="367">
        <f t="shared" si="266"/>
        <v>106687.66462839357</v>
      </c>
      <c r="G986" s="367">
        <f t="shared" si="266"/>
        <v>109546.8940404345</v>
      </c>
      <c r="H986" s="367">
        <f t="shared" si="266"/>
        <v>112482.75080071818</v>
      </c>
      <c r="I986" s="367">
        <f t="shared" si="266"/>
        <v>115497.28852217742</v>
      </c>
      <c r="J986" s="367">
        <f t="shared" si="266"/>
        <v>118592.61585457173</v>
      </c>
      <c r="K986" s="367">
        <f t="shared" si="266"/>
        <v>121770.89795947427</v>
      </c>
      <c r="L986" s="367">
        <f t="shared" si="266"/>
        <v>125034.35802478818</v>
      </c>
      <c r="M986" s="367">
        <f t="shared" si="266"/>
        <v>128385.27881985246</v>
      </c>
      <c r="N986" s="367">
        <f t="shared" si="266"/>
        <v>131826.0042922245</v>
      </c>
      <c r="O986" s="367">
        <f t="shared" si="266"/>
        <v>135358.94120725611</v>
      </c>
      <c r="P986" s="367">
        <f t="shared" si="266"/>
        <v>138986.56083161055</v>
      </c>
      <c r="Q986" s="367">
        <f t="shared" si="266"/>
        <v>142711.40066189773</v>
      </c>
    </row>
    <row r="987" spans="1:17" ht="14.4">
      <c r="A987" s="370"/>
      <c r="B987" s="374"/>
      <c r="C987" s="374"/>
      <c r="D987" s="374"/>
      <c r="E987" s="374"/>
      <c r="F987" s="374"/>
      <c r="G987" s="374"/>
      <c r="H987" s="374"/>
      <c r="I987" s="374"/>
      <c r="J987" s="374"/>
      <c r="K987" s="374"/>
      <c r="L987" s="374"/>
      <c r="M987" s="374"/>
      <c r="N987" s="374"/>
      <c r="O987" s="374"/>
      <c r="P987" s="374"/>
      <c r="Q987" s="374"/>
    </row>
    <row r="988" spans="1:17" ht="14.4">
      <c r="A988" s="366" t="s">
        <v>68</v>
      </c>
      <c r="B988" s="368"/>
      <c r="C988" s="368"/>
      <c r="D988" s="368"/>
      <c r="E988" s="368"/>
      <c r="F988" s="368"/>
      <c r="G988" s="368"/>
      <c r="H988" s="368"/>
      <c r="I988" s="368"/>
      <c r="J988" s="368"/>
      <c r="K988" s="368"/>
      <c r="L988" s="368"/>
      <c r="M988" s="368"/>
      <c r="N988" s="368"/>
      <c r="O988" s="368"/>
      <c r="P988" s="368"/>
      <c r="Q988" s="368"/>
    </row>
    <row r="989" spans="1:17" ht="14.4">
      <c r="A989" s="366" t="s">
        <v>330</v>
      </c>
      <c r="B989" s="378">
        <f>+SUM(C989:Q989)</f>
        <v>17405.991521183645</v>
      </c>
      <c r="C989" s="367">
        <f>+Baseline_NaturalGas!D20</f>
        <v>958.02102749999995</v>
      </c>
      <c r="D989" s="367">
        <f>+Baseline_NaturalGas!E20</f>
        <v>983.69599103699989</v>
      </c>
      <c r="E989" s="367">
        <f>+Baseline_NaturalGas!F20</f>
        <v>1010.0590435967914</v>
      </c>
      <c r="F989" s="367">
        <f>+Baseline_NaturalGas!G20</f>
        <v>1037.1286259651854</v>
      </c>
      <c r="G989" s="367">
        <f>+Baseline_NaturalGas!H20</f>
        <v>1064.9236731410524</v>
      </c>
      <c r="H989" s="367">
        <f>+Baseline_NaturalGas!I20</f>
        <v>1093.4636275812325</v>
      </c>
      <c r="I989" s="367">
        <f>+Baseline_NaturalGas!J20</f>
        <v>1122.7684528004095</v>
      </c>
      <c r="J989" s="367">
        <f>+Baseline_NaturalGas!K20</f>
        <v>1152.8586473354603</v>
      </c>
      <c r="K989" s="367">
        <f>+Baseline_NaturalGas!L20</f>
        <v>1183.7552590840505</v>
      </c>
      <c r="L989" s="367">
        <f>+Baseline_NaturalGas!M20</f>
        <v>1215.4799000275029</v>
      </c>
      <c r="M989" s="367">
        <f>+Baseline_NaturalGas!N20</f>
        <v>1248.0547613482399</v>
      </c>
      <c r="N989" s="367">
        <f>+Baseline_NaturalGas!O20</f>
        <v>1281.5026289523728</v>
      </c>
      <c r="O989" s="367">
        <f>+Baseline_NaturalGas!P20</f>
        <v>1315.8468994082964</v>
      </c>
      <c r="P989" s="367">
        <f>+Baseline_NaturalGas!Q20</f>
        <v>1351.1115963124387</v>
      </c>
      <c r="Q989" s="367">
        <f>+Baseline_NaturalGas!R20</f>
        <v>1387.321387093612</v>
      </c>
    </row>
    <row r="990" spans="1:17" ht="14.4">
      <c r="A990" s="370"/>
      <c r="B990" s="369"/>
      <c r="C990" s="369"/>
      <c r="D990" s="369"/>
      <c r="E990" s="369"/>
      <c r="F990" s="369"/>
      <c r="G990" s="369"/>
      <c r="H990" s="369"/>
      <c r="I990" s="369"/>
      <c r="J990" s="369"/>
      <c r="K990" s="369"/>
      <c r="L990" s="369"/>
      <c r="M990" s="369"/>
      <c r="N990" s="369"/>
      <c r="O990" s="369"/>
      <c r="P990" s="369"/>
      <c r="Q990" s="369"/>
    </row>
    <row r="991" spans="1:17" ht="14.4">
      <c r="A991" s="366" t="s">
        <v>71</v>
      </c>
      <c r="B991" s="379"/>
      <c r="C991" s="379"/>
      <c r="D991" s="379"/>
      <c r="E991" s="379"/>
      <c r="F991" s="379"/>
      <c r="G991" s="379"/>
      <c r="H991" s="379"/>
      <c r="I991" s="379"/>
      <c r="J991" s="379"/>
      <c r="K991" s="379"/>
      <c r="L991" s="379"/>
      <c r="M991" s="379"/>
      <c r="N991" s="379"/>
      <c r="O991" s="379"/>
      <c r="P991" s="379"/>
      <c r="Q991" s="379"/>
    </row>
    <row r="992" spans="1:17" ht="14.4">
      <c r="A992" s="370"/>
      <c r="B992" s="379"/>
      <c r="C992" s="379"/>
      <c r="D992" s="379"/>
      <c r="E992" s="379"/>
      <c r="F992" s="379"/>
      <c r="G992" s="379"/>
      <c r="H992" s="379"/>
      <c r="I992" s="379"/>
      <c r="J992" s="379"/>
      <c r="K992" s="379"/>
      <c r="L992" s="379"/>
      <c r="M992" s="379"/>
      <c r="N992" s="379"/>
      <c r="O992" s="379"/>
      <c r="P992" s="379"/>
      <c r="Q992" s="379"/>
    </row>
    <row r="993" spans="1:17" ht="14.4">
      <c r="A993" s="366" t="s">
        <v>64</v>
      </c>
      <c r="B993" s="373"/>
      <c r="C993" s="367">
        <f>+Baseline_NaturalGas!D24</f>
        <v>1656.5089715892002</v>
      </c>
      <c r="D993" s="367">
        <f>+Baseline_NaturalGas!E24</f>
        <v>1656.5089715892002</v>
      </c>
      <c r="E993" s="367">
        <f>+Baseline_NaturalGas!F24</f>
        <v>1656.5089715892002</v>
      </c>
      <c r="F993" s="367">
        <f>+Baseline_NaturalGas!G24</f>
        <v>1656.5089715892002</v>
      </c>
      <c r="G993" s="367">
        <f>+Baseline_NaturalGas!H24</f>
        <v>1656.5089715892002</v>
      </c>
      <c r="H993" s="367">
        <f>+Baseline_NaturalGas!I24</f>
        <v>1656.5089715892002</v>
      </c>
      <c r="I993" s="367">
        <f>+Baseline_NaturalGas!J24</f>
        <v>1656.5089715892002</v>
      </c>
      <c r="J993" s="367">
        <f>+Baseline_NaturalGas!K24</f>
        <v>1656.5089715892002</v>
      </c>
      <c r="K993" s="367">
        <f>+Baseline_NaturalGas!L24</f>
        <v>1656.5089715892002</v>
      </c>
      <c r="L993" s="367">
        <f>+Baseline_NaturalGas!M24</f>
        <v>1656.5089715892002</v>
      </c>
      <c r="M993" s="367">
        <f>+Baseline_NaturalGas!N24</f>
        <v>1656.5089715892002</v>
      </c>
      <c r="N993" s="367">
        <f>+Baseline_NaturalGas!O24</f>
        <v>1656.5089715892002</v>
      </c>
      <c r="O993" s="367">
        <f>+Baseline_NaturalGas!P24</f>
        <v>1656.5089715892002</v>
      </c>
      <c r="P993" s="367">
        <f>+Baseline_NaturalGas!Q24</f>
        <v>1656.5089715892002</v>
      </c>
      <c r="Q993" s="367">
        <f>+Baseline_NaturalGas!R24</f>
        <v>1656.5089715892002</v>
      </c>
    </row>
    <row r="994" spans="1:17" ht="14.4">
      <c r="A994" s="366" t="s">
        <v>108</v>
      </c>
      <c r="B994" s="387">
        <f>+Baseline_NaturalGas!C25</f>
        <v>0.90200000000000002</v>
      </c>
      <c r="C994" s="373"/>
      <c r="D994" s="373"/>
      <c r="E994" s="373"/>
      <c r="F994" s="373"/>
      <c r="G994" s="373"/>
      <c r="H994" s="373"/>
      <c r="I994" s="373"/>
      <c r="J994" s="373"/>
      <c r="K994" s="373"/>
      <c r="L994" s="373"/>
      <c r="M994" s="373"/>
      <c r="N994" s="373"/>
      <c r="O994" s="373"/>
      <c r="P994" s="373"/>
      <c r="Q994" s="373"/>
    </row>
    <row r="995" spans="1:17" ht="14.4">
      <c r="A995" s="366" t="s">
        <v>345</v>
      </c>
      <c r="B995" s="373"/>
      <c r="C995" s="367">
        <f>+Baseline_NaturalGas!D26</f>
        <v>1741816.7092883086</v>
      </c>
      <c r="D995" s="367">
        <f>+Baseline_NaturalGas!E26</f>
        <v>1741816.7092883086</v>
      </c>
      <c r="E995" s="367">
        <f>+Baseline_NaturalGas!F26</f>
        <v>1741816.7092883086</v>
      </c>
      <c r="F995" s="367">
        <f>+Baseline_NaturalGas!G26</f>
        <v>1741816.7092883086</v>
      </c>
      <c r="G995" s="367">
        <f>+Baseline_NaturalGas!H26</f>
        <v>1741816.7092883086</v>
      </c>
      <c r="H995" s="367">
        <f>+Baseline_NaturalGas!I26</f>
        <v>1741816.7092883086</v>
      </c>
      <c r="I995" s="367">
        <f>+Baseline_NaturalGas!J26</f>
        <v>1741816.7092883086</v>
      </c>
      <c r="J995" s="367">
        <f>+Baseline_NaturalGas!K26</f>
        <v>1741816.7092883086</v>
      </c>
      <c r="K995" s="367">
        <f>+Baseline_NaturalGas!L26</f>
        <v>1741816.7092883086</v>
      </c>
      <c r="L995" s="367">
        <f>+Baseline_NaturalGas!M26</f>
        <v>1741816.7092883086</v>
      </c>
      <c r="M995" s="367">
        <f>+Baseline_NaturalGas!N26</f>
        <v>1741816.7092883086</v>
      </c>
      <c r="N995" s="367">
        <f>+Baseline_NaturalGas!O26</f>
        <v>1741816.7092883086</v>
      </c>
      <c r="O995" s="367">
        <f>+Baseline_NaturalGas!P26</f>
        <v>1741816.7092883086</v>
      </c>
      <c r="P995" s="367">
        <f>+Baseline_NaturalGas!Q26</f>
        <v>1741816.7092883086</v>
      </c>
      <c r="Q995" s="367">
        <f>+Baseline_NaturalGas!R26</f>
        <v>1741816.7092883086</v>
      </c>
    </row>
    <row r="996" spans="1:17" ht="14.4">
      <c r="A996" s="366" t="s">
        <v>66</v>
      </c>
      <c r="B996" s="373"/>
      <c r="C996" s="383">
        <f>+Baseline_NaturalGas!D27*(1+$C$7)</f>
        <v>5.3282597584409483</v>
      </c>
      <c r="D996" s="383">
        <f>+Baseline_NaturalGas!E27*(1+$C$7)</f>
        <v>5.2298529639505862</v>
      </c>
      <c r="E996" s="383">
        <f>+Baseline_NaturalGas!F27*(1+$C$7)</f>
        <v>5.3376949117224903</v>
      </c>
      <c r="F996" s="383">
        <f>+Baseline_NaturalGas!G27*(1+$C$7)</f>
        <v>5.5486163536588542</v>
      </c>
      <c r="G996" s="383">
        <f>+Baseline_NaturalGas!H27*(1+$C$7)</f>
        <v>5.55310584612441</v>
      </c>
      <c r="H996" s="383">
        <f>+Baseline_NaturalGas!I27*(1+$C$7)</f>
        <v>5.7638494689474262</v>
      </c>
      <c r="I996" s="383">
        <f>+Baseline_NaturalGas!J27*(1+$C$7)</f>
        <v>6.077677868381163</v>
      </c>
      <c r="J996" s="383">
        <f>+Baseline_NaturalGas!K27*(1+$C$7)</f>
        <v>6.077677868381163</v>
      </c>
      <c r="K996" s="383">
        <f>+Baseline_NaturalGas!L27*(1+$C$7)</f>
        <v>6.077677868381163</v>
      </c>
      <c r="L996" s="383">
        <f>+Baseline_NaturalGas!M27*(1+$C$7)</f>
        <v>6.077677868381163</v>
      </c>
      <c r="M996" s="383">
        <f>+Baseline_NaturalGas!N27*(1+$C$7)</f>
        <v>6.077677868381163</v>
      </c>
      <c r="N996" s="383">
        <f>+Baseline_NaturalGas!O27*(1+$C$7)</f>
        <v>6.077677868381163</v>
      </c>
      <c r="O996" s="383">
        <f>+Baseline_NaturalGas!P27*(1+$C$7)</f>
        <v>6.077677868381163</v>
      </c>
      <c r="P996" s="383">
        <f>+Baseline_NaturalGas!Q27*(1+$C$7)</f>
        <v>6.077677868381163</v>
      </c>
      <c r="Q996" s="383">
        <f>+Baseline_NaturalGas!R27*(1+$C$7)</f>
        <v>6.077677868381163</v>
      </c>
    </row>
    <row r="997" spans="1:17" ht="14.4">
      <c r="A997" s="370"/>
      <c r="B997" s="379"/>
      <c r="C997" s="379"/>
      <c r="D997" s="379"/>
      <c r="E997" s="379"/>
      <c r="F997" s="379"/>
      <c r="G997" s="379"/>
      <c r="H997" s="379"/>
      <c r="I997" s="379"/>
      <c r="J997" s="379"/>
      <c r="K997" s="379"/>
      <c r="L997" s="379"/>
      <c r="M997" s="379"/>
      <c r="N997" s="379"/>
      <c r="O997" s="379"/>
      <c r="P997" s="379"/>
      <c r="Q997" s="379"/>
    </row>
    <row r="998" spans="1:17" ht="14.4">
      <c r="A998" s="366" t="s">
        <v>102</v>
      </c>
      <c r="B998" s="378">
        <f t="shared" ref="B998" si="267">+SUM(C998:Q998)</f>
        <v>152340.12567238964</v>
      </c>
      <c r="C998" s="375">
        <f>+C995*C996/1000</f>
        <v>9280.8518786809309</v>
      </c>
      <c r="D998" s="375">
        <f t="shared" ref="D998:Q998" si="268">+D995*D996/1000</f>
        <v>9109.4452797301165</v>
      </c>
      <c r="E998" s="375">
        <f t="shared" si="268"/>
        <v>9297.2861863214166</v>
      </c>
      <c r="F998" s="375">
        <f t="shared" si="268"/>
        <v>9664.672678233359</v>
      </c>
      <c r="G998" s="375">
        <f t="shared" si="268"/>
        <v>9672.4925512260888</v>
      </c>
      <c r="H998" s="375">
        <f t="shared" si="268"/>
        <v>10039.569314835171</v>
      </c>
      <c r="I998" s="375">
        <f t="shared" si="268"/>
        <v>10586.200864818058</v>
      </c>
      <c r="J998" s="375">
        <f t="shared" si="268"/>
        <v>10586.200864818058</v>
      </c>
      <c r="K998" s="375">
        <f t="shared" si="268"/>
        <v>10586.200864818058</v>
      </c>
      <c r="L998" s="375">
        <f t="shared" si="268"/>
        <v>10586.200864818058</v>
      </c>
      <c r="M998" s="375">
        <f t="shared" si="268"/>
        <v>10586.200864818058</v>
      </c>
      <c r="N998" s="375">
        <f t="shared" si="268"/>
        <v>10586.200864818058</v>
      </c>
      <c r="O998" s="375">
        <f t="shared" si="268"/>
        <v>10586.200864818058</v>
      </c>
      <c r="P998" s="375">
        <f t="shared" si="268"/>
        <v>10586.200864818058</v>
      </c>
      <c r="Q998" s="375">
        <f t="shared" si="268"/>
        <v>10586.200864818058</v>
      </c>
    </row>
    <row r="999" spans="1:17" ht="14.4">
      <c r="A999" s="370"/>
      <c r="B999" s="373"/>
      <c r="C999" s="373"/>
      <c r="D999" s="373"/>
      <c r="E999" s="373"/>
      <c r="F999" s="373"/>
      <c r="G999" s="373"/>
      <c r="H999" s="373"/>
      <c r="I999" s="373"/>
      <c r="J999" s="373"/>
      <c r="K999" s="373"/>
      <c r="L999" s="373"/>
      <c r="M999" s="373"/>
      <c r="N999" s="373"/>
      <c r="O999" s="373"/>
      <c r="P999" s="373"/>
      <c r="Q999" s="373"/>
    </row>
    <row r="1000" spans="1:17" ht="14.4">
      <c r="A1000" s="370"/>
      <c r="B1000" s="379"/>
      <c r="C1000" s="379"/>
      <c r="D1000" s="379"/>
      <c r="E1000" s="379"/>
      <c r="F1000" s="379"/>
      <c r="G1000" s="379"/>
      <c r="H1000" s="379"/>
      <c r="I1000" s="379"/>
      <c r="J1000" s="379"/>
      <c r="K1000" s="379"/>
      <c r="L1000" s="379"/>
      <c r="M1000" s="379"/>
      <c r="N1000" s="379"/>
      <c r="O1000" s="379"/>
      <c r="P1000" s="379"/>
      <c r="Q1000" s="379"/>
    </row>
    <row r="1001" spans="1:17" ht="14.4">
      <c r="A1001" s="366" t="s">
        <v>101</v>
      </c>
      <c r="B1001" s="373"/>
      <c r="C1001" s="375">
        <f>+C998+C989</f>
        <v>10238.872906180932</v>
      </c>
      <c r="D1001" s="375">
        <f t="shared" ref="D1001:Q1001" si="269">+D998+D989</f>
        <v>10093.141270767117</v>
      </c>
      <c r="E1001" s="375">
        <f t="shared" si="269"/>
        <v>10307.345229918208</v>
      </c>
      <c r="F1001" s="375">
        <f t="shared" si="269"/>
        <v>10701.801304198545</v>
      </c>
      <c r="G1001" s="375">
        <f t="shared" si="269"/>
        <v>10737.416224367142</v>
      </c>
      <c r="H1001" s="375">
        <f t="shared" si="269"/>
        <v>11133.032942416403</v>
      </c>
      <c r="I1001" s="375">
        <f t="shared" si="269"/>
        <v>11708.969317618468</v>
      </c>
      <c r="J1001" s="375">
        <f t="shared" si="269"/>
        <v>11739.059512153519</v>
      </c>
      <c r="K1001" s="375">
        <f t="shared" si="269"/>
        <v>11769.95612390211</v>
      </c>
      <c r="L1001" s="375">
        <f t="shared" si="269"/>
        <v>11801.680764845561</v>
      </c>
      <c r="M1001" s="375">
        <f t="shared" si="269"/>
        <v>11834.255626166298</v>
      </c>
      <c r="N1001" s="375">
        <f t="shared" si="269"/>
        <v>11867.70349377043</v>
      </c>
      <c r="O1001" s="375">
        <f t="shared" si="269"/>
        <v>11902.047764226354</v>
      </c>
      <c r="P1001" s="375">
        <f t="shared" si="269"/>
        <v>11937.312461130497</v>
      </c>
      <c r="Q1001" s="375">
        <f t="shared" si="269"/>
        <v>11973.522251911671</v>
      </c>
    </row>
    <row r="1002" spans="1:17" ht="14.4">
      <c r="A1002" s="370"/>
      <c r="B1002" s="379"/>
      <c r="C1002" s="379"/>
      <c r="D1002" s="379"/>
      <c r="E1002" s="379"/>
      <c r="F1002" s="379"/>
      <c r="G1002" s="379"/>
      <c r="H1002" s="379"/>
      <c r="I1002" s="379"/>
      <c r="J1002" s="379"/>
      <c r="K1002" s="379"/>
      <c r="L1002" s="379"/>
      <c r="M1002" s="379"/>
      <c r="N1002" s="379"/>
      <c r="O1002" s="379"/>
      <c r="P1002" s="379"/>
      <c r="Q1002" s="379"/>
    </row>
    <row r="1003" spans="1:17" ht="14.4">
      <c r="A1003" s="366" t="s">
        <v>73</v>
      </c>
      <c r="B1003" s="378">
        <f>+SUM(C1003:Q1003)</f>
        <v>11487.524395535713</v>
      </c>
      <c r="C1003" s="367">
        <f>+Baseline_NaturalGas!$D$5/'Initial Data'!$C$19</f>
        <v>1148.7524395535715</v>
      </c>
      <c r="D1003" s="367">
        <f>+Baseline_NaturalGas!$D$5/'Initial Data'!$C$19</f>
        <v>1148.7524395535715</v>
      </c>
      <c r="E1003" s="367">
        <f>+Baseline_NaturalGas!$D$5/'Initial Data'!$C$19</f>
        <v>1148.7524395535715</v>
      </c>
      <c r="F1003" s="367">
        <f>+Baseline_NaturalGas!$D$5/'Initial Data'!$C$19</f>
        <v>1148.7524395535715</v>
      </c>
      <c r="G1003" s="367">
        <f>+Baseline_NaturalGas!$D$5/'Initial Data'!$C$19</f>
        <v>1148.7524395535715</v>
      </c>
      <c r="H1003" s="367">
        <f>+Baseline_NaturalGas!$D$5/'Initial Data'!$C$19</f>
        <v>1148.7524395535715</v>
      </c>
      <c r="I1003" s="367">
        <f>+Baseline_NaturalGas!$D$5/'Initial Data'!$C$19</f>
        <v>1148.7524395535715</v>
      </c>
      <c r="J1003" s="367">
        <f>+Baseline_NaturalGas!$D$5/'Initial Data'!$C$19</f>
        <v>1148.7524395535715</v>
      </c>
      <c r="K1003" s="367">
        <f>+Baseline_NaturalGas!$D$5/'Initial Data'!$C$19</f>
        <v>1148.7524395535715</v>
      </c>
      <c r="L1003" s="367">
        <f>+Baseline_NaturalGas!$D$5/'Initial Data'!$C$19</f>
        <v>1148.7524395535715</v>
      </c>
      <c r="M1003" s="367">
        <v>0</v>
      </c>
      <c r="N1003" s="367">
        <v>0</v>
      </c>
      <c r="O1003" s="367">
        <v>0</v>
      </c>
      <c r="P1003" s="367">
        <v>0</v>
      </c>
      <c r="Q1003" s="367">
        <v>0</v>
      </c>
    </row>
    <row r="1004" spans="1:17" ht="14.4">
      <c r="A1004" s="366" t="s">
        <v>74</v>
      </c>
      <c r="B1004" s="378">
        <f>+SUM(C1004:Q1004)</f>
        <v>11487.524395535713</v>
      </c>
      <c r="C1004" s="367">
        <f>SUM(C1003:C1003)</f>
        <v>1148.7524395535715</v>
      </c>
      <c r="D1004" s="367">
        <f t="shared" ref="D1004:Q1004" si="270">SUM(D1003:D1003)</f>
        <v>1148.7524395535715</v>
      </c>
      <c r="E1004" s="367">
        <f t="shared" si="270"/>
        <v>1148.7524395535715</v>
      </c>
      <c r="F1004" s="367">
        <f t="shared" si="270"/>
        <v>1148.7524395535715</v>
      </c>
      <c r="G1004" s="367">
        <f t="shared" si="270"/>
        <v>1148.7524395535715</v>
      </c>
      <c r="H1004" s="367">
        <f t="shared" si="270"/>
        <v>1148.7524395535715</v>
      </c>
      <c r="I1004" s="367">
        <f t="shared" si="270"/>
        <v>1148.7524395535715</v>
      </c>
      <c r="J1004" s="367">
        <f t="shared" si="270"/>
        <v>1148.7524395535715</v>
      </c>
      <c r="K1004" s="367">
        <f t="shared" si="270"/>
        <v>1148.7524395535715</v>
      </c>
      <c r="L1004" s="367">
        <f t="shared" si="270"/>
        <v>1148.7524395535715</v>
      </c>
      <c r="M1004" s="367">
        <f t="shared" si="270"/>
        <v>0</v>
      </c>
      <c r="N1004" s="367">
        <f t="shared" si="270"/>
        <v>0</v>
      </c>
      <c r="O1004" s="367">
        <f t="shared" si="270"/>
        <v>0</v>
      </c>
      <c r="P1004" s="367">
        <f t="shared" si="270"/>
        <v>0</v>
      </c>
      <c r="Q1004" s="367">
        <f t="shared" si="270"/>
        <v>0</v>
      </c>
    </row>
    <row r="1005" spans="1:17" ht="14.4">
      <c r="A1005" s="90"/>
      <c r="B1005" s="388"/>
      <c r="C1005" s="373"/>
      <c r="D1005" s="373"/>
      <c r="E1005" s="373"/>
      <c r="F1005" s="373"/>
      <c r="G1005" s="373"/>
      <c r="H1005" s="373"/>
      <c r="I1005" s="373"/>
      <c r="J1005" s="373"/>
      <c r="K1005" s="373"/>
      <c r="L1005" s="373"/>
      <c r="M1005" s="373"/>
      <c r="N1005" s="373"/>
      <c r="O1005" s="373"/>
      <c r="P1005" s="373"/>
      <c r="Q1005" s="373"/>
    </row>
    <row r="1006" spans="1:17" ht="14.4">
      <c r="A1006" s="366" t="s">
        <v>75</v>
      </c>
      <c r="B1006" s="378">
        <f>+SUM(C1006:Q1006)</f>
        <v>181233.64158910897</v>
      </c>
      <c r="C1006" s="367">
        <f>+C1001+C1004</f>
        <v>11387.625345734503</v>
      </c>
      <c r="D1006" s="367">
        <f t="shared" ref="D1006:Q1006" si="271">+D1001+D1004</f>
        <v>11241.893710320688</v>
      </c>
      <c r="E1006" s="367">
        <f t="shared" si="271"/>
        <v>11456.097669471779</v>
      </c>
      <c r="F1006" s="367">
        <f t="shared" si="271"/>
        <v>11850.553743752116</v>
      </c>
      <c r="G1006" s="367">
        <f t="shared" si="271"/>
        <v>11886.168663920713</v>
      </c>
      <c r="H1006" s="367">
        <f t="shared" si="271"/>
        <v>12281.785381969974</v>
      </c>
      <c r="I1006" s="367">
        <f t="shared" si="271"/>
        <v>12857.721757172039</v>
      </c>
      <c r="J1006" s="367">
        <f t="shared" si="271"/>
        <v>12887.81195170709</v>
      </c>
      <c r="K1006" s="367">
        <f t="shared" si="271"/>
        <v>12918.708563455681</v>
      </c>
      <c r="L1006" s="367">
        <f t="shared" si="271"/>
        <v>12950.433204399133</v>
      </c>
      <c r="M1006" s="367">
        <f t="shared" si="271"/>
        <v>11834.255626166298</v>
      </c>
      <c r="N1006" s="367">
        <f t="shared" si="271"/>
        <v>11867.70349377043</v>
      </c>
      <c r="O1006" s="367">
        <f t="shared" si="271"/>
        <v>11902.047764226354</v>
      </c>
      <c r="P1006" s="367">
        <f t="shared" si="271"/>
        <v>11937.312461130497</v>
      </c>
      <c r="Q1006" s="367">
        <f t="shared" si="271"/>
        <v>11973.522251911671</v>
      </c>
    </row>
    <row r="1007" spans="1:17">
      <c r="A1007" s="74"/>
    </row>
    <row r="1008" spans="1:17" ht="14.4">
      <c r="A1008" s="366" t="s">
        <v>76</v>
      </c>
      <c r="B1008" s="378">
        <f>+SUM(C1008:Q1008)</f>
        <v>1609291.2166062905</v>
      </c>
      <c r="C1008" s="367">
        <f>+C986-C1006</f>
        <v>87162.374654265499</v>
      </c>
      <c r="D1008" s="367">
        <f t="shared" ref="D1008:Q1008" si="272">+D986-D1006</f>
        <v>89949.246289679315</v>
      </c>
      <c r="E1008" s="367">
        <f t="shared" si="272"/>
        <v>92446.964882528206</v>
      </c>
      <c r="F1008" s="367">
        <f t="shared" si="272"/>
        <v>94837.110884641457</v>
      </c>
      <c r="G1008" s="367">
        <f t="shared" si="272"/>
        <v>97660.725376513787</v>
      </c>
      <c r="H1008" s="367">
        <f t="shared" si="272"/>
        <v>100200.96541874821</v>
      </c>
      <c r="I1008" s="367">
        <f t="shared" si="272"/>
        <v>102639.56676500538</v>
      </c>
      <c r="J1008" s="367">
        <f t="shared" si="272"/>
        <v>105704.80390286465</v>
      </c>
      <c r="K1008" s="367">
        <f t="shared" si="272"/>
        <v>108852.18939601858</v>
      </c>
      <c r="L1008" s="367">
        <f t="shared" si="272"/>
        <v>112083.92482038905</v>
      </c>
      <c r="M1008" s="367">
        <f t="shared" si="272"/>
        <v>116551.02319368617</v>
      </c>
      <c r="N1008" s="367">
        <f t="shared" si="272"/>
        <v>119958.30079845407</v>
      </c>
      <c r="O1008" s="367">
        <f t="shared" si="272"/>
        <v>123456.89344302975</v>
      </c>
      <c r="P1008" s="367">
        <f t="shared" si="272"/>
        <v>127049.24837048005</v>
      </c>
      <c r="Q1008" s="367">
        <f t="shared" si="272"/>
        <v>130737.87840998606</v>
      </c>
    </row>
    <row r="1009" spans="1:17" ht="14.4">
      <c r="A1009" s="369"/>
      <c r="B1009" s="373"/>
      <c r="C1009" s="373"/>
      <c r="D1009" s="373"/>
      <c r="E1009" s="373"/>
      <c r="F1009" s="373"/>
      <c r="G1009" s="373"/>
      <c r="H1009" s="373"/>
      <c r="I1009" s="373"/>
      <c r="J1009" s="373"/>
      <c r="K1009" s="373"/>
      <c r="L1009" s="373"/>
      <c r="M1009" s="373"/>
      <c r="N1009" s="373"/>
      <c r="O1009" s="373"/>
      <c r="P1009" s="373"/>
      <c r="Q1009" s="373"/>
    </row>
    <row r="1010" spans="1:17" ht="14.4">
      <c r="A1010" s="366" t="s">
        <v>222</v>
      </c>
      <c r="B1010" s="380">
        <f>+Baseline_NaturalGas!C43</f>
        <v>0.7</v>
      </c>
      <c r="C1010" s="367">
        <f>IF((+$B$1010*C1008)&lt;0,"0",(+$B$1010*C1008))</f>
        <v>61013.662257985845</v>
      </c>
      <c r="D1010" s="367">
        <f t="shared" ref="D1010:Q1010" si="273">IF((+$B$1010*D1008)&lt;0,"0",(+$B$1010*D1008))</f>
        <v>62964.472402775515</v>
      </c>
      <c r="E1010" s="367">
        <f t="shared" si="273"/>
        <v>64712.875417769741</v>
      </c>
      <c r="F1010" s="367">
        <f t="shared" si="273"/>
        <v>66385.97761924901</v>
      </c>
      <c r="G1010" s="367">
        <f t="shared" si="273"/>
        <v>68362.507763559654</v>
      </c>
      <c r="H1010" s="367">
        <f t="shared" si="273"/>
        <v>70140.675793123737</v>
      </c>
      <c r="I1010" s="367">
        <f t="shared" si="273"/>
        <v>71847.696735503763</v>
      </c>
      <c r="J1010" s="367">
        <f t="shared" si="273"/>
        <v>73993.362732005247</v>
      </c>
      <c r="K1010" s="367">
        <f t="shared" si="273"/>
        <v>76196.532577213002</v>
      </c>
      <c r="L1010" s="367">
        <f t="shared" si="273"/>
        <v>78458.747374272323</v>
      </c>
      <c r="M1010" s="367">
        <f t="shared" si="273"/>
        <v>81585.716235580316</v>
      </c>
      <c r="N1010" s="367">
        <f t="shared" si="273"/>
        <v>83970.810558917845</v>
      </c>
      <c r="O1010" s="367">
        <f t="shared" si="273"/>
        <v>86419.825410120815</v>
      </c>
      <c r="P1010" s="367">
        <f t="shared" si="273"/>
        <v>88934.473859336038</v>
      </c>
      <c r="Q1010" s="367">
        <f t="shared" si="273"/>
        <v>91516.514886990233</v>
      </c>
    </row>
    <row r="1011" spans="1:17" ht="14.4">
      <c r="A1011" s="366" t="s">
        <v>77</v>
      </c>
      <c r="B1011" s="378">
        <f>+SUM(C1011:Q1011)</f>
        <v>1126503.8516244029</v>
      </c>
      <c r="C1011" s="367">
        <f>SUM(C1010:C1010)</f>
        <v>61013.662257985845</v>
      </c>
      <c r="D1011" s="367">
        <f t="shared" ref="D1011:Q1011" si="274">SUM(D1010:D1010)</f>
        <v>62964.472402775515</v>
      </c>
      <c r="E1011" s="367">
        <f t="shared" si="274"/>
        <v>64712.875417769741</v>
      </c>
      <c r="F1011" s="367">
        <f t="shared" si="274"/>
        <v>66385.97761924901</v>
      </c>
      <c r="G1011" s="367">
        <f t="shared" si="274"/>
        <v>68362.507763559654</v>
      </c>
      <c r="H1011" s="367">
        <f t="shared" si="274"/>
        <v>70140.675793123737</v>
      </c>
      <c r="I1011" s="367">
        <f t="shared" si="274"/>
        <v>71847.696735503763</v>
      </c>
      <c r="J1011" s="367">
        <f t="shared" si="274"/>
        <v>73993.362732005247</v>
      </c>
      <c r="K1011" s="367">
        <f t="shared" si="274"/>
        <v>76196.532577213002</v>
      </c>
      <c r="L1011" s="367">
        <f t="shared" si="274"/>
        <v>78458.747374272323</v>
      </c>
      <c r="M1011" s="367">
        <f t="shared" si="274"/>
        <v>81585.716235580316</v>
      </c>
      <c r="N1011" s="367">
        <f t="shared" si="274"/>
        <v>83970.810558917845</v>
      </c>
      <c r="O1011" s="367">
        <f t="shared" si="274"/>
        <v>86419.825410120815</v>
      </c>
      <c r="P1011" s="367">
        <f t="shared" si="274"/>
        <v>88934.473859336038</v>
      </c>
      <c r="Q1011" s="367">
        <f t="shared" si="274"/>
        <v>91516.514886990233</v>
      </c>
    </row>
    <row r="1012" spans="1:17" ht="14.4">
      <c r="A1012" s="369"/>
      <c r="B1012" s="373"/>
      <c r="C1012" s="373"/>
      <c r="D1012" s="373"/>
      <c r="E1012" s="373"/>
      <c r="F1012" s="373"/>
      <c r="G1012" s="373"/>
      <c r="H1012" s="373"/>
      <c r="I1012" s="373"/>
      <c r="J1012" s="373"/>
      <c r="K1012" s="373"/>
      <c r="L1012" s="373"/>
      <c r="M1012" s="373"/>
      <c r="N1012" s="373"/>
      <c r="O1012" s="373"/>
      <c r="P1012" s="373"/>
      <c r="Q1012" s="373"/>
    </row>
    <row r="1013" spans="1:17" ht="14.4">
      <c r="A1013" s="366" t="s">
        <v>78</v>
      </c>
      <c r="B1013" s="378">
        <f>+SUM(C1013:Q1013)</f>
        <v>482787.36498188722</v>
      </c>
      <c r="C1013" s="367">
        <f>+C1008-C1011</f>
        <v>26148.712396279654</v>
      </c>
      <c r="D1013" s="367">
        <f t="shared" ref="D1013:Q1013" si="275">+D1008-D1011</f>
        <v>26984.7738869038</v>
      </c>
      <c r="E1013" s="367">
        <f t="shared" si="275"/>
        <v>27734.089464758465</v>
      </c>
      <c r="F1013" s="367">
        <f t="shared" si="275"/>
        <v>28451.133265392447</v>
      </c>
      <c r="G1013" s="367">
        <f t="shared" si="275"/>
        <v>29298.217612954133</v>
      </c>
      <c r="H1013" s="367">
        <f t="shared" si="275"/>
        <v>30060.289625624471</v>
      </c>
      <c r="I1013" s="367">
        <f t="shared" si="275"/>
        <v>30791.870029501617</v>
      </c>
      <c r="J1013" s="367">
        <f t="shared" si="275"/>
        <v>31711.441170859398</v>
      </c>
      <c r="K1013" s="367">
        <f t="shared" si="275"/>
        <v>32655.656818805583</v>
      </c>
      <c r="L1013" s="367">
        <f t="shared" si="275"/>
        <v>33625.177446116722</v>
      </c>
      <c r="M1013" s="367">
        <f t="shared" si="275"/>
        <v>34965.306958105852</v>
      </c>
      <c r="N1013" s="367">
        <f t="shared" si="275"/>
        <v>35987.49023953623</v>
      </c>
      <c r="O1013" s="367">
        <f t="shared" si="275"/>
        <v>37037.068032908937</v>
      </c>
      <c r="P1013" s="367">
        <f t="shared" si="275"/>
        <v>38114.774511144016</v>
      </c>
      <c r="Q1013" s="367">
        <f t="shared" si="275"/>
        <v>39221.363522995831</v>
      </c>
    </row>
    <row r="1014" spans="1:17" ht="14.4">
      <c r="A1014" s="395" t="s">
        <v>331</v>
      </c>
      <c r="B1014" s="378">
        <f>+SUM(C1014:Q1014)</f>
        <v>11487.524395535713</v>
      </c>
      <c r="C1014" s="377">
        <f>+C1003</f>
        <v>1148.7524395535715</v>
      </c>
      <c r="D1014" s="377">
        <f t="shared" ref="D1014:Q1014" si="276">+D1003</f>
        <v>1148.7524395535715</v>
      </c>
      <c r="E1014" s="377">
        <f t="shared" si="276"/>
        <v>1148.7524395535715</v>
      </c>
      <c r="F1014" s="377">
        <f t="shared" si="276"/>
        <v>1148.7524395535715</v>
      </c>
      <c r="G1014" s="377">
        <f t="shared" si="276"/>
        <v>1148.7524395535715</v>
      </c>
      <c r="H1014" s="377">
        <f t="shared" si="276"/>
        <v>1148.7524395535715</v>
      </c>
      <c r="I1014" s="377">
        <f t="shared" si="276"/>
        <v>1148.7524395535715</v>
      </c>
      <c r="J1014" s="377">
        <f t="shared" si="276"/>
        <v>1148.7524395535715</v>
      </c>
      <c r="K1014" s="377">
        <f t="shared" si="276"/>
        <v>1148.7524395535715</v>
      </c>
      <c r="L1014" s="377">
        <f t="shared" si="276"/>
        <v>1148.7524395535715</v>
      </c>
      <c r="M1014" s="377">
        <f t="shared" si="276"/>
        <v>0</v>
      </c>
      <c r="N1014" s="377">
        <f t="shared" si="276"/>
        <v>0</v>
      </c>
      <c r="O1014" s="377">
        <f t="shared" si="276"/>
        <v>0</v>
      </c>
      <c r="P1014" s="377">
        <f t="shared" si="276"/>
        <v>0</v>
      </c>
      <c r="Q1014" s="377">
        <f t="shared" si="276"/>
        <v>0</v>
      </c>
    </row>
    <row r="1015" spans="1:17" ht="14.4">
      <c r="A1015" s="395" t="s">
        <v>332</v>
      </c>
      <c r="B1015" s="378">
        <f>+Baseline_NaturalGas!C948</f>
        <v>0</v>
      </c>
      <c r="C1015" s="367">
        <f>+Baseline_NaturalGas!D948</f>
        <v>0</v>
      </c>
      <c r="D1015" s="367">
        <f>+Baseline_NaturalGas!E948</f>
        <v>0</v>
      </c>
      <c r="E1015" s="367">
        <f>+Baseline_NaturalGas!F948</f>
        <v>0</v>
      </c>
      <c r="F1015" s="367">
        <f>+Baseline_NaturalGas!G948</f>
        <v>0</v>
      </c>
      <c r="G1015" s="367">
        <f>+Baseline_NaturalGas!H948</f>
        <v>0</v>
      </c>
      <c r="H1015" s="367">
        <f>+Baseline_NaturalGas!I948</f>
        <v>0</v>
      </c>
      <c r="I1015" s="367">
        <f>+Baseline_NaturalGas!J948</f>
        <v>0</v>
      </c>
      <c r="J1015" s="367">
        <f>+Baseline_NaturalGas!K948</f>
        <v>0</v>
      </c>
      <c r="K1015" s="367">
        <f>+Baseline_NaturalGas!L948</f>
        <v>0</v>
      </c>
      <c r="L1015" s="367">
        <f>+Baseline_NaturalGas!M948</f>
        <v>0</v>
      </c>
      <c r="M1015" s="367">
        <f>+Baseline_NaturalGas!N948</f>
        <v>0</v>
      </c>
      <c r="N1015" s="367">
        <f>+Baseline_NaturalGas!O948</f>
        <v>0</v>
      </c>
      <c r="O1015" s="367">
        <f>+Baseline_NaturalGas!P948</f>
        <v>0</v>
      </c>
      <c r="P1015" s="367">
        <f>+Baseline_NaturalGas!Q948</f>
        <v>0</v>
      </c>
      <c r="Q1015" s="367">
        <f>+Baseline_NaturalGas!R948</f>
        <v>0</v>
      </c>
    </row>
    <row r="1016" spans="1:17" ht="14.4">
      <c r="A1016" s="376"/>
      <c r="B1016" s="389"/>
      <c r="C1016" s="389"/>
      <c r="D1016" s="389"/>
      <c r="E1016" s="389"/>
      <c r="F1016" s="389"/>
      <c r="G1016" s="389"/>
      <c r="H1016" s="389"/>
      <c r="I1016" s="389"/>
      <c r="J1016" s="389"/>
      <c r="K1016" s="389"/>
      <c r="L1016" s="389"/>
      <c r="M1016" s="389"/>
      <c r="N1016" s="389"/>
      <c r="O1016" s="389"/>
      <c r="P1016" s="389"/>
      <c r="Q1016" s="389"/>
    </row>
    <row r="1017" spans="1:17" ht="14.4">
      <c r="A1017" s="366" t="s">
        <v>110</v>
      </c>
      <c r="B1017" s="378">
        <f>-Baseline_NaturalGas!$D$5</f>
        <v>-11487.524395535715</v>
      </c>
      <c r="C1017" s="367">
        <f>+C1013+C1014+C1015</f>
        <v>27297.464835833227</v>
      </c>
      <c r="D1017" s="367">
        <f t="shared" ref="D1017:Q1017" si="277">+D1013+D1014+D1015</f>
        <v>28133.526326457373</v>
      </c>
      <c r="E1017" s="367">
        <f t="shared" si="277"/>
        <v>28882.841904312038</v>
      </c>
      <c r="F1017" s="367">
        <f t="shared" si="277"/>
        <v>29599.88570494602</v>
      </c>
      <c r="G1017" s="367">
        <f t="shared" si="277"/>
        <v>30446.970052507706</v>
      </c>
      <c r="H1017" s="367">
        <f t="shared" si="277"/>
        <v>31209.042065178044</v>
      </c>
      <c r="I1017" s="367">
        <f t="shared" si="277"/>
        <v>31940.62246905519</v>
      </c>
      <c r="J1017" s="367">
        <f t="shared" si="277"/>
        <v>32860.193610412971</v>
      </c>
      <c r="K1017" s="367">
        <f t="shared" si="277"/>
        <v>33804.409258359156</v>
      </c>
      <c r="L1017" s="367">
        <f t="shared" si="277"/>
        <v>34773.929885670295</v>
      </c>
      <c r="M1017" s="367">
        <f t="shared" si="277"/>
        <v>34965.306958105852</v>
      </c>
      <c r="N1017" s="367">
        <f t="shared" si="277"/>
        <v>35987.49023953623</v>
      </c>
      <c r="O1017" s="367">
        <f t="shared" si="277"/>
        <v>37037.068032908937</v>
      </c>
      <c r="P1017" s="367">
        <f t="shared" si="277"/>
        <v>38114.774511144016</v>
      </c>
      <c r="Q1017" s="367">
        <f t="shared" si="277"/>
        <v>39221.363522995831</v>
      </c>
    </row>
    <row r="1018" spans="1:17" ht="15.6">
      <c r="A1018" s="366" t="s">
        <v>51</v>
      </c>
      <c r="B1018" s="132">
        <f>IRR(B1017:Q1017)</f>
        <v>2.4056005029127752</v>
      </c>
      <c r="C1018" s="390"/>
      <c r="D1018" s="390"/>
      <c r="E1018" s="390"/>
      <c r="F1018" s="390"/>
      <c r="G1018" s="390"/>
      <c r="H1018" s="390"/>
      <c r="I1018" s="390"/>
      <c r="J1018" s="390"/>
      <c r="K1018" s="390"/>
      <c r="L1018" s="390"/>
      <c r="M1018" s="390"/>
      <c r="N1018" s="390"/>
      <c r="O1018" s="390"/>
      <c r="P1018" s="390"/>
      <c r="Q1018" s="390"/>
    </row>
    <row r="1019" spans="1:17" ht="15.6">
      <c r="A1019" s="366" t="s">
        <v>267</v>
      </c>
      <c r="B1019" s="303">
        <f>NPV('Initial Data'!$C$21/100,B1017:Q1017)</f>
        <v>180016.36045201085</v>
      </c>
      <c r="C1019" s="373"/>
      <c r="D1019" s="373"/>
      <c r="E1019" s="373"/>
      <c r="F1019" s="373"/>
      <c r="G1019" s="373"/>
      <c r="H1019" s="373"/>
      <c r="I1019" s="373"/>
      <c r="J1019" s="373"/>
      <c r="K1019" s="373"/>
      <c r="L1019" s="373"/>
      <c r="M1019" s="373"/>
      <c r="N1019" s="373"/>
      <c r="O1019" s="373"/>
      <c r="P1019" s="373"/>
      <c r="Q1019" s="373"/>
    </row>
    <row r="1021" spans="1:17" ht="14.4">
      <c r="A1021" s="417" t="s">
        <v>342</v>
      </c>
      <c r="B1021" s="418"/>
      <c r="C1021" s="418"/>
      <c r="D1021" s="418"/>
      <c r="E1021" s="418"/>
      <c r="F1021" s="418"/>
      <c r="G1021" s="418"/>
      <c r="H1021" s="418"/>
      <c r="I1021" s="418"/>
      <c r="J1021" s="418"/>
      <c r="K1021" s="418"/>
      <c r="L1021" s="418"/>
      <c r="M1021" s="418"/>
      <c r="N1021" s="418"/>
      <c r="O1021" s="418"/>
      <c r="P1021" s="418"/>
      <c r="Q1021" s="418"/>
    </row>
    <row r="1022" spans="1:17" ht="14.4">
      <c r="A1022" s="371" t="s">
        <v>348</v>
      </c>
      <c r="B1022" s="372"/>
      <c r="C1022" s="372"/>
      <c r="D1022" s="372"/>
      <c r="E1022" s="372"/>
      <c r="F1022" s="372"/>
      <c r="G1022" s="372"/>
      <c r="H1022" s="372"/>
      <c r="I1022" s="372"/>
      <c r="J1022" s="372"/>
      <c r="K1022" s="372"/>
      <c r="L1022" s="372"/>
      <c r="M1022" s="372"/>
      <c r="N1022" s="372"/>
      <c r="O1022" s="372"/>
      <c r="P1022" s="372"/>
      <c r="Q1022" s="372"/>
    </row>
    <row r="1023" spans="1:17" ht="27">
      <c r="A1023" s="376"/>
      <c r="B1023" s="304" t="s">
        <v>35</v>
      </c>
      <c r="C1023" s="352" t="s">
        <v>407</v>
      </c>
      <c r="D1023" s="352" t="s">
        <v>408</v>
      </c>
      <c r="E1023" s="352" t="s">
        <v>409</v>
      </c>
      <c r="F1023" s="352" t="s">
        <v>410</v>
      </c>
      <c r="G1023" s="352" t="s">
        <v>411</v>
      </c>
      <c r="H1023" s="352" t="s">
        <v>412</v>
      </c>
      <c r="I1023" s="352" t="s">
        <v>413</v>
      </c>
      <c r="J1023" s="352" t="s">
        <v>414</v>
      </c>
      <c r="K1023" s="352" t="s">
        <v>415</v>
      </c>
      <c r="L1023" s="352" t="s">
        <v>416</v>
      </c>
      <c r="M1023" s="352" t="s">
        <v>417</v>
      </c>
      <c r="N1023" s="352" t="s">
        <v>418</v>
      </c>
      <c r="O1023" s="352" t="s">
        <v>419</v>
      </c>
      <c r="P1023" s="352" t="s">
        <v>420</v>
      </c>
      <c r="Q1023" s="352" t="s">
        <v>421</v>
      </c>
    </row>
    <row r="1024" spans="1:17" ht="14.4">
      <c r="A1024" s="363" t="s">
        <v>290</v>
      </c>
      <c r="B1024" s="365"/>
      <c r="C1024" s="367">
        <f>+Baseline_NaturalGas!D10</f>
        <v>219000</v>
      </c>
      <c r="D1024" s="367">
        <f>+Baseline_NaturalGas!E10</f>
        <v>219000</v>
      </c>
      <c r="E1024" s="367">
        <f>+Baseline_NaturalGas!F10</f>
        <v>219000</v>
      </c>
      <c r="F1024" s="367">
        <f>+Baseline_NaturalGas!G10</f>
        <v>219000</v>
      </c>
      <c r="G1024" s="367">
        <f>+Baseline_NaturalGas!H10</f>
        <v>219000</v>
      </c>
      <c r="H1024" s="367">
        <f>+Baseline_NaturalGas!I10</f>
        <v>219000</v>
      </c>
      <c r="I1024" s="367">
        <f>+Baseline_NaturalGas!J10</f>
        <v>219000</v>
      </c>
      <c r="J1024" s="367">
        <f>+Baseline_NaturalGas!K10</f>
        <v>219000</v>
      </c>
      <c r="K1024" s="367">
        <f>+Baseline_NaturalGas!L10</f>
        <v>219000</v>
      </c>
      <c r="L1024" s="367">
        <f>+Baseline_NaturalGas!M10</f>
        <v>219000</v>
      </c>
      <c r="M1024" s="367">
        <f>+Baseline_NaturalGas!N10</f>
        <v>219000</v>
      </c>
      <c r="N1024" s="367">
        <f>+Baseline_NaturalGas!O10</f>
        <v>219000</v>
      </c>
      <c r="O1024" s="367">
        <f>+Baseline_NaturalGas!P10</f>
        <v>219000</v>
      </c>
      <c r="P1024" s="367">
        <f>+Baseline_NaturalGas!Q10</f>
        <v>219000</v>
      </c>
      <c r="Q1024" s="367">
        <f>+Baseline_NaturalGas!R10</f>
        <v>219000</v>
      </c>
    </row>
    <row r="1025" spans="1:17" ht="14.4">
      <c r="A1025" s="364" t="s">
        <v>291</v>
      </c>
      <c r="B1025" s="365"/>
      <c r="C1025" s="367">
        <f>+Baseline_NaturalGas!D11</f>
        <v>70</v>
      </c>
      <c r="D1025" s="367">
        <f>+Baseline_NaturalGas!E11</f>
        <v>70</v>
      </c>
      <c r="E1025" s="367">
        <f>+Baseline_NaturalGas!F11</f>
        <v>70</v>
      </c>
      <c r="F1025" s="367">
        <f>+Baseline_NaturalGas!G11</f>
        <v>70</v>
      </c>
      <c r="G1025" s="367">
        <f>+Baseline_NaturalGas!H11</f>
        <v>70</v>
      </c>
      <c r="H1025" s="367">
        <f>+Baseline_NaturalGas!I11</f>
        <v>70</v>
      </c>
      <c r="I1025" s="367">
        <f>+Baseline_NaturalGas!J11</f>
        <v>70</v>
      </c>
      <c r="J1025" s="367">
        <f>+Baseline_NaturalGas!K11</f>
        <v>70</v>
      </c>
      <c r="K1025" s="367">
        <f>+Baseline_NaturalGas!L11</f>
        <v>70</v>
      </c>
      <c r="L1025" s="367">
        <f>+Baseline_NaturalGas!M11</f>
        <v>70</v>
      </c>
      <c r="M1025" s="367">
        <f>+Baseline_NaturalGas!N11</f>
        <v>70</v>
      </c>
      <c r="N1025" s="367">
        <f>+Baseline_NaturalGas!O11</f>
        <v>70</v>
      </c>
      <c r="O1025" s="367">
        <f>+Baseline_NaturalGas!P11</f>
        <v>70</v>
      </c>
      <c r="P1025" s="367">
        <f>+Baseline_NaturalGas!Q11</f>
        <v>70</v>
      </c>
      <c r="Q1025" s="367">
        <f>+Baseline_NaturalGas!R11</f>
        <v>70</v>
      </c>
    </row>
    <row r="1026" spans="1:17" ht="14.4">
      <c r="A1026" s="366" t="s">
        <v>292</v>
      </c>
      <c r="B1026" s="365"/>
      <c r="C1026" s="367">
        <f>+Baseline_NaturalGas!D12</f>
        <v>6.4285714285714288</v>
      </c>
      <c r="D1026" s="367">
        <f>+Baseline_NaturalGas!E12</f>
        <v>6.6008571428571425</v>
      </c>
      <c r="E1026" s="367">
        <f>+Baseline_NaturalGas!F12</f>
        <v>6.7777601142857131</v>
      </c>
      <c r="F1026" s="367">
        <f>+Baseline_NaturalGas!G12</f>
        <v>6.9594040853485701</v>
      </c>
      <c r="G1026" s="367">
        <f>+Baseline_NaturalGas!H12</f>
        <v>7.1459161148359112</v>
      </c>
      <c r="H1026" s="367">
        <f>+Baseline_NaturalGas!I12</f>
        <v>7.3374266667135135</v>
      </c>
      <c r="I1026" s="367">
        <f>+Baseline_NaturalGas!J12</f>
        <v>7.5340697013814353</v>
      </c>
      <c r="J1026" s="367">
        <f>+Baseline_NaturalGas!K12</f>
        <v>7.7359827693784569</v>
      </c>
      <c r="K1026" s="367">
        <f>+Baseline_NaturalGas!L12</f>
        <v>7.943307107597799</v>
      </c>
      <c r="L1026" s="367">
        <f>+Baseline_NaturalGas!M12</f>
        <v>8.1561877380814192</v>
      </c>
      <c r="M1026" s="367">
        <f>+Baseline_NaturalGas!N12</f>
        <v>8.3747735694620005</v>
      </c>
      <c r="N1026" s="367">
        <f>+Baseline_NaturalGas!O12</f>
        <v>8.5992175011235812</v>
      </c>
      <c r="O1026" s="367">
        <f>+Baseline_NaturalGas!P12</f>
        <v>8.8296765301536926</v>
      </c>
      <c r="P1026" s="367">
        <f>+Baseline_NaturalGas!Q12</f>
        <v>9.066311861161811</v>
      </c>
      <c r="Q1026" s="367">
        <f>+Baseline_NaturalGas!R12</f>
        <v>9.3092890190409463</v>
      </c>
    </row>
    <row r="1027" spans="1:17" ht="14.4">
      <c r="A1027" s="366" t="s">
        <v>293</v>
      </c>
      <c r="B1027" s="365"/>
      <c r="C1027" s="367">
        <f>+C1025*C1026</f>
        <v>450</v>
      </c>
      <c r="D1027" s="367">
        <f t="shared" ref="D1027:Q1027" si="278">+D1025*D1026</f>
        <v>462.06</v>
      </c>
      <c r="E1027" s="367">
        <f t="shared" si="278"/>
        <v>474.44320799999991</v>
      </c>
      <c r="F1027" s="367">
        <f t="shared" si="278"/>
        <v>487.15828597439992</v>
      </c>
      <c r="G1027" s="367">
        <f t="shared" si="278"/>
        <v>500.21412803851376</v>
      </c>
      <c r="H1027" s="367">
        <f t="shared" si="278"/>
        <v>513.61986666994596</v>
      </c>
      <c r="I1027" s="367">
        <f t="shared" si="278"/>
        <v>527.3848790967005</v>
      </c>
      <c r="J1027" s="367">
        <f t="shared" si="278"/>
        <v>541.51879385649192</v>
      </c>
      <c r="K1027" s="367">
        <f t="shared" si="278"/>
        <v>556.03149753184596</v>
      </c>
      <c r="L1027" s="367">
        <f t="shared" si="278"/>
        <v>570.9331416656994</v>
      </c>
      <c r="M1027" s="367">
        <f t="shared" si="278"/>
        <v>586.23414986234002</v>
      </c>
      <c r="N1027" s="367">
        <f t="shared" si="278"/>
        <v>601.94522507865065</v>
      </c>
      <c r="O1027" s="367">
        <f t="shared" si="278"/>
        <v>618.0773571107585</v>
      </c>
      <c r="P1027" s="367">
        <f t="shared" si="278"/>
        <v>634.64183028132675</v>
      </c>
      <c r="Q1027" s="367">
        <f t="shared" si="278"/>
        <v>651.65023133286627</v>
      </c>
    </row>
    <row r="1028" spans="1:17" ht="14.4">
      <c r="A1028" s="370"/>
      <c r="B1028" s="373"/>
      <c r="C1028" s="373"/>
      <c r="D1028" s="373"/>
      <c r="E1028" s="373"/>
      <c r="F1028" s="373"/>
      <c r="G1028" s="373"/>
      <c r="H1028" s="373"/>
      <c r="I1028" s="373"/>
      <c r="J1028" s="373"/>
      <c r="K1028" s="373"/>
      <c r="L1028" s="373"/>
      <c r="M1028" s="373"/>
      <c r="N1028" s="373"/>
      <c r="O1028" s="373"/>
      <c r="P1028" s="373"/>
      <c r="Q1028" s="373"/>
    </row>
    <row r="1029" spans="1:17" ht="14.4">
      <c r="A1029" s="366" t="s">
        <v>294</v>
      </c>
      <c r="B1029" s="378">
        <f>+SUM(C1029:Q1029)</f>
        <v>1790524.8581953994</v>
      </c>
      <c r="C1029" s="377">
        <f>C1024*C1027/1000*'Initial Data'!$C$34/'Initial Data'!$C$33</f>
        <v>98550</v>
      </c>
      <c r="D1029" s="377">
        <f>D1024*D1027/1000*'Initial Data'!$C$34/'Initial Data'!$C$33</f>
        <v>101191.14</v>
      </c>
      <c r="E1029" s="377">
        <f>E1024*E1027/1000*'Initial Data'!$C$34/'Initial Data'!$C$33</f>
        <v>103903.06255199999</v>
      </c>
      <c r="F1029" s="377">
        <f>F1024*F1027/1000*'Initial Data'!$C$34/'Initial Data'!$C$33</f>
        <v>106687.66462839357</v>
      </c>
      <c r="G1029" s="377">
        <f>G1024*G1027/1000*'Initial Data'!$C$34/'Initial Data'!$C$33</f>
        <v>109546.8940404345</v>
      </c>
      <c r="H1029" s="377">
        <f>H1024*H1027/1000*'Initial Data'!$C$34/'Initial Data'!$C$33</f>
        <v>112482.75080071818</v>
      </c>
      <c r="I1029" s="377">
        <f>I1024*I1027/1000*'Initial Data'!$C$34/'Initial Data'!$C$33</f>
        <v>115497.28852217742</v>
      </c>
      <c r="J1029" s="377">
        <f>J1024*J1027/1000*'Initial Data'!$C$34/'Initial Data'!$C$33</f>
        <v>118592.61585457173</v>
      </c>
      <c r="K1029" s="377">
        <f>K1024*K1027/1000*'Initial Data'!$C$34/'Initial Data'!$C$33</f>
        <v>121770.89795947427</v>
      </c>
      <c r="L1029" s="377">
        <f>L1024*L1027/1000*'Initial Data'!$C$34/'Initial Data'!$C$33</f>
        <v>125034.35802478818</v>
      </c>
      <c r="M1029" s="377">
        <f>M1024*M1027/1000*'Initial Data'!$C$34/'Initial Data'!$C$33</f>
        <v>128385.27881985246</v>
      </c>
      <c r="N1029" s="377">
        <f>N1024*N1027/1000*'Initial Data'!$C$34/'Initial Data'!$C$33</f>
        <v>131826.0042922245</v>
      </c>
      <c r="O1029" s="377">
        <f>O1024*O1027/1000*'Initial Data'!$C$34/'Initial Data'!$C$33</f>
        <v>135358.94120725611</v>
      </c>
      <c r="P1029" s="377">
        <f>P1024*P1027/1000*'Initial Data'!$C$34/'Initial Data'!$C$33</f>
        <v>138986.56083161055</v>
      </c>
      <c r="Q1029" s="377">
        <f>Q1024*Q1027/1000*'Initial Data'!$C$34/'Initial Data'!$C$33</f>
        <v>142711.40066189773</v>
      </c>
    </row>
    <row r="1030" spans="1:17" ht="14.4">
      <c r="A1030" s="370"/>
      <c r="B1030" s="373"/>
      <c r="C1030" s="373"/>
      <c r="D1030" s="373"/>
      <c r="E1030" s="373"/>
      <c r="F1030" s="373"/>
      <c r="G1030" s="373"/>
      <c r="H1030" s="373"/>
      <c r="I1030" s="373"/>
      <c r="J1030" s="373"/>
      <c r="K1030" s="373"/>
      <c r="L1030" s="373"/>
      <c r="M1030" s="373"/>
      <c r="N1030" s="373"/>
      <c r="O1030" s="373"/>
      <c r="P1030" s="373"/>
      <c r="Q1030" s="373"/>
    </row>
    <row r="1031" spans="1:17" ht="14.4">
      <c r="A1031" s="366" t="s">
        <v>295</v>
      </c>
      <c r="B1031" s="378">
        <f>+SUM(C1031:Q1031)</f>
        <v>1790524.8581953994</v>
      </c>
      <c r="C1031" s="367">
        <f>+C1029</f>
        <v>98550</v>
      </c>
      <c r="D1031" s="367">
        <f t="shared" ref="D1031:Q1031" si="279">+D1029</f>
        <v>101191.14</v>
      </c>
      <c r="E1031" s="367">
        <f t="shared" si="279"/>
        <v>103903.06255199999</v>
      </c>
      <c r="F1031" s="367">
        <f t="shared" si="279"/>
        <v>106687.66462839357</v>
      </c>
      <c r="G1031" s="367">
        <f t="shared" si="279"/>
        <v>109546.8940404345</v>
      </c>
      <c r="H1031" s="367">
        <f t="shared" si="279"/>
        <v>112482.75080071818</v>
      </c>
      <c r="I1031" s="367">
        <f t="shared" si="279"/>
        <v>115497.28852217742</v>
      </c>
      <c r="J1031" s="367">
        <f t="shared" si="279"/>
        <v>118592.61585457173</v>
      </c>
      <c r="K1031" s="367">
        <f t="shared" si="279"/>
        <v>121770.89795947427</v>
      </c>
      <c r="L1031" s="367">
        <f t="shared" si="279"/>
        <v>125034.35802478818</v>
      </c>
      <c r="M1031" s="367">
        <f t="shared" si="279"/>
        <v>128385.27881985246</v>
      </c>
      <c r="N1031" s="367">
        <f t="shared" si="279"/>
        <v>131826.0042922245</v>
      </c>
      <c r="O1031" s="367">
        <f t="shared" si="279"/>
        <v>135358.94120725611</v>
      </c>
      <c r="P1031" s="367">
        <f t="shared" si="279"/>
        <v>138986.56083161055</v>
      </c>
      <c r="Q1031" s="367">
        <f t="shared" si="279"/>
        <v>142711.40066189773</v>
      </c>
    </row>
    <row r="1032" spans="1:17" ht="14.4">
      <c r="A1032" s="370"/>
      <c r="B1032" s="374"/>
      <c r="C1032" s="374"/>
      <c r="D1032" s="374"/>
      <c r="E1032" s="374"/>
      <c r="F1032" s="374"/>
      <c r="G1032" s="374"/>
      <c r="H1032" s="374"/>
      <c r="I1032" s="374"/>
      <c r="J1032" s="374"/>
      <c r="K1032" s="374"/>
      <c r="L1032" s="374"/>
      <c r="M1032" s="374"/>
      <c r="N1032" s="374"/>
      <c r="O1032" s="374"/>
      <c r="P1032" s="374"/>
      <c r="Q1032" s="374"/>
    </row>
    <row r="1033" spans="1:17" ht="14.4">
      <c r="A1033" s="366" t="s">
        <v>68</v>
      </c>
      <c r="B1033" s="368"/>
      <c r="C1033" s="368"/>
      <c r="D1033" s="368"/>
      <c r="E1033" s="368"/>
      <c r="F1033" s="368"/>
      <c r="G1033" s="368"/>
      <c r="H1033" s="368"/>
      <c r="I1033" s="368"/>
      <c r="J1033" s="368"/>
      <c r="K1033" s="368"/>
      <c r="L1033" s="368"/>
      <c r="M1033" s="368"/>
      <c r="N1033" s="368"/>
      <c r="O1033" s="368"/>
      <c r="P1033" s="368"/>
      <c r="Q1033" s="368"/>
    </row>
    <row r="1034" spans="1:17" ht="14.4">
      <c r="A1034" s="366" t="s">
        <v>330</v>
      </c>
      <c r="B1034" s="378">
        <f>+SUM(C1034:Q1034)</f>
        <v>17405.991521183645</v>
      </c>
      <c r="C1034" s="367">
        <f>+Baseline_NaturalGas!D20</f>
        <v>958.02102749999995</v>
      </c>
      <c r="D1034" s="367">
        <f>+Baseline_NaturalGas!E20</f>
        <v>983.69599103699989</v>
      </c>
      <c r="E1034" s="367">
        <f>+Baseline_NaturalGas!F20</f>
        <v>1010.0590435967914</v>
      </c>
      <c r="F1034" s="367">
        <f>+Baseline_NaturalGas!G20</f>
        <v>1037.1286259651854</v>
      </c>
      <c r="G1034" s="367">
        <f>+Baseline_NaturalGas!H20</f>
        <v>1064.9236731410524</v>
      </c>
      <c r="H1034" s="367">
        <f>+Baseline_NaturalGas!I20</f>
        <v>1093.4636275812325</v>
      </c>
      <c r="I1034" s="367">
        <f>+Baseline_NaturalGas!J20</f>
        <v>1122.7684528004095</v>
      </c>
      <c r="J1034" s="367">
        <f>+Baseline_NaturalGas!K20</f>
        <v>1152.8586473354603</v>
      </c>
      <c r="K1034" s="367">
        <f>+Baseline_NaturalGas!L20</f>
        <v>1183.7552590840505</v>
      </c>
      <c r="L1034" s="367">
        <f>+Baseline_NaturalGas!M20</f>
        <v>1215.4799000275029</v>
      </c>
      <c r="M1034" s="367">
        <f>+Baseline_NaturalGas!N20</f>
        <v>1248.0547613482399</v>
      </c>
      <c r="N1034" s="367">
        <f>+Baseline_NaturalGas!O20</f>
        <v>1281.5026289523728</v>
      </c>
      <c r="O1034" s="367">
        <f>+Baseline_NaturalGas!P20</f>
        <v>1315.8468994082964</v>
      </c>
      <c r="P1034" s="367">
        <f>+Baseline_NaturalGas!Q20</f>
        <v>1351.1115963124387</v>
      </c>
      <c r="Q1034" s="367">
        <f>+Baseline_NaturalGas!R20</f>
        <v>1387.321387093612</v>
      </c>
    </row>
    <row r="1035" spans="1:17" ht="14.4">
      <c r="A1035" s="370"/>
      <c r="B1035" s="369"/>
      <c r="C1035" s="369"/>
      <c r="D1035" s="369"/>
      <c r="E1035" s="369"/>
      <c r="F1035" s="369"/>
      <c r="G1035" s="369"/>
      <c r="H1035" s="369"/>
      <c r="I1035" s="369"/>
      <c r="J1035" s="369"/>
      <c r="K1035" s="369"/>
      <c r="L1035" s="369"/>
      <c r="M1035" s="369"/>
      <c r="N1035" s="369"/>
      <c r="O1035" s="369"/>
      <c r="P1035" s="369"/>
      <c r="Q1035" s="369"/>
    </row>
    <row r="1036" spans="1:17" ht="14.4">
      <c r="A1036" s="366" t="s">
        <v>71</v>
      </c>
      <c r="B1036" s="379"/>
      <c r="C1036" s="379"/>
      <c r="D1036" s="379"/>
      <c r="E1036" s="379"/>
      <c r="F1036" s="379"/>
      <c r="G1036" s="379"/>
      <c r="H1036" s="379"/>
      <c r="I1036" s="379"/>
      <c r="J1036" s="379"/>
      <c r="K1036" s="379"/>
      <c r="L1036" s="379"/>
      <c r="M1036" s="379"/>
      <c r="N1036" s="379"/>
      <c r="O1036" s="379"/>
      <c r="P1036" s="379"/>
      <c r="Q1036" s="379"/>
    </row>
    <row r="1037" spans="1:17" ht="14.4">
      <c r="A1037" s="370"/>
      <c r="B1037" s="379"/>
      <c r="C1037" s="379"/>
      <c r="D1037" s="379"/>
      <c r="E1037" s="379"/>
      <c r="F1037" s="379"/>
      <c r="G1037" s="379"/>
      <c r="H1037" s="379"/>
      <c r="I1037" s="379"/>
      <c r="J1037" s="379"/>
      <c r="K1037" s="379"/>
      <c r="L1037" s="379"/>
      <c r="M1037" s="379"/>
      <c r="N1037" s="379"/>
      <c r="O1037" s="379"/>
      <c r="P1037" s="379"/>
      <c r="Q1037" s="379"/>
    </row>
    <row r="1038" spans="1:17" ht="14.4">
      <c r="A1038" s="366" t="s">
        <v>64</v>
      </c>
      <c r="B1038" s="373"/>
      <c r="C1038" s="367">
        <f>+Baseline_NaturalGas!D24</f>
        <v>1656.5089715892002</v>
      </c>
      <c r="D1038" s="367">
        <f>+Baseline_NaturalGas!E24</f>
        <v>1656.5089715892002</v>
      </c>
      <c r="E1038" s="367">
        <f>+Baseline_NaturalGas!F24</f>
        <v>1656.5089715892002</v>
      </c>
      <c r="F1038" s="367">
        <f>+Baseline_NaturalGas!G24</f>
        <v>1656.5089715892002</v>
      </c>
      <c r="G1038" s="367">
        <f>+Baseline_NaturalGas!H24</f>
        <v>1656.5089715892002</v>
      </c>
      <c r="H1038" s="367">
        <f>+Baseline_NaturalGas!I24</f>
        <v>1656.5089715892002</v>
      </c>
      <c r="I1038" s="367">
        <f>+Baseline_NaturalGas!J24</f>
        <v>1656.5089715892002</v>
      </c>
      <c r="J1038" s="367">
        <f>+Baseline_NaturalGas!K24</f>
        <v>1656.5089715892002</v>
      </c>
      <c r="K1038" s="367">
        <f>+Baseline_NaturalGas!L24</f>
        <v>1656.5089715892002</v>
      </c>
      <c r="L1038" s="367">
        <f>+Baseline_NaturalGas!M24</f>
        <v>1656.5089715892002</v>
      </c>
      <c r="M1038" s="367">
        <f>+Baseline_NaturalGas!N24</f>
        <v>1656.5089715892002</v>
      </c>
      <c r="N1038" s="367">
        <f>+Baseline_NaturalGas!O24</f>
        <v>1656.5089715892002</v>
      </c>
      <c r="O1038" s="367">
        <f>+Baseline_NaturalGas!P24</f>
        <v>1656.5089715892002</v>
      </c>
      <c r="P1038" s="367">
        <f>+Baseline_NaturalGas!Q24</f>
        <v>1656.5089715892002</v>
      </c>
      <c r="Q1038" s="367">
        <f>+Baseline_NaturalGas!R24</f>
        <v>1656.5089715892002</v>
      </c>
    </row>
    <row r="1039" spans="1:17" ht="14.4">
      <c r="A1039" s="366" t="s">
        <v>108</v>
      </c>
      <c r="B1039" s="387">
        <f>+Baseline_NaturalGas!C25</f>
        <v>0.90200000000000002</v>
      </c>
      <c r="C1039" s="373"/>
      <c r="D1039" s="373"/>
      <c r="E1039" s="373"/>
      <c r="F1039" s="373"/>
      <c r="G1039" s="373"/>
      <c r="H1039" s="373"/>
      <c r="I1039" s="373"/>
      <c r="J1039" s="373"/>
      <c r="K1039" s="373"/>
      <c r="L1039" s="373"/>
      <c r="M1039" s="373"/>
      <c r="N1039" s="373"/>
      <c r="O1039" s="373"/>
      <c r="P1039" s="373"/>
      <c r="Q1039" s="373"/>
    </row>
    <row r="1040" spans="1:17" ht="14.4">
      <c r="A1040" s="366" t="s">
        <v>345</v>
      </c>
      <c r="B1040" s="373"/>
      <c r="C1040" s="367">
        <f>+Baseline_NaturalGas!D26</f>
        <v>1741816.7092883086</v>
      </c>
      <c r="D1040" s="367">
        <f>+Baseline_NaturalGas!E26</f>
        <v>1741816.7092883086</v>
      </c>
      <c r="E1040" s="367">
        <f>+Baseline_NaturalGas!F26</f>
        <v>1741816.7092883086</v>
      </c>
      <c r="F1040" s="367">
        <f>+Baseline_NaturalGas!G26</f>
        <v>1741816.7092883086</v>
      </c>
      <c r="G1040" s="367">
        <f>+Baseline_NaturalGas!H26</f>
        <v>1741816.7092883086</v>
      </c>
      <c r="H1040" s="367">
        <f>+Baseline_NaturalGas!I26</f>
        <v>1741816.7092883086</v>
      </c>
      <c r="I1040" s="367">
        <f>+Baseline_NaturalGas!J26</f>
        <v>1741816.7092883086</v>
      </c>
      <c r="J1040" s="367">
        <f>+Baseline_NaturalGas!K26</f>
        <v>1741816.7092883086</v>
      </c>
      <c r="K1040" s="367">
        <f>+Baseline_NaturalGas!L26</f>
        <v>1741816.7092883086</v>
      </c>
      <c r="L1040" s="367">
        <f>+Baseline_NaturalGas!M26</f>
        <v>1741816.7092883086</v>
      </c>
      <c r="M1040" s="367">
        <f>+Baseline_NaturalGas!N26</f>
        <v>1741816.7092883086</v>
      </c>
      <c r="N1040" s="367">
        <f>+Baseline_NaturalGas!O26</f>
        <v>1741816.7092883086</v>
      </c>
      <c r="O1040" s="367">
        <f>+Baseline_NaturalGas!P26</f>
        <v>1741816.7092883086</v>
      </c>
      <c r="P1040" s="367">
        <f>+Baseline_NaturalGas!Q26</f>
        <v>1741816.7092883086</v>
      </c>
      <c r="Q1040" s="367">
        <f>+Baseline_NaturalGas!R26</f>
        <v>1741816.7092883086</v>
      </c>
    </row>
    <row r="1041" spans="1:17" ht="14.4">
      <c r="A1041" s="366" t="s">
        <v>66</v>
      </c>
      <c r="B1041" s="373"/>
      <c r="C1041" s="383">
        <f>+Baseline_NaturalGas!D27*(1+$E$7)</f>
        <v>5.8891292066978913</v>
      </c>
      <c r="D1041" s="383">
        <f>+Baseline_NaturalGas!E27*(1+$E$7)</f>
        <v>5.7803638022611743</v>
      </c>
      <c r="E1041" s="383">
        <f>+Baseline_NaturalGas!F27*(1+$E$7)</f>
        <v>5.8995575340090696</v>
      </c>
      <c r="F1041" s="383">
        <f>+Baseline_NaturalGas!G27*(1+$E$7)</f>
        <v>6.1326812329913665</v>
      </c>
      <c r="G1041" s="383">
        <f>+Baseline_NaturalGas!H27*(1+$E$7)</f>
        <v>6.1376433036111901</v>
      </c>
      <c r="H1041" s="383">
        <f>+Baseline_NaturalGas!I27*(1+$E$7)</f>
        <v>6.3705704656787345</v>
      </c>
      <c r="I1041" s="383">
        <f>+Baseline_NaturalGas!J27*(1+$E$7)</f>
        <v>6.717433433473917</v>
      </c>
      <c r="J1041" s="383">
        <f>+Baseline_NaturalGas!K27*(1+$E$7)</f>
        <v>6.717433433473917</v>
      </c>
      <c r="K1041" s="383">
        <f>+Baseline_NaturalGas!L27*(1+$E$7)</f>
        <v>6.717433433473917</v>
      </c>
      <c r="L1041" s="383">
        <f>+Baseline_NaturalGas!M27*(1+$E$7)</f>
        <v>6.717433433473917</v>
      </c>
      <c r="M1041" s="383">
        <f>+Baseline_NaturalGas!N27*(1+$E$7)</f>
        <v>6.717433433473917</v>
      </c>
      <c r="N1041" s="383">
        <f>+Baseline_NaturalGas!O27*(1+$E$7)</f>
        <v>6.717433433473917</v>
      </c>
      <c r="O1041" s="383">
        <f>+Baseline_NaturalGas!P27*(1+$E$7)</f>
        <v>6.717433433473917</v>
      </c>
      <c r="P1041" s="383">
        <f>+Baseline_NaturalGas!Q27*(1+$E$7)</f>
        <v>6.717433433473917</v>
      </c>
      <c r="Q1041" s="383">
        <f>+Baseline_NaturalGas!R27*(1+$E$7)</f>
        <v>6.717433433473917</v>
      </c>
    </row>
    <row r="1042" spans="1:17" ht="14.4">
      <c r="A1042" s="370"/>
      <c r="B1042" s="379"/>
      <c r="C1042" s="379"/>
      <c r="D1042" s="379"/>
      <c r="E1042" s="379"/>
      <c r="F1042" s="379"/>
      <c r="G1042" s="379"/>
      <c r="H1042" s="379"/>
      <c r="I1042" s="379"/>
      <c r="J1042" s="379"/>
      <c r="K1042" s="379"/>
      <c r="L1042" s="379"/>
      <c r="M1042" s="379"/>
      <c r="N1042" s="379"/>
      <c r="O1042" s="379"/>
      <c r="P1042" s="379"/>
      <c r="Q1042" s="379"/>
    </row>
    <row r="1043" spans="1:17" ht="14.4">
      <c r="A1043" s="366" t="s">
        <v>102</v>
      </c>
      <c r="B1043" s="378">
        <f t="shared" ref="B1043" si="280">+SUM(C1043:Q1043)</f>
        <v>168375.92837474647</v>
      </c>
      <c r="C1043" s="375">
        <f>+C1040*C1041/1000</f>
        <v>10257.783655384188</v>
      </c>
      <c r="D1043" s="375">
        <f t="shared" ref="D1043:Q1043" si="281">+D1040*D1041/1000</f>
        <v>10068.334256543812</v>
      </c>
      <c r="E1043" s="375">
        <f t="shared" si="281"/>
        <v>10275.947890144726</v>
      </c>
      <c r="F1043" s="375">
        <f t="shared" si="281"/>
        <v>10682.006644363189</v>
      </c>
      <c r="G1043" s="375">
        <f t="shared" si="281"/>
        <v>10690.649661881467</v>
      </c>
      <c r="H1043" s="375">
        <f t="shared" si="281"/>
        <v>11096.366084817821</v>
      </c>
      <c r="I1043" s="375">
        <f t="shared" si="281"/>
        <v>11700.537797956802</v>
      </c>
      <c r="J1043" s="375">
        <f t="shared" si="281"/>
        <v>11700.537797956802</v>
      </c>
      <c r="K1043" s="375">
        <f t="shared" si="281"/>
        <v>11700.537797956802</v>
      </c>
      <c r="L1043" s="375">
        <f t="shared" si="281"/>
        <v>11700.537797956802</v>
      </c>
      <c r="M1043" s="375">
        <f t="shared" si="281"/>
        <v>11700.537797956802</v>
      </c>
      <c r="N1043" s="375">
        <f t="shared" si="281"/>
        <v>11700.537797956802</v>
      </c>
      <c r="O1043" s="375">
        <f t="shared" si="281"/>
        <v>11700.537797956802</v>
      </c>
      <c r="P1043" s="375">
        <f t="shared" si="281"/>
        <v>11700.537797956802</v>
      </c>
      <c r="Q1043" s="375">
        <f t="shared" si="281"/>
        <v>11700.537797956802</v>
      </c>
    </row>
    <row r="1044" spans="1:17" ht="14.4">
      <c r="A1044" s="370"/>
      <c r="B1044" s="373"/>
      <c r="C1044" s="373"/>
      <c r="D1044" s="373"/>
      <c r="E1044" s="373"/>
      <c r="F1044" s="373"/>
      <c r="G1044" s="373"/>
      <c r="H1044" s="373"/>
      <c r="I1044" s="373"/>
      <c r="J1044" s="373"/>
      <c r="K1044" s="373"/>
      <c r="L1044" s="373"/>
      <c r="M1044" s="373"/>
      <c r="N1044" s="373"/>
      <c r="O1044" s="373"/>
      <c r="P1044" s="373"/>
      <c r="Q1044" s="373"/>
    </row>
    <row r="1045" spans="1:17" ht="14.4">
      <c r="A1045" s="370"/>
      <c r="B1045" s="379"/>
      <c r="C1045" s="379"/>
      <c r="D1045" s="379"/>
      <c r="E1045" s="379"/>
      <c r="F1045" s="379"/>
      <c r="G1045" s="379"/>
      <c r="H1045" s="379"/>
      <c r="I1045" s="379"/>
      <c r="J1045" s="379"/>
      <c r="K1045" s="379"/>
      <c r="L1045" s="379"/>
      <c r="M1045" s="379"/>
      <c r="N1045" s="379"/>
      <c r="O1045" s="379"/>
      <c r="P1045" s="379"/>
      <c r="Q1045" s="379"/>
    </row>
    <row r="1046" spans="1:17" ht="14.4">
      <c r="A1046" s="366" t="s">
        <v>101</v>
      </c>
      <c r="B1046" s="373"/>
      <c r="C1046" s="375">
        <f>+C1043+C1034</f>
        <v>11215.804682884187</v>
      </c>
      <c r="D1046" s="375">
        <f t="shared" ref="D1046:Q1046" si="282">+D1043+D1034</f>
        <v>11052.030247580813</v>
      </c>
      <c r="E1046" s="375">
        <f t="shared" si="282"/>
        <v>11286.006933741517</v>
      </c>
      <c r="F1046" s="375">
        <f t="shared" si="282"/>
        <v>11719.135270328376</v>
      </c>
      <c r="G1046" s="375">
        <f t="shared" si="282"/>
        <v>11755.57333502252</v>
      </c>
      <c r="H1046" s="375">
        <f t="shared" si="282"/>
        <v>12189.829712399052</v>
      </c>
      <c r="I1046" s="375">
        <f t="shared" si="282"/>
        <v>12823.306250757212</v>
      </c>
      <c r="J1046" s="375">
        <f t="shared" si="282"/>
        <v>12853.396445292263</v>
      </c>
      <c r="K1046" s="375">
        <f t="shared" si="282"/>
        <v>12884.293057040853</v>
      </c>
      <c r="L1046" s="375">
        <f t="shared" si="282"/>
        <v>12916.017697984305</v>
      </c>
      <c r="M1046" s="375">
        <f t="shared" si="282"/>
        <v>12948.592559305042</v>
      </c>
      <c r="N1046" s="375">
        <f t="shared" si="282"/>
        <v>12982.040426909174</v>
      </c>
      <c r="O1046" s="375">
        <f t="shared" si="282"/>
        <v>13016.384697365098</v>
      </c>
      <c r="P1046" s="375">
        <f t="shared" si="282"/>
        <v>13051.649394269241</v>
      </c>
      <c r="Q1046" s="375">
        <f t="shared" si="282"/>
        <v>13087.859185050414</v>
      </c>
    </row>
    <row r="1047" spans="1:17" ht="14.4">
      <c r="A1047" s="370"/>
      <c r="B1047" s="379"/>
      <c r="C1047" s="379"/>
      <c r="D1047" s="379"/>
      <c r="E1047" s="379"/>
      <c r="F1047" s="379"/>
      <c r="G1047" s="379"/>
      <c r="H1047" s="379"/>
      <c r="I1047" s="379"/>
      <c r="J1047" s="379"/>
      <c r="K1047" s="379"/>
      <c r="L1047" s="379"/>
      <c r="M1047" s="379"/>
      <c r="N1047" s="379"/>
      <c r="O1047" s="379"/>
      <c r="P1047" s="379"/>
      <c r="Q1047" s="379"/>
    </row>
    <row r="1048" spans="1:17" ht="14.4">
      <c r="A1048" s="366" t="s">
        <v>73</v>
      </c>
      <c r="B1048" s="378">
        <f>+SUM(C1048:Q1048)</f>
        <v>11487.524395535713</v>
      </c>
      <c r="C1048" s="367">
        <f>+Baseline_NaturalGas!$D$5/'Initial Data'!$C$19</f>
        <v>1148.7524395535715</v>
      </c>
      <c r="D1048" s="367">
        <f>+Baseline_NaturalGas!$D$5/'Initial Data'!$C$19</f>
        <v>1148.7524395535715</v>
      </c>
      <c r="E1048" s="367">
        <f>+Baseline_NaturalGas!$D$5/'Initial Data'!$C$19</f>
        <v>1148.7524395535715</v>
      </c>
      <c r="F1048" s="367">
        <f>+Baseline_NaturalGas!$D$5/'Initial Data'!$C$19</f>
        <v>1148.7524395535715</v>
      </c>
      <c r="G1048" s="367">
        <f>+Baseline_NaturalGas!$D$5/'Initial Data'!$C$19</f>
        <v>1148.7524395535715</v>
      </c>
      <c r="H1048" s="367">
        <f>+Baseline_NaturalGas!$D$5/'Initial Data'!$C$19</f>
        <v>1148.7524395535715</v>
      </c>
      <c r="I1048" s="367">
        <f>+Baseline_NaturalGas!$D$5/'Initial Data'!$C$19</f>
        <v>1148.7524395535715</v>
      </c>
      <c r="J1048" s="367">
        <f>+Baseline_NaturalGas!$D$5/'Initial Data'!$C$19</f>
        <v>1148.7524395535715</v>
      </c>
      <c r="K1048" s="367">
        <f>+Baseline_NaturalGas!$D$5/'Initial Data'!$C$19</f>
        <v>1148.7524395535715</v>
      </c>
      <c r="L1048" s="367">
        <f>+Baseline_NaturalGas!$D$5/'Initial Data'!$C$19</f>
        <v>1148.7524395535715</v>
      </c>
      <c r="M1048" s="367">
        <v>0</v>
      </c>
      <c r="N1048" s="367">
        <v>0</v>
      </c>
      <c r="O1048" s="367">
        <v>0</v>
      </c>
      <c r="P1048" s="367">
        <v>0</v>
      </c>
      <c r="Q1048" s="367">
        <v>0</v>
      </c>
    </row>
    <row r="1049" spans="1:17" ht="14.4">
      <c r="A1049" s="366" t="s">
        <v>74</v>
      </c>
      <c r="B1049" s="378">
        <f>+SUM(C1049:Q1049)</f>
        <v>11487.524395535713</v>
      </c>
      <c r="C1049" s="367">
        <f>SUM(C1048:C1048)</f>
        <v>1148.7524395535715</v>
      </c>
      <c r="D1049" s="367">
        <f t="shared" ref="D1049:Q1049" si="283">SUM(D1048:D1048)</f>
        <v>1148.7524395535715</v>
      </c>
      <c r="E1049" s="367">
        <f t="shared" si="283"/>
        <v>1148.7524395535715</v>
      </c>
      <c r="F1049" s="367">
        <f t="shared" si="283"/>
        <v>1148.7524395535715</v>
      </c>
      <c r="G1049" s="367">
        <f t="shared" si="283"/>
        <v>1148.7524395535715</v>
      </c>
      <c r="H1049" s="367">
        <f t="shared" si="283"/>
        <v>1148.7524395535715</v>
      </c>
      <c r="I1049" s="367">
        <f t="shared" si="283"/>
        <v>1148.7524395535715</v>
      </c>
      <c r="J1049" s="367">
        <f t="shared" si="283"/>
        <v>1148.7524395535715</v>
      </c>
      <c r="K1049" s="367">
        <f t="shared" si="283"/>
        <v>1148.7524395535715</v>
      </c>
      <c r="L1049" s="367">
        <f t="shared" si="283"/>
        <v>1148.7524395535715</v>
      </c>
      <c r="M1049" s="367">
        <f t="shared" si="283"/>
        <v>0</v>
      </c>
      <c r="N1049" s="367">
        <f t="shared" si="283"/>
        <v>0</v>
      </c>
      <c r="O1049" s="367">
        <f t="shared" si="283"/>
        <v>0</v>
      </c>
      <c r="P1049" s="367">
        <f t="shared" si="283"/>
        <v>0</v>
      </c>
      <c r="Q1049" s="367">
        <f t="shared" si="283"/>
        <v>0</v>
      </c>
    </row>
    <row r="1050" spans="1:17" ht="14.4">
      <c r="A1050" s="90"/>
      <c r="B1050" s="388"/>
      <c r="C1050" s="373"/>
      <c r="D1050" s="373"/>
      <c r="E1050" s="373"/>
      <c r="F1050" s="373"/>
      <c r="G1050" s="373"/>
      <c r="H1050" s="373"/>
      <c r="I1050" s="373"/>
      <c r="J1050" s="373"/>
      <c r="K1050" s="373"/>
      <c r="L1050" s="373"/>
      <c r="M1050" s="373"/>
      <c r="N1050" s="373"/>
      <c r="O1050" s="373"/>
      <c r="P1050" s="373"/>
      <c r="Q1050" s="373"/>
    </row>
    <row r="1051" spans="1:17" ht="14.4">
      <c r="A1051" s="366" t="s">
        <v>75</v>
      </c>
      <c r="B1051" s="378">
        <f>+SUM(C1051:Q1051)</f>
        <v>197269.4442914658</v>
      </c>
      <c r="C1051" s="367">
        <f>+C1046+C1049</f>
        <v>12364.557122437758</v>
      </c>
      <c r="D1051" s="367">
        <f t="shared" ref="D1051:Q1051" si="284">+D1046+D1049</f>
        <v>12200.782687134384</v>
      </c>
      <c r="E1051" s="367">
        <f t="shared" si="284"/>
        <v>12434.759373295088</v>
      </c>
      <c r="F1051" s="367">
        <f t="shared" si="284"/>
        <v>12867.887709881947</v>
      </c>
      <c r="G1051" s="367">
        <f t="shared" si="284"/>
        <v>12904.325774576091</v>
      </c>
      <c r="H1051" s="367">
        <f t="shared" si="284"/>
        <v>13338.582151952623</v>
      </c>
      <c r="I1051" s="367">
        <f t="shared" si="284"/>
        <v>13972.058690310783</v>
      </c>
      <c r="J1051" s="367">
        <f t="shared" si="284"/>
        <v>14002.148884845834</v>
      </c>
      <c r="K1051" s="367">
        <f t="shared" si="284"/>
        <v>14033.045496594425</v>
      </c>
      <c r="L1051" s="367">
        <f t="shared" si="284"/>
        <v>14064.770137537877</v>
      </c>
      <c r="M1051" s="367">
        <f t="shared" si="284"/>
        <v>12948.592559305042</v>
      </c>
      <c r="N1051" s="367">
        <f t="shared" si="284"/>
        <v>12982.040426909174</v>
      </c>
      <c r="O1051" s="367">
        <f t="shared" si="284"/>
        <v>13016.384697365098</v>
      </c>
      <c r="P1051" s="367">
        <f t="shared" si="284"/>
        <v>13051.649394269241</v>
      </c>
      <c r="Q1051" s="367">
        <f t="shared" si="284"/>
        <v>13087.859185050414</v>
      </c>
    </row>
    <row r="1052" spans="1:17">
      <c r="A1052" s="74"/>
    </row>
    <row r="1053" spans="1:17" ht="14.4">
      <c r="A1053" s="366" t="s">
        <v>76</v>
      </c>
      <c r="B1053" s="378">
        <f>+SUM(C1053:Q1053)</f>
        <v>1593255.4139039335</v>
      </c>
      <c r="C1053" s="367">
        <f>+C1031-C1051</f>
        <v>86185.442877562236</v>
      </c>
      <c r="D1053" s="367">
        <f t="shared" ref="D1053:Q1053" si="285">+D1031-D1051</f>
        <v>88990.357312865613</v>
      </c>
      <c r="E1053" s="367">
        <f t="shared" si="285"/>
        <v>91468.303178704897</v>
      </c>
      <c r="F1053" s="367">
        <f t="shared" si="285"/>
        <v>93819.776918511619</v>
      </c>
      <c r="G1053" s="367">
        <f t="shared" si="285"/>
        <v>96642.568265858412</v>
      </c>
      <c r="H1053" s="367">
        <f t="shared" si="285"/>
        <v>99144.168648765553</v>
      </c>
      <c r="I1053" s="367">
        <f t="shared" si="285"/>
        <v>101525.22983186663</v>
      </c>
      <c r="J1053" s="367">
        <f t="shared" si="285"/>
        <v>104590.46696972589</v>
      </c>
      <c r="K1053" s="367">
        <f t="shared" si="285"/>
        <v>107737.85246287985</v>
      </c>
      <c r="L1053" s="367">
        <f t="shared" si="285"/>
        <v>110969.58788725029</v>
      </c>
      <c r="M1053" s="367">
        <f t="shared" si="285"/>
        <v>115436.68626054743</v>
      </c>
      <c r="N1053" s="367">
        <f t="shared" si="285"/>
        <v>118843.96386531534</v>
      </c>
      <c r="O1053" s="367">
        <f t="shared" si="285"/>
        <v>122342.55650989102</v>
      </c>
      <c r="P1053" s="367">
        <f t="shared" si="285"/>
        <v>125934.9114373413</v>
      </c>
      <c r="Q1053" s="367">
        <f t="shared" si="285"/>
        <v>129623.54147684731</v>
      </c>
    </row>
    <row r="1054" spans="1:17" ht="14.4">
      <c r="A1054" s="369"/>
      <c r="B1054" s="373"/>
      <c r="C1054" s="373"/>
      <c r="D1054" s="373"/>
      <c r="E1054" s="373"/>
      <c r="F1054" s="373"/>
      <c r="G1054" s="373"/>
      <c r="H1054" s="373"/>
      <c r="I1054" s="373"/>
      <c r="J1054" s="373"/>
      <c r="K1054" s="373"/>
      <c r="L1054" s="373"/>
      <c r="M1054" s="373"/>
      <c r="N1054" s="373"/>
      <c r="O1054" s="373"/>
      <c r="P1054" s="373"/>
      <c r="Q1054" s="373"/>
    </row>
    <row r="1055" spans="1:17" ht="14.4">
      <c r="A1055" s="366" t="s">
        <v>222</v>
      </c>
      <c r="B1055" s="380">
        <f>+Baseline_NaturalGas!C43</f>
        <v>0.7</v>
      </c>
      <c r="C1055" s="367">
        <f>IF((+$B$1055*C1053)&lt;0,"0",(+$B$1055*C1053))</f>
        <v>60329.810014293558</v>
      </c>
      <c r="D1055" s="367">
        <f t="shared" ref="D1055:Q1055" si="286">IF((+$B$1055*D1053)&lt;0,"0",(+$B$1055*D1053))</f>
        <v>62293.250119005927</v>
      </c>
      <c r="E1055" s="367">
        <f t="shared" si="286"/>
        <v>64027.812225093425</v>
      </c>
      <c r="F1055" s="367">
        <f t="shared" si="286"/>
        <v>65673.843842958129</v>
      </c>
      <c r="G1055" s="367">
        <f t="shared" si="286"/>
        <v>67649.797786100884</v>
      </c>
      <c r="H1055" s="367">
        <f t="shared" si="286"/>
        <v>69400.91805413588</v>
      </c>
      <c r="I1055" s="367">
        <f t="shared" si="286"/>
        <v>71067.660882306634</v>
      </c>
      <c r="J1055" s="367">
        <f t="shared" si="286"/>
        <v>73213.326878808119</v>
      </c>
      <c r="K1055" s="367">
        <f t="shared" si="286"/>
        <v>75416.496724015888</v>
      </c>
      <c r="L1055" s="367">
        <f t="shared" si="286"/>
        <v>77678.711521075194</v>
      </c>
      <c r="M1055" s="367">
        <f t="shared" si="286"/>
        <v>80805.680382383202</v>
      </c>
      <c r="N1055" s="367">
        <f t="shared" si="286"/>
        <v>83190.774705720731</v>
      </c>
      <c r="O1055" s="367">
        <f t="shared" si="286"/>
        <v>85639.789556923701</v>
      </c>
      <c r="P1055" s="367">
        <f t="shared" si="286"/>
        <v>88154.438006138909</v>
      </c>
      <c r="Q1055" s="367">
        <f t="shared" si="286"/>
        <v>90736.479033793119</v>
      </c>
    </row>
    <row r="1056" spans="1:17" ht="14.4">
      <c r="A1056" s="366" t="s">
        <v>77</v>
      </c>
      <c r="B1056" s="378">
        <f>+SUM(C1056:Q1056)</f>
        <v>1115278.7897327533</v>
      </c>
      <c r="C1056" s="367">
        <f>SUM(C1055:C1055)</f>
        <v>60329.810014293558</v>
      </c>
      <c r="D1056" s="367">
        <f t="shared" ref="D1056:Q1056" si="287">SUM(D1055:D1055)</f>
        <v>62293.250119005927</v>
      </c>
      <c r="E1056" s="367">
        <f t="shared" si="287"/>
        <v>64027.812225093425</v>
      </c>
      <c r="F1056" s="367">
        <f t="shared" si="287"/>
        <v>65673.843842958129</v>
      </c>
      <c r="G1056" s="367">
        <f t="shared" si="287"/>
        <v>67649.797786100884</v>
      </c>
      <c r="H1056" s="367">
        <f t="shared" si="287"/>
        <v>69400.91805413588</v>
      </c>
      <c r="I1056" s="367">
        <f t="shared" si="287"/>
        <v>71067.660882306634</v>
      </c>
      <c r="J1056" s="367">
        <f t="shared" si="287"/>
        <v>73213.326878808119</v>
      </c>
      <c r="K1056" s="367">
        <f t="shared" si="287"/>
        <v>75416.496724015888</v>
      </c>
      <c r="L1056" s="367">
        <f t="shared" si="287"/>
        <v>77678.711521075194</v>
      </c>
      <c r="M1056" s="367">
        <f t="shared" si="287"/>
        <v>80805.680382383202</v>
      </c>
      <c r="N1056" s="367">
        <f t="shared" si="287"/>
        <v>83190.774705720731</v>
      </c>
      <c r="O1056" s="367">
        <f t="shared" si="287"/>
        <v>85639.789556923701</v>
      </c>
      <c r="P1056" s="367">
        <f t="shared" si="287"/>
        <v>88154.438006138909</v>
      </c>
      <c r="Q1056" s="367">
        <f t="shared" si="287"/>
        <v>90736.479033793119</v>
      </c>
    </row>
    <row r="1057" spans="1:17" ht="14.4">
      <c r="A1057" s="369"/>
      <c r="B1057" s="373"/>
      <c r="C1057" s="373"/>
      <c r="D1057" s="373"/>
      <c r="E1057" s="373"/>
      <c r="F1057" s="373"/>
      <c r="G1057" s="373"/>
      <c r="H1057" s="373"/>
      <c r="I1057" s="373"/>
      <c r="J1057" s="373"/>
      <c r="K1057" s="373"/>
      <c r="L1057" s="373"/>
      <c r="M1057" s="373"/>
      <c r="N1057" s="373"/>
      <c r="O1057" s="373"/>
      <c r="P1057" s="373"/>
      <c r="Q1057" s="373"/>
    </row>
    <row r="1058" spans="1:17" ht="14.4">
      <c r="A1058" s="366" t="s">
        <v>78</v>
      </c>
      <c r="B1058" s="378">
        <f>+SUM(C1058:Q1058)</f>
        <v>477976.62417118007</v>
      </c>
      <c r="C1058" s="367">
        <f>+C1053-C1056</f>
        <v>25855.632863268678</v>
      </c>
      <c r="D1058" s="367">
        <f t="shared" ref="D1058:Q1058" si="288">+D1053-D1056</f>
        <v>26697.107193859687</v>
      </c>
      <c r="E1058" s="367">
        <f t="shared" si="288"/>
        <v>27440.490953611472</v>
      </c>
      <c r="F1058" s="367">
        <f t="shared" si="288"/>
        <v>28145.93307555349</v>
      </c>
      <c r="G1058" s="367">
        <f t="shared" si="288"/>
        <v>28992.770479757528</v>
      </c>
      <c r="H1058" s="367">
        <f t="shared" si="288"/>
        <v>29743.250594629673</v>
      </c>
      <c r="I1058" s="367">
        <f t="shared" si="288"/>
        <v>30457.568949559995</v>
      </c>
      <c r="J1058" s="367">
        <f t="shared" si="288"/>
        <v>31377.140090917776</v>
      </c>
      <c r="K1058" s="367">
        <f t="shared" si="288"/>
        <v>32321.35573886396</v>
      </c>
      <c r="L1058" s="367">
        <f t="shared" si="288"/>
        <v>33290.8763661751</v>
      </c>
      <c r="M1058" s="367">
        <f t="shared" si="288"/>
        <v>34631.005878164229</v>
      </c>
      <c r="N1058" s="367">
        <f t="shared" si="288"/>
        <v>35653.189159594607</v>
      </c>
      <c r="O1058" s="367">
        <f t="shared" si="288"/>
        <v>36702.766952967315</v>
      </c>
      <c r="P1058" s="367">
        <f t="shared" si="288"/>
        <v>37780.473431202394</v>
      </c>
      <c r="Q1058" s="367">
        <f t="shared" si="288"/>
        <v>38887.062443054194</v>
      </c>
    </row>
    <row r="1059" spans="1:17" ht="14.4">
      <c r="A1059" s="395" t="s">
        <v>331</v>
      </c>
      <c r="B1059" s="378">
        <f>+SUM(C1059:Q1059)</f>
        <v>11487.524395535713</v>
      </c>
      <c r="C1059" s="377">
        <f>+C1048</f>
        <v>1148.7524395535715</v>
      </c>
      <c r="D1059" s="377">
        <f t="shared" ref="D1059:Q1059" si="289">+D1048</f>
        <v>1148.7524395535715</v>
      </c>
      <c r="E1059" s="377">
        <f t="shared" si="289"/>
        <v>1148.7524395535715</v>
      </c>
      <c r="F1059" s="377">
        <f t="shared" si="289"/>
        <v>1148.7524395535715</v>
      </c>
      <c r="G1059" s="377">
        <f t="shared" si="289"/>
        <v>1148.7524395535715</v>
      </c>
      <c r="H1059" s="377">
        <f t="shared" si="289"/>
        <v>1148.7524395535715</v>
      </c>
      <c r="I1059" s="377">
        <f t="shared" si="289"/>
        <v>1148.7524395535715</v>
      </c>
      <c r="J1059" s="377">
        <f t="shared" si="289"/>
        <v>1148.7524395535715</v>
      </c>
      <c r="K1059" s="377">
        <f t="shared" si="289"/>
        <v>1148.7524395535715</v>
      </c>
      <c r="L1059" s="377">
        <f t="shared" si="289"/>
        <v>1148.7524395535715</v>
      </c>
      <c r="M1059" s="377">
        <f t="shared" si="289"/>
        <v>0</v>
      </c>
      <c r="N1059" s="377">
        <f t="shared" si="289"/>
        <v>0</v>
      </c>
      <c r="O1059" s="377">
        <f t="shared" si="289"/>
        <v>0</v>
      </c>
      <c r="P1059" s="377">
        <f t="shared" si="289"/>
        <v>0</v>
      </c>
      <c r="Q1059" s="377">
        <f t="shared" si="289"/>
        <v>0</v>
      </c>
    </row>
    <row r="1060" spans="1:17" ht="14.4">
      <c r="A1060" s="395" t="s">
        <v>332</v>
      </c>
      <c r="B1060" s="378">
        <f>+Baseline_NaturalGas!C993</f>
        <v>0</v>
      </c>
      <c r="C1060" s="367">
        <f>+Baseline_NaturalGas!D993</f>
        <v>0</v>
      </c>
      <c r="D1060" s="367">
        <f>+Baseline_NaturalGas!E993</f>
        <v>0</v>
      </c>
      <c r="E1060" s="367">
        <f>+Baseline_NaturalGas!F993</f>
        <v>0</v>
      </c>
      <c r="F1060" s="367">
        <f>+Baseline_NaturalGas!G993</f>
        <v>0</v>
      </c>
      <c r="G1060" s="367">
        <f>+Baseline_NaturalGas!H993</f>
        <v>0</v>
      </c>
      <c r="H1060" s="367">
        <f>+Baseline_NaturalGas!I993</f>
        <v>0</v>
      </c>
      <c r="I1060" s="367">
        <f>+Baseline_NaturalGas!J993</f>
        <v>0</v>
      </c>
      <c r="J1060" s="367">
        <f>+Baseline_NaturalGas!K993</f>
        <v>0</v>
      </c>
      <c r="K1060" s="367">
        <f>+Baseline_NaturalGas!L993</f>
        <v>0</v>
      </c>
      <c r="L1060" s="367">
        <f>+Baseline_NaturalGas!M993</f>
        <v>0</v>
      </c>
      <c r="M1060" s="367">
        <f>+Baseline_NaturalGas!N993</f>
        <v>0</v>
      </c>
      <c r="N1060" s="367">
        <f>+Baseline_NaturalGas!O993</f>
        <v>0</v>
      </c>
      <c r="O1060" s="367">
        <f>+Baseline_NaturalGas!P993</f>
        <v>0</v>
      </c>
      <c r="P1060" s="367">
        <f>+Baseline_NaturalGas!Q993</f>
        <v>0</v>
      </c>
      <c r="Q1060" s="367">
        <f>+Baseline_NaturalGas!R993</f>
        <v>0</v>
      </c>
    </row>
    <row r="1061" spans="1:17" ht="14.4">
      <c r="A1061" s="376"/>
      <c r="B1061" s="389"/>
      <c r="C1061" s="389"/>
      <c r="D1061" s="389"/>
      <c r="E1061" s="389"/>
      <c r="F1061" s="389"/>
      <c r="G1061" s="389"/>
      <c r="H1061" s="389"/>
      <c r="I1061" s="389"/>
      <c r="J1061" s="389"/>
      <c r="K1061" s="389"/>
      <c r="L1061" s="389"/>
      <c r="M1061" s="389"/>
      <c r="N1061" s="389"/>
      <c r="O1061" s="389"/>
      <c r="P1061" s="389"/>
      <c r="Q1061" s="389"/>
    </row>
    <row r="1062" spans="1:17" ht="14.4">
      <c r="A1062" s="366" t="s">
        <v>110</v>
      </c>
      <c r="B1062" s="378">
        <f>-Baseline_NaturalGas!$D$5</f>
        <v>-11487.524395535715</v>
      </c>
      <c r="C1062" s="367">
        <f>+C1058+C1059+C1060</f>
        <v>27004.385302822251</v>
      </c>
      <c r="D1062" s="367">
        <f t="shared" ref="D1062:Q1062" si="290">+D1058+D1059+D1060</f>
        <v>27845.85963341326</v>
      </c>
      <c r="E1062" s="367">
        <f t="shared" si="290"/>
        <v>28589.243393165045</v>
      </c>
      <c r="F1062" s="367">
        <f t="shared" si="290"/>
        <v>29294.685515107063</v>
      </c>
      <c r="G1062" s="367">
        <f t="shared" si="290"/>
        <v>30141.522919311101</v>
      </c>
      <c r="H1062" s="367">
        <f t="shared" si="290"/>
        <v>30892.003034183246</v>
      </c>
      <c r="I1062" s="367">
        <f t="shared" si="290"/>
        <v>31606.321389113567</v>
      </c>
      <c r="J1062" s="367">
        <f t="shared" si="290"/>
        <v>32525.892530471348</v>
      </c>
      <c r="K1062" s="367">
        <f t="shared" si="290"/>
        <v>33470.108178417533</v>
      </c>
      <c r="L1062" s="367">
        <f t="shared" si="290"/>
        <v>34439.628805728673</v>
      </c>
      <c r="M1062" s="367">
        <f t="shared" si="290"/>
        <v>34631.005878164229</v>
      </c>
      <c r="N1062" s="367">
        <f t="shared" si="290"/>
        <v>35653.189159594607</v>
      </c>
      <c r="O1062" s="367">
        <f t="shared" si="290"/>
        <v>36702.766952967315</v>
      </c>
      <c r="P1062" s="367">
        <f t="shared" si="290"/>
        <v>37780.473431202394</v>
      </c>
      <c r="Q1062" s="367">
        <f t="shared" si="290"/>
        <v>38887.062443054194</v>
      </c>
    </row>
    <row r="1063" spans="1:17" ht="15.6">
      <c r="A1063" s="366" t="s">
        <v>51</v>
      </c>
      <c r="B1063" s="132">
        <f>IRR(B1062:Q1062)</f>
        <v>2.3804557217931155</v>
      </c>
      <c r="C1063" s="390"/>
      <c r="D1063" s="390"/>
      <c r="E1063" s="390"/>
      <c r="F1063" s="390"/>
      <c r="G1063" s="390"/>
      <c r="H1063" s="390"/>
      <c r="I1063" s="390"/>
      <c r="J1063" s="390"/>
      <c r="K1063" s="390"/>
      <c r="L1063" s="390"/>
      <c r="M1063" s="390"/>
      <c r="N1063" s="390"/>
      <c r="O1063" s="390"/>
      <c r="P1063" s="390"/>
      <c r="Q1063" s="390"/>
    </row>
    <row r="1064" spans="1:17" ht="15.6">
      <c r="A1064" s="366" t="s">
        <v>267</v>
      </c>
      <c r="B1064" s="303">
        <f>NPV('Initial Data'!$C$21/100,B1062:Q1062)</f>
        <v>178114.29408408233</v>
      </c>
      <c r="C1064" s="373"/>
      <c r="D1064" s="373"/>
      <c r="E1064" s="373"/>
      <c r="F1064" s="373"/>
      <c r="G1064" s="373"/>
      <c r="H1064" s="373"/>
      <c r="I1064" s="373"/>
      <c r="J1064" s="373"/>
      <c r="K1064" s="373"/>
      <c r="L1064" s="373"/>
      <c r="M1064" s="373"/>
      <c r="N1064" s="373"/>
      <c r="O1064" s="373"/>
      <c r="P1064" s="373"/>
      <c r="Q1064" s="373"/>
    </row>
    <row r="1066" spans="1:17" ht="14.4">
      <c r="A1066" s="417" t="s">
        <v>342</v>
      </c>
      <c r="B1066" s="418"/>
      <c r="C1066" s="418"/>
      <c r="D1066" s="418"/>
      <c r="E1066" s="418"/>
      <c r="F1066" s="418"/>
      <c r="G1066" s="418"/>
      <c r="H1066" s="418"/>
      <c r="I1066" s="418"/>
      <c r="J1066" s="418"/>
      <c r="K1066" s="418"/>
      <c r="L1066" s="418"/>
      <c r="M1066" s="418"/>
      <c r="N1066" s="418"/>
      <c r="O1066" s="418"/>
      <c r="P1066" s="418"/>
      <c r="Q1066" s="418"/>
    </row>
    <row r="1067" spans="1:17" ht="14.4">
      <c r="A1067" s="371" t="s">
        <v>343</v>
      </c>
      <c r="B1067" s="372"/>
      <c r="C1067" s="372"/>
      <c r="D1067" s="372"/>
      <c r="E1067" s="372"/>
      <c r="F1067" s="372"/>
      <c r="G1067" s="372"/>
      <c r="H1067" s="372"/>
      <c r="I1067" s="372"/>
      <c r="J1067" s="372"/>
      <c r="K1067" s="372"/>
      <c r="L1067" s="372"/>
      <c r="M1067" s="372"/>
      <c r="N1067" s="372"/>
      <c r="O1067" s="372"/>
      <c r="P1067" s="372"/>
      <c r="Q1067" s="372"/>
    </row>
    <row r="1068" spans="1:17" ht="27">
      <c r="A1068" s="376"/>
      <c r="B1068" s="304" t="s">
        <v>35</v>
      </c>
      <c r="C1068" s="352" t="s">
        <v>407</v>
      </c>
      <c r="D1068" s="352" t="s">
        <v>408</v>
      </c>
      <c r="E1068" s="352" t="s">
        <v>409</v>
      </c>
      <c r="F1068" s="352" t="s">
        <v>410</v>
      </c>
      <c r="G1068" s="352" t="s">
        <v>411</v>
      </c>
      <c r="H1068" s="352" t="s">
        <v>412</v>
      </c>
      <c r="I1068" s="352" t="s">
        <v>413</v>
      </c>
      <c r="J1068" s="352" t="s">
        <v>414</v>
      </c>
      <c r="K1068" s="352" t="s">
        <v>415</v>
      </c>
      <c r="L1068" s="352" t="s">
        <v>416</v>
      </c>
      <c r="M1068" s="352" t="s">
        <v>417</v>
      </c>
      <c r="N1068" s="352" t="s">
        <v>418</v>
      </c>
      <c r="O1068" s="352" t="s">
        <v>419</v>
      </c>
      <c r="P1068" s="352" t="s">
        <v>420</v>
      </c>
      <c r="Q1068" s="352" t="s">
        <v>421</v>
      </c>
    </row>
    <row r="1069" spans="1:17" ht="14.4">
      <c r="A1069" s="363" t="s">
        <v>290</v>
      </c>
      <c r="B1069" s="365"/>
      <c r="C1069" s="367">
        <f>+Baseline_NaturalGas!D10</f>
        <v>219000</v>
      </c>
      <c r="D1069" s="367">
        <f>+Baseline_NaturalGas!E10</f>
        <v>219000</v>
      </c>
      <c r="E1069" s="367">
        <f>+Baseline_NaturalGas!F10</f>
        <v>219000</v>
      </c>
      <c r="F1069" s="367">
        <f>+Baseline_NaturalGas!G10</f>
        <v>219000</v>
      </c>
      <c r="G1069" s="367">
        <f>+Baseline_NaturalGas!H10</f>
        <v>219000</v>
      </c>
      <c r="H1069" s="367">
        <f>+Baseline_NaturalGas!I10</f>
        <v>219000</v>
      </c>
      <c r="I1069" s="367">
        <f>+Baseline_NaturalGas!J10</f>
        <v>219000</v>
      </c>
      <c r="J1069" s="367">
        <f>+Baseline_NaturalGas!K10</f>
        <v>219000</v>
      </c>
      <c r="K1069" s="367">
        <f>+Baseline_NaturalGas!L10</f>
        <v>219000</v>
      </c>
      <c r="L1069" s="367">
        <f>+Baseline_NaturalGas!M10</f>
        <v>219000</v>
      </c>
      <c r="M1069" s="367">
        <f>+Baseline_NaturalGas!N10</f>
        <v>219000</v>
      </c>
      <c r="N1069" s="367">
        <f>+Baseline_NaturalGas!O10</f>
        <v>219000</v>
      </c>
      <c r="O1069" s="367">
        <f>+Baseline_NaturalGas!P10</f>
        <v>219000</v>
      </c>
      <c r="P1069" s="367">
        <f>+Baseline_NaturalGas!Q10</f>
        <v>219000</v>
      </c>
      <c r="Q1069" s="367">
        <f>+Baseline_NaturalGas!R10</f>
        <v>219000</v>
      </c>
    </row>
    <row r="1070" spans="1:17" ht="14.4">
      <c r="A1070" s="364" t="s">
        <v>291</v>
      </c>
      <c r="B1070" s="365"/>
      <c r="C1070" s="367">
        <f>+Baseline_NaturalGas!D11</f>
        <v>70</v>
      </c>
      <c r="D1070" s="367">
        <f>+Baseline_NaturalGas!E11</f>
        <v>70</v>
      </c>
      <c r="E1070" s="367">
        <f>+Baseline_NaturalGas!F11</f>
        <v>70</v>
      </c>
      <c r="F1070" s="367">
        <f>+Baseline_NaturalGas!G11</f>
        <v>70</v>
      </c>
      <c r="G1070" s="367">
        <f>+Baseline_NaturalGas!H11</f>
        <v>70</v>
      </c>
      <c r="H1070" s="367">
        <f>+Baseline_NaturalGas!I11</f>
        <v>70</v>
      </c>
      <c r="I1070" s="367">
        <f>+Baseline_NaturalGas!J11</f>
        <v>70</v>
      </c>
      <c r="J1070" s="367">
        <f>+Baseline_NaturalGas!K11</f>
        <v>70</v>
      </c>
      <c r="K1070" s="367">
        <f>+Baseline_NaturalGas!L11</f>
        <v>70</v>
      </c>
      <c r="L1070" s="367">
        <f>+Baseline_NaturalGas!M11</f>
        <v>70</v>
      </c>
      <c r="M1070" s="367">
        <f>+Baseline_NaturalGas!N11</f>
        <v>70</v>
      </c>
      <c r="N1070" s="367">
        <f>+Baseline_NaturalGas!O11</f>
        <v>70</v>
      </c>
      <c r="O1070" s="367">
        <f>+Baseline_NaturalGas!P11</f>
        <v>70</v>
      </c>
      <c r="P1070" s="367">
        <f>+Baseline_NaturalGas!Q11</f>
        <v>70</v>
      </c>
      <c r="Q1070" s="367">
        <f>+Baseline_NaturalGas!R11</f>
        <v>70</v>
      </c>
    </row>
    <row r="1071" spans="1:17" ht="14.4">
      <c r="A1071" s="366" t="s">
        <v>292</v>
      </c>
      <c r="B1071" s="365"/>
      <c r="C1071" s="367">
        <f>+Baseline_NaturalGas!D12</f>
        <v>6.4285714285714288</v>
      </c>
      <c r="D1071" s="367">
        <f>+Baseline_NaturalGas!E12</f>
        <v>6.6008571428571425</v>
      </c>
      <c r="E1071" s="367">
        <f>+Baseline_NaturalGas!F12</f>
        <v>6.7777601142857131</v>
      </c>
      <c r="F1071" s="367">
        <f>+Baseline_NaturalGas!G12</f>
        <v>6.9594040853485701</v>
      </c>
      <c r="G1071" s="367">
        <f>+Baseline_NaturalGas!H12</f>
        <v>7.1459161148359112</v>
      </c>
      <c r="H1071" s="367">
        <f>+Baseline_NaturalGas!I12</f>
        <v>7.3374266667135135</v>
      </c>
      <c r="I1071" s="367">
        <f>+Baseline_NaturalGas!J12</f>
        <v>7.5340697013814353</v>
      </c>
      <c r="J1071" s="367">
        <f>+Baseline_NaturalGas!K12</f>
        <v>7.7359827693784569</v>
      </c>
      <c r="K1071" s="367">
        <f>+Baseline_NaturalGas!L12</f>
        <v>7.943307107597799</v>
      </c>
      <c r="L1071" s="367">
        <f>+Baseline_NaturalGas!M12</f>
        <v>8.1561877380814192</v>
      </c>
      <c r="M1071" s="367">
        <f>+Baseline_NaturalGas!N12</f>
        <v>8.3747735694620005</v>
      </c>
      <c r="N1071" s="367">
        <f>+Baseline_NaturalGas!O12</f>
        <v>8.5992175011235812</v>
      </c>
      <c r="O1071" s="367">
        <f>+Baseline_NaturalGas!P12</f>
        <v>8.8296765301536926</v>
      </c>
      <c r="P1071" s="367">
        <f>+Baseline_NaturalGas!Q12</f>
        <v>9.066311861161811</v>
      </c>
      <c r="Q1071" s="367">
        <f>+Baseline_NaturalGas!R12</f>
        <v>9.3092890190409463</v>
      </c>
    </row>
    <row r="1072" spans="1:17" ht="14.4">
      <c r="A1072" s="366" t="s">
        <v>293</v>
      </c>
      <c r="B1072" s="365"/>
      <c r="C1072" s="367">
        <f>+C1070*C1071</f>
        <v>450</v>
      </c>
      <c r="D1072" s="367">
        <f t="shared" ref="D1072:Q1072" si="291">+D1070*D1071</f>
        <v>462.06</v>
      </c>
      <c r="E1072" s="367">
        <f t="shared" si="291"/>
        <v>474.44320799999991</v>
      </c>
      <c r="F1072" s="367">
        <f t="shared" si="291"/>
        <v>487.15828597439992</v>
      </c>
      <c r="G1072" s="367">
        <f t="shared" si="291"/>
        <v>500.21412803851376</v>
      </c>
      <c r="H1072" s="367">
        <f t="shared" si="291"/>
        <v>513.61986666994596</v>
      </c>
      <c r="I1072" s="367">
        <f t="shared" si="291"/>
        <v>527.3848790967005</v>
      </c>
      <c r="J1072" s="367">
        <f t="shared" si="291"/>
        <v>541.51879385649192</v>
      </c>
      <c r="K1072" s="367">
        <f t="shared" si="291"/>
        <v>556.03149753184596</v>
      </c>
      <c r="L1072" s="367">
        <f t="shared" si="291"/>
        <v>570.9331416656994</v>
      </c>
      <c r="M1072" s="367">
        <f t="shared" si="291"/>
        <v>586.23414986234002</v>
      </c>
      <c r="N1072" s="367">
        <f t="shared" si="291"/>
        <v>601.94522507865065</v>
      </c>
      <c r="O1072" s="367">
        <f t="shared" si="291"/>
        <v>618.0773571107585</v>
      </c>
      <c r="P1072" s="367">
        <f t="shared" si="291"/>
        <v>634.64183028132675</v>
      </c>
      <c r="Q1072" s="367">
        <f t="shared" si="291"/>
        <v>651.65023133286627</v>
      </c>
    </row>
    <row r="1073" spans="1:17" ht="14.4">
      <c r="A1073" s="370"/>
      <c r="B1073" s="373"/>
      <c r="C1073" s="373"/>
      <c r="D1073" s="373"/>
      <c r="E1073" s="373"/>
      <c r="F1073" s="373"/>
      <c r="G1073" s="373"/>
      <c r="H1073" s="373"/>
      <c r="I1073" s="373"/>
      <c r="J1073" s="373"/>
      <c r="K1073" s="373"/>
      <c r="L1073" s="373"/>
      <c r="M1073" s="373"/>
      <c r="N1073" s="373"/>
      <c r="O1073" s="373"/>
      <c r="P1073" s="373"/>
      <c r="Q1073" s="373"/>
    </row>
    <row r="1074" spans="1:17" ht="14.4">
      <c r="A1074" s="366" t="s">
        <v>294</v>
      </c>
      <c r="B1074" s="378">
        <f>+SUM(C1074:Q1074)</f>
        <v>1790524.8581953994</v>
      </c>
      <c r="C1074" s="377">
        <f>C1069*C1072/1000*'Initial Data'!$C$34/'Initial Data'!$C$33</f>
        <v>98550</v>
      </c>
      <c r="D1074" s="377">
        <f>D1069*D1072/1000*'Initial Data'!$C$34/'Initial Data'!$C$33</f>
        <v>101191.14</v>
      </c>
      <c r="E1074" s="377">
        <f>E1069*E1072/1000*'Initial Data'!$C$34/'Initial Data'!$C$33</f>
        <v>103903.06255199999</v>
      </c>
      <c r="F1074" s="377">
        <f>F1069*F1072/1000*'Initial Data'!$C$34/'Initial Data'!$C$33</f>
        <v>106687.66462839357</v>
      </c>
      <c r="G1074" s="377">
        <f>G1069*G1072/1000*'Initial Data'!$C$34/'Initial Data'!$C$33</f>
        <v>109546.8940404345</v>
      </c>
      <c r="H1074" s="377">
        <f>H1069*H1072/1000*'Initial Data'!$C$34/'Initial Data'!$C$33</f>
        <v>112482.75080071818</v>
      </c>
      <c r="I1074" s="377">
        <f>I1069*I1072/1000*'Initial Data'!$C$34/'Initial Data'!$C$33</f>
        <v>115497.28852217742</v>
      </c>
      <c r="J1074" s="377">
        <f>J1069*J1072/1000*'Initial Data'!$C$34/'Initial Data'!$C$33</f>
        <v>118592.61585457173</v>
      </c>
      <c r="K1074" s="377">
        <f>K1069*K1072/1000*'Initial Data'!$C$34/'Initial Data'!$C$33</f>
        <v>121770.89795947427</v>
      </c>
      <c r="L1074" s="377">
        <f>L1069*L1072/1000*'Initial Data'!$C$34/'Initial Data'!$C$33</f>
        <v>125034.35802478818</v>
      </c>
      <c r="M1074" s="377">
        <f>M1069*M1072/1000*'Initial Data'!$C$34/'Initial Data'!$C$33</f>
        <v>128385.27881985246</v>
      </c>
      <c r="N1074" s="377">
        <f>N1069*N1072/1000*'Initial Data'!$C$34/'Initial Data'!$C$33</f>
        <v>131826.0042922245</v>
      </c>
      <c r="O1074" s="377">
        <f>O1069*O1072/1000*'Initial Data'!$C$34/'Initial Data'!$C$33</f>
        <v>135358.94120725611</v>
      </c>
      <c r="P1074" s="377">
        <f>P1069*P1072/1000*'Initial Data'!$C$34/'Initial Data'!$C$33</f>
        <v>138986.56083161055</v>
      </c>
      <c r="Q1074" s="377">
        <f>Q1069*Q1072/1000*'Initial Data'!$C$34/'Initial Data'!$C$33</f>
        <v>142711.40066189773</v>
      </c>
    </row>
    <row r="1075" spans="1:17" ht="14.4">
      <c r="A1075" s="370"/>
      <c r="B1075" s="373"/>
      <c r="C1075" s="373"/>
      <c r="D1075" s="373"/>
      <c r="E1075" s="373"/>
      <c r="F1075" s="373"/>
      <c r="G1075" s="373"/>
      <c r="H1075" s="373"/>
      <c r="I1075" s="373"/>
      <c r="J1075" s="373"/>
      <c r="K1075" s="373"/>
      <c r="L1075" s="373"/>
      <c r="M1075" s="373"/>
      <c r="N1075" s="373"/>
      <c r="O1075" s="373"/>
      <c r="P1075" s="373"/>
      <c r="Q1075" s="373"/>
    </row>
    <row r="1076" spans="1:17" ht="14.4">
      <c r="A1076" s="366" t="s">
        <v>295</v>
      </c>
      <c r="B1076" s="378">
        <f>+SUM(C1076:Q1076)</f>
        <v>1790524.8581953994</v>
      </c>
      <c r="C1076" s="367">
        <f>+C1074</f>
        <v>98550</v>
      </c>
      <c r="D1076" s="367">
        <f t="shared" ref="D1076:Q1076" si="292">+D1074</f>
        <v>101191.14</v>
      </c>
      <c r="E1076" s="367">
        <f t="shared" si="292"/>
        <v>103903.06255199999</v>
      </c>
      <c r="F1076" s="367">
        <f t="shared" si="292"/>
        <v>106687.66462839357</v>
      </c>
      <c r="G1076" s="367">
        <f t="shared" si="292"/>
        <v>109546.8940404345</v>
      </c>
      <c r="H1076" s="367">
        <f t="shared" si="292"/>
        <v>112482.75080071818</v>
      </c>
      <c r="I1076" s="367">
        <f t="shared" si="292"/>
        <v>115497.28852217742</v>
      </c>
      <c r="J1076" s="367">
        <f t="shared" si="292"/>
        <v>118592.61585457173</v>
      </c>
      <c r="K1076" s="367">
        <f t="shared" si="292"/>
        <v>121770.89795947427</v>
      </c>
      <c r="L1076" s="367">
        <f t="shared" si="292"/>
        <v>125034.35802478818</v>
      </c>
      <c r="M1076" s="367">
        <f t="shared" si="292"/>
        <v>128385.27881985246</v>
      </c>
      <c r="N1076" s="367">
        <f t="shared" si="292"/>
        <v>131826.0042922245</v>
      </c>
      <c r="O1076" s="367">
        <f t="shared" si="292"/>
        <v>135358.94120725611</v>
      </c>
      <c r="P1076" s="367">
        <f t="shared" si="292"/>
        <v>138986.56083161055</v>
      </c>
      <c r="Q1076" s="367">
        <f t="shared" si="292"/>
        <v>142711.40066189773</v>
      </c>
    </row>
    <row r="1077" spans="1:17" ht="14.4">
      <c r="A1077" s="370"/>
      <c r="B1077" s="374"/>
      <c r="C1077" s="374"/>
      <c r="D1077" s="374"/>
      <c r="E1077" s="374"/>
      <c r="F1077" s="374"/>
      <c r="G1077" s="374"/>
      <c r="H1077" s="374"/>
      <c r="I1077" s="374"/>
      <c r="J1077" s="374"/>
      <c r="K1077" s="374"/>
      <c r="L1077" s="374"/>
      <c r="M1077" s="374"/>
      <c r="N1077" s="374"/>
      <c r="O1077" s="374"/>
      <c r="P1077" s="374"/>
      <c r="Q1077" s="374"/>
    </row>
    <row r="1078" spans="1:17" ht="14.4">
      <c r="A1078" s="366" t="s">
        <v>68</v>
      </c>
      <c r="B1078" s="368"/>
      <c r="C1078" s="368"/>
      <c r="D1078" s="368"/>
      <c r="E1078" s="368"/>
      <c r="F1078" s="368"/>
      <c r="G1078" s="368"/>
      <c r="H1078" s="368"/>
      <c r="I1078" s="368"/>
      <c r="J1078" s="368"/>
      <c r="K1078" s="368"/>
      <c r="L1078" s="368"/>
      <c r="M1078" s="368"/>
      <c r="N1078" s="368"/>
      <c r="O1078" s="368"/>
      <c r="P1078" s="368"/>
      <c r="Q1078" s="368"/>
    </row>
    <row r="1079" spans="1:17" ht="14.4">
      <c r="A1079" s="366" t="s">
        <v>330</v>
      </c>
      <c r="B1079" s="378">
        <f>+SUM(C1079:Q1079)</f>
        <v>17405.991521183645</v>
      </c>
      <c r="C1079" s="367">
        <f>+Baseline_NaturalGas!D20</f>
        <v>958.02102749999995</v>
      </c>
      <c r="D1079" s="367">
        <f>+Baseline_NaturalGas!E20</f>
        <v>983.69599103699989</v>
      </c>
      <c r="E1079" s="367">
        <f>+Baseline_NaturalGas!F20</f>
        <v>1010.0590435967914</v>
      </c>
      <c r="F1079" s="367">
        <f>+Baseline_NaturalGas!G20</f>
        <v>1037.1286259651854</v>
      </c>
      <c r="G1079" s="367">
        <f>+Baseline_NaturalGas!H20</f>
        <v>1064.9236731410524</v>
      </c>
      <c r="H1079" s="367">
        <f>+Baseline_NaturalGas!I20</f>
        <v>1093.4636275812325</v>
      </c>
      <c r="I1079" s="367">
        <f>+Baseline_NaturalGas!J20</f>
        <v>1122.7684528004095</v>
      </c>
      <c r="J1079" s="367">
        <f>+Baseline_NaturalGas!K20</f>
        <v>1152.8586473354603</v>
      </c>
      <c r="K1079" s="367">
        <f>+Baseline_NaturalGas!L20</f>
        <v>1183.7552590840505</v>
      </c>
      <c r="L1079" s="367">
        <f>+Baseline_NaturalGas!M20</f>
        <v>1215.4799000275029</v>
      </c>
      <c r="M1079" s="367">
        <f>+Baseline_NaturalGas!N20</f>
        <v>1248.0547613482399</v>
      </c>
      <c r="N1079" s="367">
        <f>+Baseline_NaturalGas!O20</f>
        <v>1281.5026289523728</v>
      </c>
      <c r="O1079" s="367">
        <f>+Baseline_NaturalGas!P20</f>
        <v>1315.8468994082964</v>
      </c>
      <c r="P1079" s="367">
        <f>+Baseline_NaturalGas!Q20</f>
        <v>1351.1115963124387</v>
      </c>
      <c r="Q1079" s="367">
        <f>+Baseline_NaturalGas!R20</f>
        <v>1387.321387093612</v>
      </c>
    </row>
    <row r="1080" spans="1:17" ht="14.4">
      <c r="A1080" s="370"/>
      <c r="B1080" s="369"/>
      <c r="C1080" s="369"/>
      <c r="D1080" s="369"/>
      <c r="E1080" s="369"/>
      <c r="F1080" s="369"/>
      <c r="G1080" s="369"/>
      <c r="H1080" s="369"/>
      <c r="I1080" s="369"/>
      <c r="J1080" s="369"/>
      <c r="K1080" s="369"/>
      <c r="L1080" s="369"/>
      <c r="M1080" s="369"/>
      <c r="N1080" s="369"/>
      <c r="O1080" s="369"/>
      <c r="P1080" s="369"/>
      <c r="Q1080" s="369"/>
    </row>
    <row r="1081" spans="1:17" ht="14.4">
      <c r="A1081" s="366" t="s">
        <v>71</v>
      </c>
      <c r="B1081" s="379"/>
      <c r="C1081" s="379"/>
      <c r="D1081" s="379"/>
      <c r="E1081" s="379"/>
      <c r="F1081" s="379"/>
      <c r="G1081" s="379"/>
      <c r="H1081" s="379"/>
      <c r="I1081" s="379"/>
      <c r="J1081" s="379"/>
      <c r="K1081" s="379"/>
      <c r="L1081" s="379"/>
      <c r="M1081" s="379"/>
      <c r="N1081" s="379"/>
      <c r="O1081" s="379"/>
      <c r="P1081" s="379"/>
      <c r="Q1081" s="379"/>
    </row>
    <row r="1082" spans="1:17" ht="14.4">
      <c r="A1082" s="370"/>
      <c r="B1082" s="379"/>
      <c r="C1082" s="379"/>
      <c r="D1082" s="379"/>
      <c r="E1082" s="379"/>
      <c r="F1082" s="379"/>
      <c r="G1082" s="379"/>
      <c r="H1082" s="379"/>
      <c r="I1082" s="379"/>
      <c r="J1082" s="379"/>
      <c r="K1082" s="379"/>
      <c r="L1082" s="379"/>
      <c r="M1082" s="379"/>
      <c r="N1082" s="379"/>
      <c r="O1082" s="379"/>
      <c r="P1082" s="379"/>
      <c r="Q1082" s="379"/>
    </row>
    <row r="1083" spans="1:17" ht="14.4">
      <c r="A1083" s="366" t="s">
        <v>64</v>
      </c>
      <c r="B1083" s="373"/>
      <c r="C1083" s="367">
        <f>+Baseline_NaturalGas!D24</f>
        <v>1656.5089715892002</v>
      </c>
      <c r="D1083" s="367">
        <f>+Baseline_NaturalGas!E24</f>
        <v>1656.5089715892002</v>
      </c>
      <c r="E1083" s="367">
        <f>+Baseline_NaturalGas!F24</f>
        <v>1656.5089715892002</v>
      </c>
      <c r="F1083" s="367">
        <f>+Baseline_NaturalGas!G24</f>
        <v>1656.5089715892002</v>
      </c>
      <c r="G1083" s="367">
        <f>+Baseline_NaturalGas!H24</f>
        <v>1656.5089715892002</v>
      </c>
      <c r="H1083" s="367">
        <f>+Baseline_NaturalGas!I24</f>
        <v>1656.5089715892002</v>
      </c>
      <c r="I1083" s="367">
        <f>+Baseline_NaturalGas!J24</f>
        <v>1656.5089715892002</v>
      </c>
      <c r="J1083" s="367">
        <f>+Baseline_NaturalGas!K24</f>
        <v>1656.5089715892002</v>
      </c>
      <c r="K1083" s="367">
        <f>+Baseline_NaturalGas!L24</f>
        <v>1656.5089715892002</v>
      </c>
      <c r="L1083" s="367">
        <f>+Baseline_NaturalGas!M24</f>
        <v>1656.5089715892002</v>
      </c>
      <c r="M1083" s="367">
        <f>+Baseline_NaturalGas!N24</f>
        <v>1656.5089715892002</v>
      </c>
      <c r="N1083" s="367">
        <f>+Baseline_NaturalGas!O24</f>
        <v>1656.5089715892002</v>
      </c>
      <c r="O1083" s="367">
        <f>+Baseline_NaturalGas!P24</f>
        <v>1656.5089715892002</v>
      </c>
      <c r="P1083" s="367">
        <f>+Baseline_NaturalGas!Q24</f>
        <v>1656.5089715892002</v>
      </c>
      <c r="Q1083" s="367">
        <f>+Baseline_NaturalGas!R24</f>
        <v>1656.5089715892002</v>
      </c>
    </row>
    <row r="1084" spans="1:17" ht="14.4">
      <c r="A1084" s="366" t="s">
        <v>108</v>
      </c>
      <c r="B1084" s="387">
        <f>+Baseline_NaturalGas!C25</f>
        <v>0.90200000000000002</v>
      </c>
      <c r="C1084" s="373"/>
      <c r="D1084" s="373"/>
      <c r="E1084" s="373"/>
      <c r="F1084" s="373"/>
      <c r="G1084" s="373"/>
      <c r="H1084" s="373"/>
      <c r="I1084" s="373"/>
      <c r="J1084" s="373"/>
      <c r="K1084" s="373"/>
      <c r="L1084" s="373"/>
      <c r="M1084" s="373"/>
      <c r="N1084" s="373"/>
      <c r="O1084" s="373"/>
      <c r="P1084" s="373"/>
      <c r="Q1084" s="373"/>
    </row>
    <row r="1085" spans="1:17" ht="14.4">
      <c r="A1085" s="366" t="s">
        <v>345</v>
      </c>
      <c r="B1085" s="373"/>
      <c r="C1085" s="367">
        <f>+Baseline_NaturalGas!D26</f>
        <v>1741816.7092883086</v>
      </c>
      <c r="D1085" s="367">
        <f>+Baseline_NaturalGas!E26</f>
        <v>1741816.7092883086</v>
      </c>
      <c r="E1085" s="367">
        <f>+Baseline_NaturalGas!F26</f>
        <v>1741816.7092883086</v>
      </c>
      <c r="F1085" s="367">
        <f>+Baseline_NaturalGas!G26</f>
        <v>1741816.7092883086</v>
      </c>
      <c r="G1085" s="367">
        <f>+Baseline_NaturalGas!H26</f>
        <v>1741816.7092883086</v>
      </c>
      <c r="H1085" s="367">
        <f>+Baseline_NaturalGas!I26</f>
        <v>1741816.7092883086</v>
      </c>
      <c r="I1085" s="367">
        <f>+Baseline_NaturalGas!J26</f>
        <v>1741816.7092883086</v>
      </c>
      <c r="J1085" s="367">
        <f>+Baseline_NaturalGas!K26</f>
        <v>1741816.7092883086</v>
      </c>
      <c r="K1085" s="367">
        <f>+Baseline_NaturalGas!L26</f>
        <v>1741816.7092883086</v>
      </c>
      <c r="L1085" s="367">
        <f>+Baseline_NaturalGas!M26</f>
        <v>1741816.7092883086</v>
      </c>
      <c r="M1085" s="367">
        <f>+Baseline_NaturalGas!N26</f>
        <v>1741816.7092883086</v>
      </c>
      <c r="N1085" s="367">
        <f>+Baseline_NaturalGas!O26</f>
        <v>1741816.7092883086</v>
      </c>
      <c r="O1085" s="367">
        <f>+Baseline_NaturalGas!P26</f>
        <v>1741816.7092883086</v>
      </c>
      <c r="P1085" s="367">
        <f>+Baseline_NaturalGas!Q26</f>
        <v>1741816.7092883086</v>
      </c>
      <c r="Q1085" s="367">
        <f>+Baseline_NaturalGas!R26</f>
        <v>1741816.7092883086</v>
      </c>
    </row>
    <row r="1086" spans="1:17" ht="14.4">
      <c r="A1086" s="366" t="s">
        <v>66</v>
      </c>
      <c r="B1086" s="373"/>
      <c r="C1086" s="383">
        <f>+Baseline_NaturalGas!D27*(1+$F$7)</f>
        <v>6.1695639308263619</v>
      </c>
      <c r="D1086" s="383">
        <f>+Baseline_NaturalGas!E27*(1+$F$7)</f>
        <v>6.0556192214164684</v>
      </c>
      <c r="E1086" s="383">
        <f>+Baseline_NaturalGas!F27*(1+$F$7)</f>
        <v>6.1804888451523583</v>
      </c>
      <c r="F1086" s="383">
        <f>+Baseline_NaturalGas!G27*(1+$F$7)</f>
        <v>6.4247136726576217</v>
      </c>
      <c r="G1086" s="383">
        <f>+Baseline_NaturalGas!H27*(1+$F$7)</f>
        <v>6.4299120323545802</v>
      </c>
      <c r="H1086" s="383">
        <f>+Baseline_NaturalGas!I27*(1+$F$7)</f>
        <v>6.6739309640443887</v>
      </c>
      <c r="I1086" s="383">
        <f>+Baseline_NaturalGas!J27*(1+$F$7)</f>
        <v>7.0373112160202949</v>
      </c>
      <c r="J1086" s="383">
        <f>+Baseline_NaturalGas!K27*(1+$F$7)</f>
        <v>7.0373112160202949</v>
      </c>
      <c r="K1086" s="383">
        <f>+Baseline_NaturalGas!L27*(1+$F$7)</f>
        <v>7.0373112160202949</v>
      </c>
      <c r="L1086" s="383">
        <f>+Baseline_NaturalGas!M27*(1+$F$7)</f>
        <v>7.0373112160202949</v>
      </c>
      <c r="M1086" s="383">
        <f>+Baseline_NaturalGas!N27*(1+$F$7)</f>
        <v>7.0373112160202949</v>
      </c>
      <c r="N1086" s="383">
        <f>+Baseline_NaturalGas!O27*(1+$F$7)</f>
        <v>7.0373112160202949</v>
      </c>
      <c r="O1086" s="383">
        <f>+Baseline_NaturalGas!P27*(1+$F$7)</f>
        <v>7.0373112160202949</v>
      </c>
      <c r="P1086" s="383">
        <f>+Baseline_NaturalGas!Q27*(1+$F$7)</f>
        <v>7.0373112160202949</v>
      </c>
      <c r="Q1086" s="383">
        <f>+Baseline_NaturalGas!R27*(1+$F$7)</f>
        <v>7.0373112160202949</v>
      </c>
    </row>
    <row r="1087" spans="1:17" ht="14.4">
      <c r="A1087" s="370"/>
      <c r="B1087" s="379"/>
      <c r="C1087" s="379"/>
      <c r="D1087" s="379"/>
      <c r="E1087" s="379"/>
      <c r="F1087" s="379"/>
      <c r="G1087" s="379"/>
      <c r="H1087" s="379"/>
      <c r="I1087" s="379"/>
      <c r="J1087" s="379"/>
      <c r="K1087" s="379"/>
      <c r="L1087" s="379"/>
      <c r="M1087" s="379"/>
      <c r="N1087" s="379"/>
      <c r="O1087" s="379"/>
      <c r="P1087" s="379"/>
      <c r="Q1087" s="379"/>
    </row>
    <row r="1088" spans="1:17" ht="14.4">
      <c r="A1088" s="366" t="s">
        <v>102</v>
      </c>
      <c r="B1088" s="378">
        <f t="shared" ref="B1088" si="293">+SUM(C1088:Q1088)</f>
        <v>176393.82972592485</v>
      </c>
      <c r="C1088" s="375">
        <f>+C1085*C1086/1000</f>
        <v>10746.249543735816</v>
      </c>
      <c r="D1088" s="375">
        <f t="shared" ref="D1088:Q1088" si="294">+D1085*D1086/1000</f>
        <v>10547.778744950663</v>
      </c>
      <c r="E1088" s="375">
        <f t="shared" si="294"/>
        <v>10765.27874205638</v>
      </c>
      <c r="F1088" s="375">
        <f t="shared" si="294"/>
        <v>11190.673627428103</v>
      </c>
      <c r="G1088" s="375">
        <f t="shared" si="294"/>
        <v>11199.728217209155</v>
      </c>
      <c r="H1088" s="375">
        <f t="shared" si="294"/>
        <v>11624.764469809146</v>
      </c>
      <c r="I1088" s="375">
        <f t="shared" si="294"/>
        <v>12257.706264526176</v>
      </c>
      <c r="J1088" s="375">
        <f t="shared" si="294"/>
        <v>12257.706264526176</v>
      </c>
      <c r="K1088" s="375">
        <f t="shared" si="294"/>
        <v>12257.706264526176</v>
      </c>
      <c r="L1088" s="375">
        <f t="shared" si="294"/>
        <v>12257.706264526176</v>
      </c>
      <c r="M1088" s="375">
        <f t="shared" si="294"/>
        <v>12257.706264526176</v>
      </c>
      <c r="N1088" s="375">
        <f t="shared" si="294"/>
        <v>12257.706264526176</v>
      </c>
      <c r="O1088" s="375">
        <f t="shared" si="294"/>
        <v>12257.706264526176</v>
      </c>
      <c r="P1088" s="375">
        <f t="shared" si="294"/>
        <v>12257.706264526176</v>
      </c>
      <c r="Q1088" s="375">
        <f t="shared" si="294"/>
        <v>12257.706264526176</v>
      </c>
    </row>
    <row r="1089" spans="1:17" ht="14.4">
      <c r="A1089" s="370"/>
      <c r="B1089" s="373"/>
      <c r="C1089" s="373"/>
      <c r="D1089" s="373"/>
      <c r="E1089" s="373"/>
      <c r="F1089" s="373"/>
      <c r="G1089" s="373"/>
      <c r="H1089" s="373"/>
      <c r="I1089" s="373"/>
      <c r="J1089" s="373"/>
      <c r="K1089" s="373"/>
      <c r="L1089" s="373"/>
      <c r="M1089" s="373"/>
      <c r="N1089" s="373"/>
      <c r="O1089" s="373"/>
      <c r="P1089" s="373"/>
      <c r="Q1089" s="373"/>
    </row>
    <row r="1090" spans="1:17" ht="14.4">
      <c r="A1090" s="370"/>
      <c r="B1090" s="379"/>
      <c r="C1090" s="379"/>
      <c r="D1090" s="379"/>
      <c r="E1090" s="379"/>
      <c r="F1090" s="379"/>
      <c r="G1090" s="379"/>
      <c r="H1090" s="379"/>
      <c r="I1090" s="379"/>
      <c r="J1090" s="379"/>
      <c r="K1090" s="379"/>
      <c r="L1090" s="379"/>
      <c r="M1090" s="379"/>
      <c r="N1090" s="379"/>
      <c r="O1090" s="379"/>
      <c r="P1090" s="379"/>
      <c r="Q1090" s="379"/>
    </row>
    <row r="1091" spans="1:17" ht="14.4">
      <c r="A1091" s="366" t="s">
        <v>101</v>
      </c>
      <c r="B1091" s="373"/>
      <c r="C1091" s="375">
        <f>+C1088+C1079</f>
        <v>11704.270571235815</v>
      </c>
      <c r="D1091" s="375">
        <f t="shared" ref="D1091:Q1091" si="295">+D1088+D1079</f>
        <v>11531.474735987664</v>
      </c>
      <c r="E1091" s="375">
        <f t="shared" si="295"/>
        <v>11775.337785653172</v>
      </c>
      <c r="F1091" s="375">
        <f t="shared" si="295"/>
        <v>12227.802253393289</v>
      </c>
      <c r="G1091" s="375">
        <f t="shared" si="295"/>
        <v>12264.651890350207</v>
      </c>
      <c r="H1091" s="375">
        <f t="shared" si="295"/>
        <v>12718.228097390378</v>
      </c>
      <c r="I1091" s="375">
        <f t="shared" si="295"/>
        <v>13380.474717326586</v>
      </c>
      <c r="J1091" s="375">
        <f t="shared" si="295"/>
        <v>13410.564911861637</v>
      </c>
      <c r="K1091" s="375">
        <f t="shared" si="295"/>
        <v>13441.461523610225</v>
      </c>
      <c r="L1091" s="375">
        <f t="shared" si="295"/>
        <v>13473.186164553679</v>
      </c>
      <c r="M1091" s="375">
        <f t="shared" si="295"/>
        <v>13505.761025874415</v>
      </c>
      <c r="N1091" s="375">
        <f t="shared" si="295"/>
        <v>13539.208893478548</v>
      </c>
      <c r="O1091" s="375">
        <f t="shared" si="295"/>
        <v>13573.553163934472</v>
      </c>
      <c r="P1091" s="375">
        <f t="shared" si="295"/>
        <v>13608.817860838615</v>
      </c>
      <c r="Q1091" s="375">
        <f t="shared" si="295"/>
        <v>13645.027651619788</v>
      </c>
    </row>
    <row r="1092" spans="1:17" ht="14.4">
      <c r="A1092" s="370"/>
      <c r="B1092" s="379"/>
      <c r="C1092" s="379"/>
      <c r="D1092" s="379"/>
      <c r="E1092" s="379"/>
      <c r="F1092" s="379"/>
      <c r="G1092" s="379"/>
      <c r="H1092" s="379"/>
      <c r="I1092" s="379"/>
      <c r="J1092" s="379"/>
      <c r="K1092" s="379"/>
      <c r="L1092" s="379"/>
      <c r="M1092" s="379"/>
      <c r="N1092" s="379"/>
      <c r="O1092" s="379"/>
      <c r="P1092" s="379"/>
      <c r="Q1092" s="379"/>
    </row>
    <row r="1093" spans="1:17" ht="14.4">
      <c r="A1093" s="366" t="s">
        <v>73</v>
      </c>
      <c r="B1093" s="378">
        <f>+SUM(C1093:Q1093)</f>
        <v>11487.524395535713</v>
      </c>
      <c r="C1093" s="367">
        <f>+Baseline_NaturalGas!$D$5/'Initial Data'!$C$19</f>
        <v>1148.7524395535715</v>
      </c>
      <c r="D1093" s="367">
        <f>+Baseline_NaturalGas!$D$5/'Initial Data'!$C$19</f>
        <v>1148.7524395535715</v>
      </c>
      <c r="E1093" s="367">
        <f>+Baseline_NaturalGas!$D$5/'Initial Data'!$C$19</f>
        <v>1148.7524395535715</v>
      </c>
      <c r="F1093" s="367">
        <f>+Baseline_NaturalGas!$D$5/'Initial Data'!$C$19</f>
        <v>1148.7524395535715</v>
      </c>
      <c r="G1093" s="367">
        <f>+Baseline_NaturalGas!$D$5/'Initial Data'!$C$19</f>
        <v>1148.7524395535715</v>
      </c>
      <c r="H1093" s="367">
        <f>+Baseline_NaturalGas!$D$5/'Initial Data'!$C$19</f>
        <v>1148.7524395535715</v>
      </c>
      <c r="I1093" s="367">
        <f>+Baseline_NaturalGas!$D$5/'Initial Data'!$C$19</f>
        <v>1148.7524395535715</v>
      </c>
      <c r="J1093" s="367">
        <f>+Baseline_NaturalGas!$D$5/'Initial Data'!$C$19</f>
        <v>1148.7524395535715</v>
      </c>
      <c r="K1093" s="367">
        <f>+Baseline_NaturalGas!$D$5/'Initial Data'!$C$19</f>
        <v>1148.7524395535715</v>
      </c>
      <c r="L1093" s="367">
        <f>+Baseline_NaturalGas!$D$5/'Initial Data'!$C$19</f>
        <v>1148.7524395535715</v>
      </c>
      <c r="M1093" s="367">
        <v>0</v>
      </c>
      <c r="N1093" s="367">
        <v>0</v>
      </c>
      <c r="O1093" s="367">
        <v>0</v>
      </c>
      <c r="P1093" s="367">
        <v>0</v>
      </c>
      <c r="Q1093" s="367">
        <v>0</v>
      </c>
    </row>
    <row r="1094" spans="1:17" ht="14.4">
      <c r="A1094" s="366" t="s">
        <v>74</v>
      </c>
      <c r="B1094" s="378">
        <f>+SUM(C1094:Q1094)</f>
        <v>11487.524395535713</v>
      </c>
      <c r="C1094" s="367">
        <f>SUM(C1093:C1093)</f>
        <v>1148.7524395535715</v>
      </c>
      <c r="D1094" s="367">
        <f t="shared" ref="D1094:Q1094" si="296">SUM(D1093:D1093)</f>
        <v>1148.7524395535715</v>
      </c>
      <c r="E1094" s="367">
        <f t="shared" si="296"/>
        <v>1148.7524395535715</v>
      </c>
      <c r="F1094" s="367">
        <f t="shared" si="296"/>
        <v>1148.7524395535715</v>
      </c>
      <c r="G1094" s="367">
        <f t="shared" si="296"/>
        <v>1148.7524395535715</v>
      </c>
      <c r="H1094" s="367">
        <f t="shared" si="296"/>
        <v>1148.7524395535715</v>
      </c>
      <c r="I1094" s="367">
        <f t="shared" si="296"/>
        <v>1148.7524395535715</v>
      </c>
      <c r="J1094" s="367">
        <f t="shared" si="296"/>
        <v>1148.7524395535715</v>
      </c>
      <c r="K1094" s="367">
        <f t="shared" si="296"/>
        <v>1148.7524395535715</v>
      </c>
      <c r="L1094" s="367">
        <f t="shared" si="296"/>
        <v>1148.7524395535715</v>
      </c>
      <c r="M1094" s="367">
        <f t="shared" si="296"/>
        <v>0</v>
      </c>
      <c r="N1094" s="367">
        <f t="shared" si="296"/>
        <v>0</v>
      </c>
      <c r="O1094" s="367">
        <f t="shared" si="296"/>
        <v>0</v>
      </c>
      <c r="P1094" s="367">
        <f t="shared" si="296"/>
        <v>0</v>
      </c>
      <c r="Q1094" s="367">
        <f t="shared" si="296"/>
        <v>0</v>
      </c>
    </row>
    <row r="1095" spans="1:17" ht="14.4">
      <c r="A1095" s="90"/>
      <c r="B1095" s="388"/>
      <c r="C1095" s="373"/>
      <c r="D1095" s="373"/>
      <c r="E1095" s="373"/>
      <c r="F1095" s="373"/>
      <c r="G1095" s="373"/>
      <c r="H1095" s="373"/>
      <c r="I1095" s="373"/>
      <c r="J1095" s="373"/>
      <c r="K1095" s="373"/>
      <c r="L1095" s="373"/>
      <c r="M1095" s="373"/>
      <c r="N1095" s="373"/>
      <c r="O1095" s="373"/>
      <c r="P1095" s="373"/>
      <c r="Q1095" s="373"/>
    </row>
    <row r="1096" spans="1:17" ht="14.4">
      <c r="A1096" s="366" t="s">
        <v>75</v>
      </c>
      <c r="B1096" s="378">
        <f>+SUM(C1096:Q1096)</f>
        <v>205287.34564264418</v>
      </c>
      <c r="C1096" s="367">
        <f>+C1091+C1094</f>
        <v>12853.023010789386</v>
      </c>
      <c r="D1096" s="367">
        <f t="shared" ref="D1096:Q1096" si="297">+D1091+D1094</f>
        <v>12680.227175541235</v>
      </c>
      <c r="E1096" s="367">
        <f t="shared" si="297"/>
        <v>12924.090225206743</v>
      </c>
      <c r="F1096" s="367">
        <f t="shared" si="297"/>
        <v>13376.55469294686</v>
      </c>
      <c r="G1096" s="367">
        <f t="shared" si="297"/>
        <v>13413.404329903778</v>
      </c>
      <c r="H1096" s="367">
        <f t="shared" si="297"/>
        <v>13866.980536943949</v>
      </c>
      <c r="I1096" s="367">
        <f t="shared" si="297"/>
        <v>14529.227156880157</v>
      </c>
      <c r="J1096" s="367">
        <f t="shared" si="297"/>
        <v>14559.317351415208</v>
      </c>
      <c r="K1096" s="367">
        <f t="shared" si="297"/>
        <v>14590.213963163797</v>
      </c>
      <c r="L1096" s="367">
        <f t="shared" si="297"/>
        <v>14621.93860410725</v>
      </c>
      <c r="M1096" s="367">
        <f t="shared" si="297"/>
        <v>13505.761025874415</v>
      </c>
      <c r="N1096" s="367">
        <f t="shared" si="297"/>
        <v>13539.208893478548</v>
      </c>
      <c r="O1096" s="367">
        <f t="shared" si="297"/>
        <v>13573.553163934472</v>
      </c>
      <c r="P1096" s="367">
        <f t="shared" si="297"/>
        <v>13608.817860838615</v>
      </c>
      <c r="Q1096" s="367">
        <f t="shared" si="297"/>
        <v>13645.027651619788</v>
      </c>
    </row>
    <row r="1097" spans="1:17">
      <c r="A1097" s="74"/>
    </row>
    <row r="1098" spans="1:17" ht="14.4">
      <c r="A1098" s="366" t="s">
        <v>76</v>
      </c>
      <c r="B1098" s="378">
        <f>+SUM(C1098:Q1098)</f>
        <v>1585237.512552755</v>
      </c>
      <c r="C1098" s="367">
        <f>+C1076-C1096</f>
        <v>85696.976989210612</v>
      </c>
      <c r="D1098" s="367">
        <f t="shared" ref="D1098:Q1098" si="298">+D1076-D1096</f>
        <v>88510.912824458763</v>
      </c>
      <c r="E1098" s="367">
        <f t="shared" si="298"/>
        <v>90978.972326793242</v>
      </c>
      <c r="F1098" s="367">
        <f t="shared" si="298"/>
        <v>93311.109935446715</v>
      </c>
      <c r="G1098" s="367">
        <f t="shared" si="298"/>
        <v>96133.489710530732</v>
      </c>
      <c r="H1098" s="367">
        <f t="shared" si="298"/>
        <v>98615.770263774233</v>
      </c>
      <c r="I1098" s="367">
        <f t="shared" si="298"/>
        <v>100968.06136529727</v>
      </c>
      <c r="J1098" s="367">
        <f t="shared" si="298"/>
        <v>104033.29850315652</v>
      </c>
      <c r="K1098" s="367">
        <f t="shared" si="298"/>
        <v>107180.68399631047</v>
      </c>
      <c r="L1098" s="367">
        <f t="shared" si="298"/>
        <v>110412.41942068093</v>
      </c>
      <c r="M1098" s="367">
        <f t="shared" si="298"/>
        <v>114879.51779397806</v>
      </c>
      <c r="N1098" s="367">
        <f t="shared" si="298"/>
        <v>118286.79539874596</v>
      </c>
      <c r="O1098" s="367">
        <f t="shared" si="298"/>
        <v>121785.38804332164</v>
      </c>
      <c r="P1098" s="367">
        <f t="shared" si="298"/>
        <v>125377.74297077194</v>
      </c>
      <c r="Q1098" s="367">
        <f t="shared" si="298"/>
        <v>129066.37301027794</v>
      </c>
    </row>
    <row r="1099" spans="1:17" ht="14.4">
      <c r="A1099" s="369"/>
      <c r="B1099" s="373"/>
      <c r="C1099" s="373"/>
      <c r="D1099" s="373"/>
      <c r="E1099" s="373"/>
      <c r="F1099" s="373"/>
      <c r="G1099" s="373"/>
      <c r="H1099" s="373"/>
      <c r="I1099" s="373"/>
      <c r="J1099" s="373"/>
      <c r="K1099" s="373"/>
      <c r="L1099" s="373"/>
      <c r="M1099" s="373"/>
      <c r="N1099" s="373"/>
      <c r="O1099" s="373"/>
      <c r="P1099" s="373"/>
      <c r="Q1099" s="373"/>
    </row>
    <row r="1100" spans="1:17" ht="14.4">
      <c r="A1100" s="366" t="s">
        <v>222</v>
      </c>
      <c r="B1100" s="380">
        <f>+Baseline_NaturalGas!C43</f>
        <v>0.7</v>
      </c>
      <c r="C1100" s="367">
        <f>IF((+$B$1100*C1098)&lt;0,"0",(+$B$1100*C1098))</f>
        <v>59987.883892447426</v>
      </c>
      <c r="D1100" s="367">
        <f t="shared" ref="D1100:Q1100" si="299">IF((+$B$1100*D1098)&lt;0,"0",(+$B$1100*D1098))</f>
        <v>61957.638977121132</v>
      </c>
      <c r="E1100" s="367">
        <f t="shared" si="299"/>
        <v>63685.280628755267</v>
      </c>
      <c r="F1100" s="367">
        <f t="shared" si="299"/>
        <v>65317.776954812696</v>
      </c>
      <c r="G1100" s="367">
        <f t="shared" si="299"/>
        <v>67293.442797371506</v>
      </c>
      <c r="H1100" s="367">
        <f t="shared" si="299"/>
        <v>69031.039184641952</v>
      </c>
      <c r="I1100" s="367">
        <f t="shared" si="299"/>
        <v>70677.642955708085</v>
      </c>
      <c r="J1100" s="367">
        <f t="shared" si="299"/>
        <v>72823.308952209554</v>
      </c>
      <c r="K1100" s="367">
        <f t="shared" si="299"/>
        <v>75026.478797417323</v>
      </c>
      <c r="L1100" s="367">
        <f t="shared" si="299"/>
        <v>77288.693594476645</v>
      </c>
      <c r="M1100" s="367">
        <f t="shared" si="299"/>
        <v>80415.662455784637</v>
      </c>
      <c r="N1100" s="367">
        <f t="shared" si="299"/>
        <v>82800.756779122166</v>
      </c>
      <c r="O1100" s="367">
        <f t="shared" si="299"/>
        <v>85249.771630325136</v>
      </c>
      <c r="P1100" s="367">
        <f t="shared" si="299"/>
        <v>87764.420079540359</v>
      </c>
      <c r="Q1100" s="367">
        <f t="shared" si="299"/>
        <v>90346.461107194555</v>
      </c>
    </row>
    <row r="1101" spans="1:17" ht="14.4">
      <c r="A1101" s="366" t="s">
        <v>77</v>
      </c>
      <c r="B1101" s="378">
        <f>+SUM(C1101:Q1101)</f>
        <v>1109666.2587869286</v>
      </c>
      <c r="C1101" s="367">
        <f>SUM(C1100:C1100)</f>
        <v>59987.883892447426</v>
      </c>
      <c r="D1101" s="367">
        <f t="shared" ref="D1101:Q1101" si="300">SUM(D1100:D1100)</f>
        <v>61957.638977121132</v>
      </c>
      <c r="E1101" s="367">
        <f t="shared" si="300"/>
        <v>63685.280628755267</v>
      </c>
      <c r="F1101" s="367">
        <f t="shared" si="300"/>
        <v>65317.776954812696</v>
      </c>
      <c r="G1101" s="367">
        <f t="shared" si="300"/>
        <v>67293.442797371506</v>
      </c>
      <c r="H1101" s="367">
        <f t="shared" si="300"/>
        <v>69031.039184641952</v>
      </c>
      <c r="I1101" s="367">
        <f t="shared" si="300"/>
        <v>70677.642955708085</v>
      </c>
      <c r="J1101" s="367">
        <f t="shared" si="300"/>
        <v>72823.308952209554</v>
      </c>
      <c r="K1101" s="367">
        <f t="shared" si="300"/>
        <v>75026.478797417323</v>
      </c>
      <c r="L1101" s="367">
        <f t="shared" si="300"/>
        <v>77288.693594476645</v>
      </c>
      <c r="M1101" s="367">
        <f t="shared" si="300"/>
        <v>80415.662455784637</v>
      </c>
      <c r="N1101" s="367">
        <f t="shared" si="300"/>
        <v>82800.756779122166</v>
      </c>
      <c r="O1101" s="367">
        <f t="shared" si="300"/>
        <v>85249.771630325136</v>
      </c>
      <c r="P1101" s="367">
        <f t="shared" si="300"/>
        <v>87764.420079540359</v>
      </c>
      <c r="Q1101" s="367">
        <f t="shared" si="300"/>
        <v>90346.461107194555</v>
      </c>
    </row>
    <row r="1102" spans="1:17" ht="14.4">
      <c r="A1102" s="369"/>
      <c r="B1102" s="373"/>
      <c r="C1102" s="373"/>
      <c r="D1102" s="373"/>
      <c r="E1102" s="373"/>
      <c r="F1102" s="373"/>
      <c r="G1102" s="373"/>
      <c r="H1102" s="373"/>
      <c r="I1102" s="373"/>
      <c r="J1102" s="373"/>
      <c r="K1102" s="373"/>
      <c r="L1102" s="373"/>
      <c r="M1102" s="373"/>
      <c r="N1102" s="373"/>
      <c r="O1102" s="373"/>
      <c r="P1102" s="373"/>
      <c r="Q1102" s="373"/>
    </row>
    <row r="1103" spans="1:17" ht="14.4">
      <c r="A1103" s="366" t="s">
        <v>78</v>
      </c>
      <c r="B1103" s="378">
        <f>+SUM(C1103:Q1103)</f>
        <v>475571.25376582658</v>
      </c>
      <c r="C1103" s="367">
        <f>+C1098-C1101</f>
        <v>25709.093096763187</v>
      </c>
      <c r="D1103" s="367">
        <f t="shared" ref="D1103:Q1103" si="301">+D1098-D1101</f>
        <v>26553.27384733763</v>
      </c>
      <c r="E1103" s="367">
        <f t="shared" si="301"/>
        <v>27293.691698037976</v>
      </c>
      <c r="F1103" s="367">
        <f t="shared" si="301"/>
        <v>27993.332980634019</v>
      </c>
      <c r="G1103" s="367">
        <f t="shared" si="301"/>
        <v>28840.046913159225</v>
      </c>
      <c r="H1103" s="367">
        <f t="shared" si="301"/>
        <v>29584.731079132282</v>
      </c>
      <c r="I1103" s="367">
        <f t="shared" si="301"/>
        <v>30290.418409589183</v>
      </c>
      <c r="J1103" s="367">
        <f t="shared" si="301"/>
        <v>31209.989550946964</v>
      </c>
      <c r="K1103" s="367">
        <f t="shared" si="301"/>
        <v>32154.205198893149</v>
      </c>
      <c r="L1103" s="367">
        <f t="shared" si="301"/>
        <v>33123.725826204289</v>
      </c>
      <c r="M1103" s="367">
        <f t="shared" si="301"/>
        <v>34463.855338193418</v>
      </c>
      <c r="N1103" s="367">
        <f t="shared" si="301"/>
        <v>35486.038619623796</v>
      </c>
      <c r="O1103" s="367">
        <f t="shared" si="301"/>
        <v>36535.616412996504</v>
      </c>
      <c r="P1103" s="367">
        <f t="shared" si="301"/>
        <v>37613.322891231583</v>
      </c>
      <c r="Q1103" s="367">
        <f t="shared" si="301"/>
        <v>38719.911903083383</v>
      </c>
    </row>
    <row r="1104" spans="1:17" ht="14.4">
      <c r="A1104" s="395" t="s">
        <v>331</v>
      </c>
      <c r="B1104" s="378">
        <f>+SUM(C1104:Q1104)</f>
        <v>11487.524395535713</v>
      </c>
      <c r="C1104" s="377">
        <f>+C1093</f>
        <v>1148.7524395535715</v>
      </c>
      <c r="D1104" s="377">
        <f t="shared" ref="D1104:Q1104" si="302">+D1093</f>
        <v>1148.7524395535715</v>
      </c>
      <c r="E1104" s="377">
        <f t="shared" si="302"/>
        <v>1148.7524395535715</v>
      </c>
      <c r="F1104" s="377">
        <f t="shared" si="302"/>
        <v>1148.7524395535715</v>
      </c>
      <c r="G1104" s="377">
        <f t="shared" si="302"/>
        <v>1148.7524395535715</v>
      </c>
      <c r="H1104" s="377">
        <f t="shared" si="302"/>
        <v>1148.7524395535715</v>
      </c>
      <c r="I1104" s="377">
        <f t="shared" si="302"/>
        <v>1148.7524395535715</v>
      </c>
      <c r="J1104" s="377">
        <f t="shared" si="302"/>
        <v>1148.7524395535715</v>
      </c>
      <c r="K1104" s="377">
        <f t="shared" si="302"/>
        <v>1148.7524395535715</v>
      </c>
      <c r="L1104" s="377">
        <f t="shared" si="302"/>
        <v>1148.7524395535715</v>
      </c>
      <c r="M1104" s="377">
        <f t="shared" si="302"/>
        <v>0</v>
      </c>
      <c r="N1104" s="377">
        <f t="shared" si="302"/>
        <v>0</v>
      </c>
      <c r="O1104" s="377">
        <f t="shared" si="302"/>
        <v>0</v>
      </c>
      <c r="P1104" s="377">
        <f t="shared" si="302"/>
        <v>0</v>
      </c>
      <c r="Q1104" s="377">
        <f t="shared" si="302"/>
        <v>0</v>
      </c>
    </row>
    <row r="1105" spans="1:17" ht="14.4">
      <c r="A1105" s="395" t="s">
        <v>332</v>
      </c>
      <c r="B1105" s="378">
        <f>+Baseline_NaturalGas!C1038</f>
        <v>0</v>
      </c>
      <c r="C1105" s="367">
        <f>+Baseline_NaturalGas!D1038</f>
        <v>0</v>
      </c>
      <c r="D1105" s="367">
        <f>+Baseline_NaturalGas!E1038</f>
        <v>0</v>
      </c>
      <c r="E1105" s="367">
        <f>+Baseline_NaturalGas!F1038</f>
        <v>0</v>
      </c>
      <c r="F1105" s="367">
        <f>+Baseline_NaturalGas!G1038</f>
        <v>0</v>
      </c>
      <c r="G1105" s="367">
        <f>+Baseline_NaturalGas!H1038</f>
        <v>0</v>
      </c>
      <c r="H1105" s="367">
        <f>+Baseline_NaturalGas!I1038</f>
        <v>0</v>
      </c>
      <c r="I1105" s="367">
        <f>+Baseline_NaturalGas!J1038</f>
        <v>0</v>
      </c>
      <c r="J1105" s="367">
        <f>+Baseline_NaturalGas!K1038</f>
        <v>0</v>
      </c>
      <c r="K1105" s="367">
        <f>+Baseline_NaturalGas!L1038</f>
        <v>0</v>
      </c>
      <c r="L1105" s="367">
        <f>+Baseline_NaturalGas!M1038</f>
        <v>0</v>
      </c>
      <c r="M1105" s="367">
        <f>+Baseline_NaturalGas!N1038</f>
        <v>0</v>
      </c>
      <c r="N1105" s="367">
        <f>+Baseline_NaturalGas!O1038</f>
        <v>0</v>
      </c>
      <c r="O1105" s="367">
        <f>+Baseline_NaturalGas!P1038</f>
        <v>0</v>
      </c>
      <c r="P1105" s="367">
        <f>+Baseline_NaturalGas!Q1038</f>
        <v>0</v>
      </c>
      <c r="Q1105" s="367">
        <f>+Baseline_NaturalGas!R1038</f>
        <v>0</v>
      </c>
    </row>
    <row r="1106" spans="1:17" ht="14.4">
      <c r="A1106" s="376"/>
      <c r="B1106" s="389"/>
      <c r="C1106" s="389"/>
      <c r="D1106" s="389"/>
      <c r="E1106" s="389"/>
      <c r="F1106" s="389"/>
      <c r="G1106" s="389"/>
      <c r="H1106" s="389"/>
      <c r="I1106" s="389"/>
      <c r="J1106" s="389"/>
      <c r="K1106" s="389"/>
      <c r="L1106" s="389"/>
      <c r="M1106" s="389"/>
      <c r="N1106" s="389"/>
      <c r="O1106" s="389"/>
      <c r="P1106" s="389"/>
      <c r="Q1106" s="389"/>
    </row>
    <row r="1107" spans="1:17" ht="14.4">
      <c r="A1107" s="366" t="s">
        <v>110</v>
      </c>
      <c r="B1107" s="378">
        <f>-Baseline_NaturalGas!$D$5</f>
        <v>-11487.524395535715</v>
      </c>
      <c r="C1107" s="367">
        <f>+C1103+C1104+C1105</f>
        <v>26857.84553631676</v>
      </c>
      <c r="D1107" s="367">
        <f t="shared" ref="D1107:Q1107" si="303">+D1103+D1104+D1105</f>
        <v>27702.026286891203</v>
      </c>
      <c r="E1107" s="367">
        <f t="shared" si="303"/>
        <v>28442.444137591548</v>
      </c>
      <c r="F1107" s="367">
        <f t="shared" si="303"/>
        <v>29142.085420187592</v>
      </c>
      <c r="G1107" s="367">
        <f t="shared" si="303"/>
        <v>29988.799352712798</v>
      </c>
      <c r="H1107" s="367">
        <f t="shared" si="303"/>
        <v>30733.483518685855</v>
      </c>
      <c r="I1107" s="367">
        <f t="shared" si="303"/>
        <v>31439.170849142756</v>
      </c>
      <c r="J1107" s="367">
        <f t="shared" si="303"/>
        <v>32358.741990500537</v>
      </c>
      <c r="K1107" s="367">
        <f t="shared" si="303"/>
        <v>33302.957638446722</v>
      </c>
      <c r="L1107" s="367">
        <f t="shared" si="303"/>
        <v>34272.478265757862</v>
      </c>
      <c r="M1107" s="367">
        <f t="shared" si="303"/>
        <v>34463.855338193418</v>
      </c>
      <c r="N1107" s="367">
        <f t="shared" si="303"/>
        <v>35486.038619623796</v>
      </c>
      <c r="O1107" s="367">
        <f t="shared" si="303"/>
        <v>36535.616412996504</v>
      </c>
      <c r="P1107" s="367">
        <f t="shared" si="303"/>
        <v>37613.322891231583</v>
      </c>
      <c r="Q1107" s="367">
        <f t="shared" si="303"/>
        <v>38719.911903083383</v>
      </c>
    </row>
    <row r="1108" spans="1:17" ht="15.6">
      <c r="A1108" s="366" t="s">
        <v>51</v>
      </c>
      <c r="B1108" s="132">
        <f>IRR(B1107:Q1107)</f>
        <v>2.3678854237298652</v>
      </c>
      <c r="C1108" s="390"/>
      <c r="D1108" s="390"/>
      <c r="E1108" s="390"/>
      <c r="F1108" s="390"/>
      <c r="G1108" s="390"/>
      <c r="H1108" s="390"/>
      <c r="I1108" s="390"/>
      <c r="J1108" s="390"/>
      <c r="K1108" s="390"/>
      <c r="L1108" s="390"/>
      <c r="M1108" s="390"/>
      <c r="N1108" s="390"/>
      <c r="O1108" s="390"/>
      <c r="P1108" s="390"/>
      <c r="Q1108" s="390"/>
    </row>
    <row r="1109" spans="1:17" ht="15.6">
      <c r="A1109" s="366" t="s">
        <v>267</v>
      </c>
      <c r="B1109" s="303">
        <f>NPV('Initial Data'!$C$21/100,B1107:Q1107)</f>
        <v>177163.2609001181</v>
      </c>
      <c r="C1109" s="373"/>
      <c r="D1109" s="373"/>
      <c r="E1109" s="373"/>
      <c r="F1109" s="373"/>
      <c r="G1109" s="373"/>
      <c r="H1109" s="373"/>
      <c r="I1109" s="373"/>
      <c r="J1109" s="373"/>
      <c r="K1109" s="373"/>
      <c r="L1109" s="373"/>
      <c r="M1109" s="373"/>
      <c r="N1109" s="373"/>
      <c r="O1109" s="373"/>
      <c r="P1109" s="373"/>
      <c r="Q1109" s="373"/>
    </row>
    <row r="1111" spans="1:17" ht="14.4">
      <c r="A1111" s="417" t="s">
        <v>349</v>
      </c>
      <c r="B1111" s="418"/>
      <c r="C1111" s="418"/>
      <c r="D1111" s="418"/>
      <c r="E1111" s="418"/>
      <c r="F1111" s="418"/>
      <c r="G1111" s="418"/>
      <c r="H1111" s="418"/>
      <c r="I1111" s="418"/>
      <c r="J1111" s="418"/>
      <c r="K1111" s="418"/>
      <c r="L1111" s="418"/>
      <c r="M1111" s="418"/>
      <c r="N1111" s="418"/>
      <c r="O1111" s="418"/>
      <c r="P1111" s="418"/>
      <c r="Q1111" s="418"/>
    </row>
    <row r="1112" spans="1:17" ht="14.4">
      <c r="A1112" s="371" t="s">
        <v>354</v>
      </c>
      <c r="B1112" s="372"/>
      <c r="C1112" s="372"/>
      <c r="D1112" s="372"/>
      <c r="E1112" s="372"/>
      <c r="F1112" s="372"/>
      <c r="G1112" s="372"/>
      <c r="H1112" s="372"/>
      <c r="I1112" s="372"/>
      <c r="J1112" s="372"/>
      <c r="K1112" s="372"/>
      <c r="L1112" s="372"/>
      <c r="M1112" s="372"/>
      <c r="N1112" s="372"/>
      <c r="O1112" s="372"/>
      <c r="P1112" s="372"/>
      <c r="Q1112" s="372"/>
    </row>
    <row r="1113" spans="1:17" ht="27">
      <c r="A1113" s="376"/>
      <c r="B1113" s="304" t="s">
        <v>35</v>
      </c>
      <c r="C1113" s="352" t="s">
        <v>407</v>
      </c>
      <c r="D1113" s="352" t="s">
        <v>408</v>
      </c>
      <c r="E1113" s="352" t="s">
        <v>409</v>
      </c>
      <c r="F1113" s="352" t="s">
        <v>410</v>
      </c>
      <c r="G1113" s="352" t="s">
        <v>411</v>
      </c>
      <c r="H1113" s="352" t="s">
        <v>412</v>
      </c>
      <c r="I1113" s="352" t="s">
        <v>413</v>
      </c>
      <c r="J1113" s="352" t="s">
        <v>414</v>
      </c>
      <c r="K1113" s="352" t="s">
        <v>415</v>
      </c>
      <c r="L1113" s="352" t="s">
        <v>416</v>
      </c>
      <c r="M1113" s="352" t="s">
        <v>417</v>
      </c>
      <c r="N1113" s="352" t="s">
        <v>418</v>
      </c>
      <c r="O1113" s="352" t="s">
        <v>419</v>
      </c>
      <c r="P1113" s="352" t="s">
        <v>420</v>
      </c>
      <c r="Q1113" s="352" t="s">
        <v>421</v>
      </c>
    </row>
    <row r="1114" spans="1:17" ht="14.4">
      <c r="A1114" s="363" t="s">
        <v>290</v>
      </c>
      <c r="B1114" s="365"/>
      <c r="C1114" s="367">
        <f>+Baseline_NaturalGas!D10</f>
        <v>219000</v>
      </c>
      <c r="D1114" s="367">
        <f>+Baseline_NaturalGas!E10</f>
        <v>219000</v>
      </c>
      <c r="E1114" s="367">
        <f>+Baseline_NaturalGas!F10</f>
        <v>219000</v>
      </c>
      <c r="F1114" s="367">
        <f>+Baseline_NaturalGas!G10</f>
        <v>219000</v>
      </c>
      <c r="G1114" s="367">
        <f>+Baseline_NaturalGas!H10</f>
        <v>219000</v>
      </c>
      <c r="H1114" s="367">
        <f>+Baseline_NaturalGas!I10</f>
        <v>219000</v>
      </c>
      <c r="I1114" s="367">
        <f>+Baseline_NaturalGas!J10</f>
        <v>219000</v>
      </c>
      <c r="J1114" s="367">
        <f>+Baseline_NaturalGas!K10</f>
        <v>219000</v>
      </c>
      <c r="K1114" s="367">
        <f>+Baseline_NaturalGas!L10</f>
        <v>219000</v>
      </c>
      <c r="L1114" s="367">
        <f>+Baseline_NaturalGas!M10</f>
        <v>219000</v>
      </c>
      <c r="M1114" s="367">
        <f>+Baseline_NaturalGas!N10</f>
        <v>219000</v>
      </c>
      <c r="N1114" s="367">
        <f>+Baseline_NaturalGas!O10</f>
        <v>219000</v>
      </c>
      <c r="O1114" s="367">
        <f>+Baseline_NaturalGas!P10</f>
        <v>219000</v>
      </c>
      <c r="P1114" s="367">
        <f>+Baseline_NaturalGas!Q10</f>
        <v>219000</v>
      </c>
      <c r="Q1114" s="367">
        <f>+Baseline_NaturalGas!R10</f>
        <v>219000</v>
      </c>
    </row>
    <row r="1115" spans="1:17" ht="14.4">
      <c r="A1115" s="364" t="s">
        <v>291</v>
      </c>
      <c r="B1115" s="365"/>
      <c r="C1115" s="367">
        <f>+Baseline_NaturalGas!D11</f>
        <v>70</v>
      </c>
      <c r="D1115" s="367">
        <f>+Baseline_NaturalGas!E11</f>
        <v>70</v>
      </c>
      <c r="E1115" s="367">
        <f>+Baseline_NaturalGas!F11</f>
        <v>70</v>
      </c>
      <c r="F1115" s="367">
        <f>+Baseline_NaturalGas!G11</f>
        <v>70</v>
      </c>
      <c r="G1115" s="367">
        <f>+Baseline_NaturalGas!H11</f>
        <v>70</v>
      </c>
      <c r="H1115" s="367">
        <f>+Baseline_NaturalGas!I11</f>
        <v>70</v>
      </c>
      <c r="I1115" s="367">
        <f>+Baseline_NaturalGas!J11</f>
        <v>70</v>
      </c>
      <c r="J1115" s="367">
        <f>+Baseline_NaturalGas!K11</f>
        <v>70</v>
      </c>
      <c r="K1115" s="367">
        <f>+Baseline_NaturalGas!L11</f>
        <v>70</v>
      </c>
      <c r="L1115" s="367">
        <f>+Baseline_NaturalGas!M11</f>
        <v>70</v>
      </c>
      <c r="M1115" s="367">
        <f>+Baseline_NaturalGas!N11</f>
        <v>70</v>
      </c>
      <c r="N1115" s="367">
        <f>+Baseline_NaturalGas!O11</f>
        <v>70</v>
      </c>
      <c r="O1115" s="367">
        <f>+Baseline_NaturalGas!P11</f>
        <v>70</v>
      </c>
      <c r="P1115" s="367">
        <f>+Baseline_NaturalGas!Q11</f>
        <v>70</v>
      </c>
      <c r="Q1115" s="367">
        <f>+Baseline_NaturalGas!R11</f>
        <v>70</v>
      </c>
    </row>
    <row r="1116" spans="1:17" ht="14.4">
      <c r="A1116" s="366" t="s">
        <v>292</v>
      </c>
      <c r="B1116" s="365"/>
      <c r="C1116" s="367">
        <f>+Baseline_NaturalGas!D12</f>
        <v>6.4285714285714288</v>
      </c>
      <c r="D1116" s="367">
        <f>+Baseline_NaturalGas!E12</f>
        <v>6.6008571428571425</v>
      </c>
      <c r="E1116" s="367">
        <f>+Baseline_NaturalGas!F12</f>
        <v>6.7777601142857131</v>
      </c>
      <c r="F1116" s="367">
        <f>+Baseline_NaturalGas!G12</f>
        <v>6.9594040853485701</v>
      </c>
      <c r="G1116" s="367">
        <f>+Baseline_NaturalGas!H12</f>
        <v>7.1459161148359112</v>
      </c>
      <c r="H1116" s="367">
        <f>+Baseline_NaturalGas!I12</f>
        <v>7.3374266667135135</v>
      </c>
      <c r="I1116" s="367">
        <f>+Baseline_NaturalGas!J12</f>
        <v>7.5340697013814353</v>
      </c>
      <c r="J1116" s="367">
        <f>+Baseline_NaturalGas!K12</f>
        <v>7.7359827693784569</v>
      </c>
      <c r="K1116" s="367">
        <f>+Baseline_NaturalGas!L12</f>
        <v>7.943307107597799</v>
      </c>
      <c r="L1116" s="367">
        <f>+Baseline_NaturalGas!M12</f>
        <v>8.1561877380814192</v>
      </c>
      <c r="M1116" s="367">
        <f>+Baseline_NaturalGas!N12</f>
        <v>8.3747735694620005</v>
      </c>
      <c r="N1116" s="367">
        <f>+Baseline_NaturalGas!O12</f>
        <v>8.5992175011235812</v>
      </c>
      <c r="O1116" s="367">
        <f>+Baseline_NaturalGas!P12</f>
        <v>8.8296765301536926</v>
      </c>
      <c r="P1116" s="367">
        <f>+Baseline_NaturalGas!Q12</f>
        <v>9.066311861161811</v>
      </c>
      <c r="Q1116" s="367">
        <f>+Baseline_NaturalGas!R12</f>
        <v>9.3092890190409463</v>
      </c>
    </row>
    <row r="1117" spans="1:17" ht="14.4">
      <c r="A1117" s="366" t="s">
        <v>293</v>
      </c>
      <c r="B1117" s="365"/>
      <c r="C1117" s="367">
        <f>+C1115*C1116</f>
        <v>450</v>
      </c>
      <c r="D1117" s="367">
        <f t="shared" ref="D1117:Q1117" si="304">+D1115*D1116</f>
        <v>462.06</v>
      </c>
      <c r="E1117" s="367">
        <f t="shared" si="304"/>
        <v>474.44320799999991</v>
      </c>
      <c r="F1117" s="367">
        <f t="shared" si="304"/>
        <v>487.15828597439992</v>
      </c>
      <c r="G1117" s="367">
        <f t="shared" si="304"/>
        <v>500.21412803851376</v>
      </c>
      <c r="H1117" s="367">
        <f t="shared" si="304"/>
        <v>513.61986666994596</v>
      </c>
      <c r="I1117" s="367">
        <f t="shared" si="304"/>
        <v>527.3848790967005</v>
      </c>
      <c r="J1117" s="367">
        <f t="shared" si="304"/>
        <v>541.51879385649192</v>
      </c>
      <c r="K1117" s="367">
        <f t="shared" si="304"/>
        <v>556.03149753184596</v>
      </c>
      <c r="L1117" s="367">
        <f t="shared" si="304"/>
        <v>570.9331416656994</v>
      </c>
      <c r="M1117" s="367">
        <f t="shared" si="304"/>
        <v>586.23414986234002</v>
      </c>
      <c r="N1117" s="367">
        <f t="shared" si="304"/>
        <v>601.94522507865065</v>
      </c>
      <c r="O1117" s="367">
        <f t="shared" si="304"/>
        <v>618.0773571107585</v>
      </c>
      <c r="P1117" s="367">
        <f t="shared" si="304"/>
        <v>634.64183028132675</v>
      </c>
      <c r="Q1117" s="367">
        <f t="shared" si="304"/>
        <v>651.65023133286627</v>
      </c>
    </row>
    <row r="1118" spans="1:17" ht="14.4">
      <c r="A1118" s="370"/>
      <c r="B1118" s="373"/>
      <c r="C1118" s="373"/>
      <c r="D1118" s="373"/>
      <c r="E1118" s="373"/>
      <c r="F1118" s="373"/>
      <c r="G1118" s="373"/>
      <c r="H1118" s="373"/>
      <c r="I1118" s="373"/>
      <c r="J1118" s="373"/>
      <c r="K1118" s="373"/>
      <c r="L1118" s="373"/>
      <c r="M1118" s="373"/>
      <c r="N1118" s="373"/>
      <c r="O1118" s="373"/>
      <c r="P1118" s="373"/>
      <c r="Q1118" s="373"/>
    </row>
    <row r="1119" spans="1:17" ht="14.4">
      <c r="A1119" s="366" t="s">
        <v>294</v>
      </c>
      <c r="B1119" s="378">
        <f>+SUM(C1119:Q1119)</f>
        <v>1790524.8581953994</v>
      </c>
      <c r="C1119" s="377">
        <f>C1114*C1117/1000*'Initial Data'!$C$34/'Initial Data'!$C$33</f>
        <v>98550</v>
      </c>
      <c r="D1119" s="377">
        <f>D1114*D1117/1000*'Initial Data'!$C$34/'Initial Data'!$C$33</f>
        <v>101191.14</v>
      </c>
      <c r="E1119" s="377">
        <f>E1114*E1117/1000*'Initial Data'!$C$34/'Initial Data'!$C$33</f>
        <v>103903.06255199999</v>
      </c>
      <c r="F1119" s="377">
        <f>F1114*F1117/1000*'Initial Data'!$C$34/'Initial Data'!$C$33</f>
        <v>106687.66462839357</v>
      </c>
      <c r="G1119" s="377">
        <f>G1114*G1117/1000*'Initial Data'!$C$34/'Initial Data'!$C$33</f>
        <v>109546.8940404345</v>
      </c>
      <c r="H1119" s="377">
        <f>H1114*H1117/1000*'Initial Data'!$C$34/'Initial Data'!$C$33</f>
        <v>112482.75080071818</v>
      </c>
      <c r="I1119" s="377">
        <f>I1114*I1117/1000*'Initial Data'!$C$34/'Initial Data'!$C$33</f>
        <v>115497.28852217742</v>
      </c>
      <c r="J1119" s="377">
        <f>J1114*J1117/1000*'Initial Data'!$C$34/'Initial Data'!$C$33</f>
        <v>118592.61585457173</v>
      </c>
      <c r="K1119" s="377">
        <f>K1114*K1117/1000*'Initial Data'!$C$34/'Initial Data'!$C$33</f>
        <v>121770.89795947427</v>
      </c>
      <c r="L1119" s="377">
        <f>L1114*L1117/1000*'Initial Data'!$C$34/'Initial Data'!$C$33</f>
        <v>125034.35802478818</v>
      </c>
      <c r="M1119" s="377">
        <f>M1114*M1117/1000*'Initial Data'!$C$34/'Initial Data'!$C$33</f>
        <v>128385.27881985246</v>
      </c>
      <c r="N1119" s="377">
        <f>N1114*N1117/1000*'Initial Data'!$C$34/'Initial Data'!$C$33</f>
        <v>131826.0042922245</v>
      </c>
      <c r="O1119" s="377">
        <f>O1114*O1117/1000*'Initial Data'!$C$34/'Initial Data'!$C$33</f>
        <v>135358.94120725611</v>
      </c>
      <c r="P1119" s="377">
        <f>P1114*P1117/1000*'Initial Data'!$C$34/'Initial Data'!$C$33</f>
        <v>138986.56083161055</v>
      </c>
      <c r="Q1119" s="377">
        <f>Q1114*Q1117/1000*'Initial Data'!$C$34/'Initial Data'!$C$33</f>
        <v>142711.40066189773</v>
      </c>
    </row>
    <row r="1120" spans="1:17" ht="14.4">
      <c r="A1120" s="370"/>
      <c r="B1120" s="373"/>
      <c r="C1120" s="373"/>
      <c r="D1120" s="373"/>
      <c r="E1120" s="373"/>
      <c r="F1120" s="373"/>
      <c r="G1120" s="373"/>
      <c r="H1120" s="373"/>
      <c r="I1120" s="373"/>
      <c r="J1120" s="373"/>
      <c r="K1120" s="373"/>
      <c r="L1120" s="373"/>
      <c r="M1120" s="373"/>
      <c r="N1120" s="373"/>
      <c r="O1120" s="373"/>
      <c r="P1120" s="373"/>
      <c r="Q1120" s="373"/>
    </row>
    <row r="1121" spans="1:17" ht="14.4">
      <c r="A1121" s="366" t="s">
        <v>295</v>
      </c>
      <c r="B1121" s="378">
        <f>+SUM(C1121:Q1121)</f>
        <v>1790524.8581953994</v>
      </c>
      <c r="C1121" s="367">
        <f>+C1119</f>
        <v>98550</v>
      </c>
      <c r="D1121" s="367">
        <f t="shared" ref="D1121:Q1121" si="305">+D1119</f>
        <v>101191.14</v>
      </c>
      <c r="E1121" s="367">
        <f t="shared" si="305"/>
        <v>103903.06255199999</v>
      </c>
      <c r="F1121" s="367">
        <f t="shared" si="305"/>
        <v>106687.66462839357</v>
      </c>
      <c r="G1121" s="367">
        <f t="shared" si="305"/>
        <v>109546.8940404345</v>
      </c>
      <c r="H1121" s="367">
        <f t="shared" si="305"/>
        <v>112482.75080071818</v>
      </c>
      <c r="I1121" s="367">
        <f t="shared" si="305"/>
        <v>115497.28852217742</v>
      </c>
      <c r="J1121" s="367">
        <f t="shared" si="305"/>
        <v>118592.61585457173</v>
      </c>
      <c r="K1121" s="367">
        <f t="shared" si="305"/>
        <v>121770.89795947427</v>
      </c>
      <c r="L1121" s="367">
        <f t="shared" si="305"/>
        <v>125034.35802478818</v>
      </c>
      <c r="M1121" s="367">
        <f t="shared" si="305"/>
        <v>128385.27881985246</v>
      </c>
      <c r="N1121" s="367">
        <f t="shared" si="305"/>
        <v>131826.0042922245</v>
      </c>
      <c r="O1121" s="367">
        <f t="shared" si="305"/>
        <v>135358.94120725611</v>
      </c>
      <c r="P1121" s="367">
        <f t="shared" si="305"/>
        <v>138986.56083161055</v>
      </c>
      <c r="Q1121" s="367">
        <f t="shared" si="305"/>
        <v>142711.40066189773</v>
      </c>
    </row>
    <row r="1122" spans="1:17" ht="14.4">
      <c r="A1122" s="370"/>
      <c r="B1122" s="374"/>
      <c r="C1122" s="374"/>
      <c r="D1122" s="374"/>
      <c r="E1122" s="374"/>
      <c r="F1122" s="374"/>
      <c r="G1122" s="374"/>
      <c r="H1122" s="374"/>
      <c r="I1122" s="374"/>
      <c r="J1122" s="374"/>
      <c r="K1122" s="374"/>
      <c r="L1122" s="374"/>
      <c r="M1122" s="374"/>
      <c r="N1122" s="374"/>
      <c r="O1122" s="374"/>
      <c r="P1122" s="374"/>
      <c r="Q1122" s="374"/>
    </row>
    <row r="1123" spans="1:17" ht="14.4">
      <c r="A1123" s="366" t="s">
        <v>68</v>
      </c>
      <c r="B1123" s="368"/>
      <c r="C1123" s="368"/>
      <c r="D1123" s="368"/>
      <c r="E1123" s="368"/>
      <c r="F1123" s="368"/>
      <c r="G1123" s="368"/>
      <c r="H1123" s="368"/>
      <c r="I1123" s="368"/>
      <c r="J1123" s="368"/>
      <c r="K1123" s="368"/>
      <c r="L1123" s="368"/>
      <c r="M1123" s="368"/>
      <c r="N1123" s="368"/>
      <c r="O1123" s="368"/>
      <c r="P1123" s="368"/>
      <c r="Q1123" s="368"/>
    </row>
    <row r="1124" spans="1:17" ht="14.4">
      <c r="A1124" s="366" t="s">
        <v>330</v>
      </c>
      <c r="B1124" s="378">
        <f>+SUM(C1124:Q1124)</f>
        <v>17405.991521183645</v>
      </c>
      <c r="C1124" s="367">
        <f>+Baseline_NaturalGas!D20</f>
        <v>958.02102749999995</v>
      </c>
      <c r="D1124" s="367">
        <f>+Baseline_NaturalGas!E20</f>
        <v>983.69599103699989</v>
      </c>
      <c r="E1124" s="367">
        <f>+Baseline_NaturalGas!F20</f>
        <v>1010.0590435967914</v>
      </c>
      <c r="F1124" s="367">
        <f>+Baseline_NaturalGas!G20</f>
        <v>1037.1286259651854</v>
      </c>
      <c r="G1124" s="367">
        <f>+Baseline_NaturalGas!H20</f>
        <v>1064.9236731410524</v>
      </c>
      <c r="H1124" s="367">
        <f>+Baseline_NaturalGas!I20</f>
        <v>1093.4636275812325</v>
      </c>
      <c r="I1124" s="367">
        <f>+Baseline_NaturalGas!J20</f>
        <v>1122.7684528004095</v>
      </c>
      <c r="J1124" s="367">
        <f>+Baseline_NaturalGas!K20</f>
        <v>1152.8586473354603</v>
      </c>
      <c r="K1124" s="367">
        <f>+Baseline_NaturalGas!L20</f>
        <v>1183.7552590840505</v>
      </c>
      <c r="L1124" s="367">
        <f>+Baseline_NaturalGas!M20</f>
        <v>1215.4799000275029</v>
      </c>
      <c r="M1124" s="367">
        <f>+Baseline_NaturalGas!N20</f>
        <v>1248.0547613482399</v>
      </c>
      <c r="N1124" s="367">
        <f>+Baseline_NaturalGas!O20</f>
        <v>1281.5026289523728</v>
      </c>
      <c r="O1124" s="367">
        <f>+Baseline_NaturalGas!P20</f>
        <v>1315.8468994082964</v>
      </c>
      <c r="P1124" s="367">
        <f>+Baseline_NaturalGas!Q20</f>
        <v>1351.1115963124387</v>
      </c>
      <c r="Q1124" s="367">
        <f>+Baseline_NaturalGas!R20</f>
        <v>1387.321387093612</v>
      </c>
    </row>
    <row r="1125" spans="1:17" ht="14.4">
      <c r="A1125" s="370"/>
      <c r="B1125" s="369"/>
      <c r="C1125" s="369"/>
      <c r="D1125" s="369"/>
      <c r="E1125" s="369"/>
      <c r="F1125" s="369"/>
      <c r="G1125" s="369"/>
      <c r="H1125" s="369"/>
      <c r="I1125" s="369"/>
      <c r="J1125" s="369"/>
      <c r="K1125" s="369"/>
      <c r="L1125" s="369"/>
      <c r="M1125" s="369"/>
      <c r="N1125" s="369"/>
      <c r="O1125" s="369"/>
      <c r="P1125" s="369"/>
      <c r="Q1125" s="369"/>
    </row>
    <row r="1126" spans="1:17" ht="14.4">
      <c r="A1126" s="366" t="s">
        <v>71</v>
      </c>
      <c r="B1126" s="379"/>
      <c r="C1126" s="379"/>
      <c r="D1126" s="379"/>
      <c r="E1126" s="379"/>
      <c r="F1126" s="379"/>
      <c r="G1126" s="379"/>
      <c r="H1126" s="379"/>
      <c r="I1126" s="379"/>
      <c r="J1126" s="379"/>
      <c r="K1126" s="379"/>
      <c r="L1126" s="379"/>
      <c r="M1126" s="379"/>
      <c r="N1126" s="379"/>
      <c r="O1126" s="379"/>
      <c r="P1126" s="379"/>
      <c r="Q1126" s="379"/>
    </row>
    <row r="1127" spans="1:17" ht="14.4">
      <c r="A1127" s="370"/>
      <c r="B1127" s="379"/>
      <c r="C1127" s="379"/>
      <c r="D1127" s="379"/>
      <c r="E1127" s="379"/>
      <c r="F1127" s="379"/>
      <c r="G1127" s="379"/>
      <c r="H1127" s="379"/>
      <c r="I1127" s="379"/>
      <c r="J1127" s="379"/>
      <c r="K1127" s="379"/>
      <c r="L1127" s="379"/>
      <c r="M1127" s="379"/>
      <c r="N1127" s="379"/>
      <c r="O1127" s="379"/>
      <c r="P1127" s="379"/>
      <c r="Q1127" s="379"/>
    </row>
    <row r="1128" spans="1:17" ht="14.4">
      <c r="A1128" s="366" t="s">
        <v>64</v>
      </c>
      <c r="B1128" s="373"/>
      <c r="C1128" s="367">
        <f>+Baseline_NaturalGas!D24</f>
        <v>1656.5089715892002</v>
      </c>
      <c r="D1128" s="367">
        <f>+Baseline_NaturalGas!E24</f>
        <v>1656.5089715892002</v>
      </c>
      <c r="E1128" s="367">
        <f>+Baseline_NaturalGas!F24</f>
        <v>1656.5089715892002</v>
      </c>
      <c r="F1128" s="367">
        <f>+Baseline_NaturalGas!G24</f>
        <v>1656.5089715892002</v>
      </c>
      <c r="G1128" s="367">
        <f>+Baseline_NaturalGas!H24</f>
        <v>1656.5089715892002</v>
      </c>
      <c r="H1128" s="367">
        <f>+Baseline_NaturalGas!I24</f>
        <v>1656.5089715892002</v>
      </c>
      <c r="I1128" s="367">
        <f>+Baseline_NaturalGas!J24</f>
        <v>1656.5089715892002</v>
      </c>
      <c r="J1128" s="367">
        <f>+Baseline_NaturalGas!K24</f>
        <v>1656.5089715892002</v>
      </c>
      <c r="K1128" s="367">
        <f>+Baseline_NaturalGas!L24</f>
        <v>1656.5089715892002</v>
      </c>
      <c r="L1128" s="367">
        <f>+Baseline_NaturalGas!M24</f>
        <v>1656.5089715892002</v>
      </c>
      <c r="M1128" s="367">
        <f>+Baseline_NaturalGas!N24</f>
        <v>1656.5089715892002</v>
      </c>
      <c r="N1128" s="367">
        <f>+Baseline_NaturalGas!O24</f>
        <v>1656.5089715892002</v>
      </c>
      <c r="O1128" s="367">
        <f>+Baseline_NaturalGas!P24</f>
        <v>1656.5089715892002</v>
      </c>
      <c r="P1128" s="367">
        <f>+Baseline_NaturalGas!Q24</f>
        <v>1656.5089715892002</v>
      </c>
      <c r="Q1128" s="367">
        <f>+Baseline_NaturalGas!R24</f>
        <v>1656.5089715892002</v>
      </c>
    </row>
    <row r="1129" spans="1:17" ht="14.4">
      <c r="A1129" s="366" t="s">
        <v>108</v>
      </c>
      <c r="B1129" s="387">
        <f>+Baseline_NaturalGas!C25</f>
        <v>0.90200000000000002</v>
      </c>
      <c r="C1129" s="373"/>
      <c r="D1129" s="373"/>
      <c r="E1129" s="373"/>
      <c r="F1129" s="373"/>
      <c r="G1129" s="373"/>
      <c r="H1129" s="373"/>
      <c r="I1129" s="373"/>
      <c r="J1129" s="373"/>
      <c r="K1129" s="373"/>
      <c r="L1129" s="373"/>
      <c r="M1129" s="373"/>
      <c r="N1129" s="373"/>
      <c r="O1129" s="373"/>
      <c r="P1129" s="373"/>
      <c r="Q1129" s="373"/>
    </row>
    <row r="1130" spans="1:17" ht="14.4">
      <c r="A1130" s="366" t="s">
        <v>345</v>
      </c>
      <c r="B1130" s="373"/>
      <c r="C1130" s="367">
        <f>+Baseline_NaturalGas!D26</f>
        <v>1741816.7092883086</v>
      </c>
      <c r="D1130" s="367">
        <f>+Baseline_NaturalGas!E26</f>
        <v>1741816.7092883086</v>
      </c>
      <c r="E1130" s="367">
        <f>+Baseline_NaturalGas!F26</f>
        <v>1741816.7092883086</v>
      </c>
      <c r="F1130" s="367">
        <f>+Baseline_NaturalGas!G26</f>
        <v>1741816.7092883086</v>
      </c>
      <c r="G1130" s="367">
        <f>+Baseline_NaturalGas!H26</f>
        <v>1741816.7092883086</v>
      </c>
      <c r="H1130" s="367">
        <f>+Baseline_NaturalGas!I26</f>
        <v>1741816.7092883086</v>
      </c>
      <c r="I1130" s="367">
        <f>+Baseline_NaturalGas!J26</f>
        <v>1741816.7092883086</v>
      </c>
      <c r="J1130" s="367">
        <f>+Baseline_NaturalGas!K26</f>
        <v>1741816.7092883086</v>
      </c>
      <c r="K1130" s="367">
        <f>+Baseline_NaturalGas!L26</f>
        <v>1741816.7092883086</v>
      </c>
      <c r="L1130" s="367">
        <f>+Baseline_NaturalGas!M26</f>
        <v>1741816.7092883086</v>
      </c>
      <c r="M1130" s="367">
        <f>+Baseline_NaturalGas!N26</f>
        <v>1741816.7092883086</v>
      </c>
      <c r="N1130" s="367">
        <f>+Baseline_NaturalGas!O26</f>
        <v>1741816.7092883086</v>
      </c>
      <c r="O1130" s="367">
        <f>+Baseline_NaturalGas!P26</f>
        <v>1741816.7092883086</v>
      </c>
      <c r="P1130" s="367">
        <f>+Baseline_NaturalGas!Q26</f>
        <v>1741816.7092883086</v>
      </c>
      <c r="Q1130" s="367">
        <f>+Baseline_NaturalGas!R26</f>
        <v>1741816.7092883086</v>
      </c>
    </row>
    <row r="1131" spans="1:17" ht="14.4">
      <c r="A1131" s="366" t="s">
        <v>66</v>
      </c>
      <c r="B1131" s="373"/>
      <c r="C1131" s="367">
        <f>+Baseline_NaturalGas!D27</f>
        <v>5.6086944825694198</v>
      </c>
      <c r="D1131" s="367">
        <f>+Baseline_NaturalGas!E27</f>
        <v>5.5051083831058802</v>
      </c>
      <c r="E1131" s="367">
        <f>+Baseline_NaturalGas!F27</f>
        <v>5.61862622286578</v>
      </c>
      <c r="F1131" s="367">
        <f>+Baseline_NaturalGas!G27</f>
        <v>5.8406487933251103</v>
      </c>
      <c r="G1131" s="367">
        <f>+Baseline_NaturalGas!H27</f>
        <v>5.8453745748678001</v>
      </c>
      <c r="H1131" s="367">
        <f>+Baseline_NaturalGas!I27</f>
        <v>6.0672099673130804</v>
      </c>
      <c r="I1131" s="367">
        <f>+Baseline_NaturalGas!J27</f>
        <v>6.39755565092754</v>
      </c>
      <c r="J1131" s="367">
        <f>+Baseline_NaturalGas!K27</f>
        <v>6.39755565092754</v>
      </c>
      <c r="K1131" s="367">
        <f>+Baseline_NaturalGas!L27</f>
        <v>6.39755565092754</v>
      </c>
      <c r="L1131" s="367">
        <f>+Baseline_NaturalGas!M27</f>
        <v>6.39755565092754</v>
      </c>
      <c r="M1131" s="367">
        <f>+Baseline_NaturalGas!N27</f>
        <v>6.39755565092754</v>
      </c>
      <c r="N1131" s="367">
        <f>+Baseline_NaturalGas!O27</f>
        <v>6.39755565092754</v>
      </c>
      <c r="O1131" s="367">
        <f>+Baseline_NaturalGas!P27</f>
        <v>6.39755565092754</v>
      </c>
      <c r="P1131" s="367">
        <f>+Baseline_NaturalGas!Q27</f>
        <v>6.39755565092754</v>
      </c>
      <c r="Q1131" s="367">
        <f>+Baseline_NaturalGas!R27</f>
        <v>6.39755565092754</v>
      </c>
    </row>
    <row r="1132" spans="1:17" ht="14.4">
      <c r="A1132" s="370"/>
      <c r="B1132" s="379"/>
      <c r="C1132" s="379"/>
      <c r="D1132" s="379"/>
      <c r="E1132" s="379"/>
      <c r="F1132" s="379"/>
      <c r="G1132" s="379"/>
      <c r="H1132" s="379"/>
      <c r="I1132" s="379"/>
      <c r="J1132" s="379"/>
      <c r="K1132" s="379"/>
      <c r="L1132" s="379"/>
      <c r="M1132" s="379"/>
      <c r="N1132" s="379"/>
      <c r="O1132" s="379"/>
      <c r="P1132" s="379"/>
      <c r="Q1132" s="379"/>
    </row>
    <row r="1133" spans="1:17" ht="14.4">
      <c r="A1133" s="366" t="s">
        <v>102</v>
      </c>
      <c r="B1133" s="378">
        <f t="shared" ref="B1133" si="306">+SUM(C1133:Q1133)</f>
        <v>160358.02702356796</v>
      </c>
      <c r="C1133" s="375">
        <f>+C1130*C1131/1000</f>
        <v>9769.3177670325604</v>
      </c>
      <c r="D1133" s="375">
        <f t="shared" ref="D1133:Q1133" si="307">+D1130*D1131/1000</f>
        <v>9588.8897681369654</v>
      </c>
      <c r="E1133" s="375">
        <f t="shared" si="307"/>
        <v>9786.6170382330711</v>
      </c>
      <c r="F1133" s="375">
        <f t="shared" si="307"/>
        <v>10173.339661298274</v>
      </c>
      <c r="G1133" s="375">
        <f t="shared" si="307"/>
        <v>10181.571106553778</v>
      </c>
      <c r="H1133" s="375">
        <f t="shared" si="307"/>
        <v>10567.967699826495</v>
      </c>
      <c r="I1133" s="375">
        <f t="shared" si="307"/>
        <v>11143.36933138743</v>
      </c>
      <c r="J1133" s="375">
        <f t="shared" si="307"/>
        <v>11143.36933138743</v>
      </c>
      <c r="K1133" s="375">
        <f t="shared" si="307"/>
        <v>11143.36933138743</v>
      </c>
      <c r="L1133" s="375">
        <f t="shared" si="307"/>
        <v>11143.36933138743</v>
      </c>
      <c r="M1133" s="375">
        <f t="shared" si="307"/>
        <v>11143.36933138743</v>
      </c>
      <c r="N1133" s="375">
        <f t="shared" si="307"/>
        <v>11143.36933138743</v>
      </c>
      <c r="O1133" s="375">
        <f t="shared" si="307"/>
        <v>11143.36933138743</v>
      </c>
      <c r="P1133" s="375">
        <f t="shared" si="307"/>
        <v>11143.36933138743</v>
      </c>
      <c r="Q1133" s="375">
        <f t="shared" si="307"/>
        <v>11143.36933138743</v>
      </c>
    </row>
    <row r="1134" spans="1:17" ht="14.4">
      <c r="A1134" s="370"/>
      <c r="B1134" s="373"/>
      <c r="C1134" s="373"/>
      <c r="D1134" s="373"/>
      <c r="E1134" s="373"/>
      <c r="F1134" s="373"/>
      <c r="G1134" s="373"/>
      <c r="H1134" s="373"/>
      <c r="I1134" s="373"/>
      <c r="J1134" s="373"/>
      <c r="K1134" s="373"/>
      <c r="L1134" s="373"/>
      <c r="M1134" s="373"/>
      <c r="N1134" s="373"/>
      <c r="O1134" s="373"/>
      <c r="P1134" s="373"/>
      <c r="Q1134" s="373"/>
    </row>
    <row r="1135" spans="1:17" ht="14.4">
      <c r="A1135" s="370"/>
      <c r="B1135" s="379"/>
      <c r="C1135" s="379"/>
      <c r="D1135" s="379"/>
      <c r="E1135" s="379"/>
      <c r="F1135" s="379"/>
      <c r="G1135" s="379"/>
      <c r="H1135" s="379"/>
      <c r="I1135" s="379"/>
      <c r="J1135" s="379"/>
      <c r="K1135" s="379"/>
      <c r="L1135" s="379"/>
      <c r="M1135" s="379"/>
      <c r="N1135" s="379"/>
      <c r="O1135" s="379"/>
      <c r="P1135" s="379"/>
      <c r="Q1135" s="379"/>
    </row>
    <row r="1136" spans="1:17" ht="14.4">
      <c r="A1136" s="366" t="s">
        <v>101</v>
      </c>
      <c r="B1136" s="373"/>
      <c r="C1136" s="375">
        <f>+C1133+C1124</f>
        <v>10727.338794532559</v>
      </c>
      <c r="D1136" s="375">
        <f t="shared" ref="D1136:Q1136" si="308">+D1133+D1124</f>
        <v>10572.585759173966</v>
      </c>
      <c r="E1136" s="375">
        <f t="shared" si="308"/>
        <v>10796.676081829863</v>
      </c>
      <c r="F1136" s="375">
        <f t="shared" si="308"/>
        <v>11210.46828726346</v>
      </c>
      <c r="G1136" s="375">
        <f t="shared" si="308"/>
        <v>11246.494779694831</v>
      </c>
      <c r="H1136" s="375">
        <f t="shared" si="308"/>
        <v>11661.431327407727</v>
      </c>
      <c r="I1136" s="375">
        <f t="shared" si="308"/>
        <v>12266.13778418784</v>
      </c>
      <c r="J1136" s="375">
        <f t="shared" si="308"/>
        <v>12296.227978722891</v>
      </c>
      <c r="K1136" s="375">
        <f t="shared" si="308"/>
        <v>12327.124590471481</v>
      </c>
      <c r="L1136" s="375">
        <f t="shared" si="308"/>
        <v>12358.849231414933</v>
      </c>
      <c r="M1136" s="375">
        <f t="shared" si="308"/>
        <v>12391.42409273567</v>
      </c>
      <c r="N1136" s="375">
        <f t="shared" si="308"/>
        <v>12424.871960339802</v>
      </c>
      <c r="O1136" s="375">
        <f t="shared" si="308"/>
        <v>12459.216230795726</v>
      </c>
      <c r="P1136" s="375">
        <f t="shared" si="308"/>
        <v>12494.480927699869</v>
      </c>
      <c r="Q1136" s="375">
        <f t="shared" si="308"/>
        <v>12530.690718481042</v>
      </c>
    </row>
    <row r="1137" spans="1:17" ht="14.4">
      <c r="A1137" s="370"/>
      <c r="B1137" s="379"/>
      <c r="C1137" s="379"/>
      <c r="D1137" s="379"/>
      <c r="E1137" s="379"/>
      <c r="F1137" s="379"/>
      <c r="G1137" s="379"/>
      <c r="H1137" s="379"/>
      <c r="I1137" s="379"/>
      <c r="J1137" s="379"/>
      <c r="K1137" s="379"/>
      <c r="L1137" s="379"/>
      <c r="M1137" s="379"/>
      <c r="N1137" s="379"/>
      <c r="O1137" s="379"/>
      <c r="P1137" s="379"/>
      <c r="Q1137" s="379"/>
    </row>
    <row r="1138" spans="1:17" ht="14.4">
      <c r="A1138" s="366" t="s">
        <v>73</v>
      </c>
      <c r="B1138" s="378">
        <f>+SUM(C1138:Q1138)</f>
        <v>11487.524395535713</v>
      </c>
      <c r="C1138" s="367">
        <f>+Baseline_NaturalGas!$D$5/'Initial Data'!$C$19</f>
        <v>1148.7524395535715</v>
      </c>
      <c r="D1138" s="367">
        <f>+Baseline_NaturalGas!$D$5/'Initial Data'!$C$19</f>
        <v>1148.7524395535715</v>
      </c>
      <c r="E1138" s="367">
        <f>+Baseline_NaturalGas!$D$5/'Initial Data'!$C$19</f>
        <v>1148.7524395535715</v>
      </c>
      <c r="F1138" s="367">
        <f>+Baseline_NaturalGas!$D$5/'Initial Data'!$C$19</f>
        <v>1148.7524395535715</v>
      </c>
      <c r="G1138" s="367">
        <f>+Baseline_NaturalGas!$D$5/'Initial Data'!$C$19</f>
        <v>1148.7524395535715</v>
      </c>
      <c r="H1138" s="367">
        <f>+Baseline_NaturalGas!$D$5/'Initial Data'!$C$19</f>
        <v>1148.7524395535715</v>
      </c>
      <c r="I1138" s="367">
        <f>+Baseline_NaturalGas!$D$5/'Initial Data'!$C$19</f>
        <v>1148.7524395535715</v>
      </c>
      <c r="J1138" s="367">
        <f>+Baseline_NaturalGas!$D$5/'Initial Data'!$C$19</f>
        <v>1148.7524395535715</v>
      </c>
      <c r="K1138" s="367">
        <f>+Baseline_NaturalGas!$D$5/'Initial Data'!$C$19</f>
        <v>1148.7524395535715</v>
      </c>
      <c r="L1138" s="367">
        <f>+Baseline_NaturalGas!$D$5/'Initial Data'!$C$19</f>
        <v>1148.7524395535715</v>
      </c>
      <c r="M1138" s="367">
        <v>0</v>
      </c>
      <c r="N1138" s="367">
        <v>0</v>
      </c>
      <c r="O1138" s="367">
        <v>0</v>
      </c>
      <c r="P1138" s="367">
        <v>0</v>
      </c>
      <c r="Q1138" s="367">
        <v>0</v>
      </c>
    </row>
    <row r="1139" spans="1:17" ht="14.4">
      <c r="A1139" s="366" t="s">
        <v>74</v>
      </c>
      <c r="B1139" s="378">
        <f>+SUM(C1139:Q1139)</f>
        <v>11487.524395535713</v>
      </c>
      <c r="C1139" s="367">
        <f>SUM(C1138:C1138)</f>
        <v>1148.7524395535715</v>
      </c>
      <c r="D1139" s="367">
        <f t="shared" ref="D1139:Q1139" si="309">SUM(D1138:D1138)</f>
        <v>1148.7524395535715</v>
      </c>
      <c r="E1139" s="367">
        <f t="shared" si="309"/>
        <v>1148.7524395535715</v>
      </c>
      <c r="F1139" s="367">
        <f t="shared" si="309"/>
        <v>1148.7524395535715</v>
      </c>
      <c r="G1139" s="367">
        <f t="shared" si="309"/>
        <v>1148.7524395535715</v>
      </c>
      <c r="H1139" s="367">
        <f t="shared" si="309"/>
        <v>1148.7524395535715</v>
      </c>
      <c r="I1139" s="367">
        <f t="shared" si="309"/>
        <v>1148.7524395535715</v>
      </c>
      <c r="J1139" s="367">
        <f t="shared" si="309"/>
        <v>1148.7524395535715</v>
      </c>
      <c r="K1139" s="367">
        <f t="shared" si="309"/>
        <v>1148.7524395535715</v>
      </c>
      <c r="L1139" s="367">
        <f t="shared" si="309"/>
        <v>1148.7524395535715</v>
      </c>
      <c r="M1139" s="367">
        <f t="shared" si="309"/>
        <v>0</v>
      </c>
      <c r="N1139" s="367">
        <f t="shared" si="309"/>
        <v>0</v>
      </c>
      <c r="O1139" s="367">
        <f t="shared" si="309"/>
        <v>0</v>
      </c>
      <c r="P1139" s="367">
        <f t="shared" si="309"/>
        <v>0</v>
      </c>
      <c r="Q1139" s="367">
        <f t="shared" si="309"/>
        <v>0</v>
      </c>
    </row>
    <row r="1140" spans="1:17" ht="14.4">
      <c r="A1140" s="90"/>
      <c r="B1140" s="388"/>
      <c r="C1140" s="373"/>
      <c r="D1140" s="373"/>
      <c r="E1140" s="373"/>
      <c r="F1140" s="373"/>
      <c r="G1140" s="373"/>
      <c r="H1140" s="373"/>
      <c r="I1140" s="373"/>
      <c r="J1140" s="373"/>
      <c r="K1140" s="373"/>
      <c r="L1140" s="373"/>
      <c r="M1140" s="373"/>
      <c r="N1140" s="373"/>
      <c r="O1140" s="373"/>
      <c r="P1140" s="373"/>
      <c r="Q1140" s="373"/>
    </row>
    <row r="1141" spans="1:17" ht="14.4">
      <c r="A1141" s="366" t="s">
        <v>75</v>
      </c>
      <c r="B1141" s="378">
        <f>+SUM(C1141:Q1141)</f>
        <v>189251.54294028736</v>
      </c>
      <c r="C1141" s="367">
        <f>+C1136+C1139</f>
        <v>11876.09123408613</v>
      </c>
      <c r="D1141" s="367">
        <f t="shared" ref="D1141:Q1141" si="310">+D1136+D1139</f>
        <v>11721.338198727537</v>
      </c>
      <c r="E1141" s="367">
        <f t="shared" si="310"/>
        <v>11945.428521383434</v>
      </c>
      <c r="F1141" s="367">
        <f t="shared" si="310"/>
        <v>12359.220726817031</v>
      </c>
      <c r="G1141" s="367">
        <f t="shared" si="310"/>
        <v>12395.247219248402</v>
      </c>
      <c r="H1141" s="367">
        <f t="shared" si="310"/>
        <v>12810.183766961298</v>
      </c>
      <c r="I1141" s="367">
        <f t="shared" si="310"/>
        <v>13414.890223741411</v>
      </c>
      <c r="J1141" s="367">
        <f t="shared" si="310"/>
        <v>13444.980418276462</v>
      </c>
      <c r="K1141" s="367">
        <f t="shared" si="310"/>
        <v>13475.877030025053</v>
      </c>
      <c r="L1141" s="367">
        <f t="shared" si="310"/>
        <v>13507.601670968505</v>
      </c>
      <c r="M1141" s="367">
        <f t="shared" si="310"/>
        <v>12391.42409273567</v>
      </c>
      <c r="N1141" s="367">
        <f t="shared" si="310"/>
        <v>12424.871960339802</v>
      </c>
      <c r="O1141" s="367">
        <f t="shared" si="310"/>
        <v>12459.216230795726</v>
      </c>
      <c r="P1141" s="367">
        <f t="shared" si="310"/>
        <v>12494.480927699869</v>
      </c>
      <c r="Q1141" s="367">
        <f t="shared" si="310"/>
        <v>12530.690718481042</v>
      </c>
    </row>
    <row r="1142" spans="1:17">
      <c r="A1142" s="74"/>
    </row>
    <row r="1143" spans="1:17" ht="14.4">
      <c r="A1143" s="366" t="s">
        <v>76</v>
      </c>
      <c r="B1143" s="378">
        <f>+SUM(C1143:Q1143)</f>
        <v>1601273.315255112</v>
      </c>
      <c r="C1143" s="367">
        <f>+C1121-C1141</f>
        <v>86673.908765913875</v>
      </c>
      <c r="D1143" s="367">
        <f t="shared" ref="D1143:Q1143" si="311">+D1121-D1141</f>
        <v>89469.801801272464</v>
      </c>
      <c r="E1143" s="367">
        <f t="shared" si="311"/>
        <v>91957.634030616551</v>
      </c>
      <c r="F1143" s="367">
        <f t="shared" si="311"/>
        <v>94328.443901576538</v>
      </c>
      <c r="G1143" s="367">
        <f t="shared" si="311"/>
        <v>97151.646821186107</v>
      </c>
      <c r="H1143" s="367">
        <f t="shared" si="311"/>
        <v>99672.567033756874</v>
      </c>
      <c r="I1143" s="367">
        <f t="shared" si="311"/>
        <v>102082.398298436</v>
      </c>
      <c r="J1143" s="367">
        <f t="shared" si="311"/>
        <v>105147.63543629527</v>
      </c>
      <c r="K1143" s="367">
        <f t="shared" si="311"/>
        <v>108295.02092944922</v>
      </c>
      <c r="L1143" s="367">
        <f t="shared" si="311"/>
        <v>111526.75635381967</v>
      </c>
      <c r="M1143" s="367">
        <f t="shared" si="311"/>
        <v>115993.85472711679</v>
      </c>
      <c r="N1143" s="367">
        <f t="shared" si="311"/>
        <v>119401.1323318847</v>
      </c>
      <c r="O1143" s="367">
        <f t="shared" si="311"/>
        <v>122899.72497646039</v>
      </c>
      <c r="P1143" s="367">
        <f t="shared" si="311"/>
        <v>126492.07990391068</v>
      </c>
      <c r="Q1143" s="367">
        <f t="shared" si="311"/>
        <v>130180.70994341669</v>
      </c>
    </row>
    <row r="1144" spans="1:17" ht="14.4">
      <c r="A1144" s="369"/>
      <c r="B1144" s="373"/>
      <c r="C1144" s="373"/>
      <c r="D1144" s="373"/>
      <c r="E1144" s="373"/>
      <c r="F1144" s="373"/>
      <c r="G1144" s="373"/>
      <c r="H1144" s="373"/>
      <c r="I1144" s="373"/>
      <c r="J1144" s="373"/>
      <c r="K1144" s="373"/>
      <c r="L1144" s="373"/>
      <c r="M1144" s="373"/>
      <c r="N1144" s="373"/>
      <c r="O1144" s="373"/>
      <c r="P1144" s="373"/>
      <c r="Q1144" s="373"/>
    </row>
    <row r="1145" spans="1:17" ht="14.4">
      <c r="A1145" s="366" t="s">
        <v>222</v>
      </c>
      <c r="B1145" s="402">
        <f>+B15</f>
        <v>0.8</v>
      </c>
      <c r="C1145" s="367">
        <f>IF((+$B$1145*C1143)&lt;0,"0",(+$B$1145*C1143))</f>
        <v>69339.1270127311</v>
      </c>
      <c r="D1145" s="367">
        <f t="shared" ref="D1145:Q1145" si="312">IF((+$B$1145*D1143)&lt;0,"0",(+$B$1145*D1143))</f>
        <v>71575.841441017968</v>
      </c>
      <c r="E1145" s="367">
        <f t="shared" si="312"/>
        <v>73566.107224493244</v>
      </c>
      <c r="F1145" s="367">
        <f t="shared" si="312"/>
        <v>75462.755121261231</v>
      </c>
      <c r="G1145" s="367">
        <f t="shared" si="312"/>
        <v>77721.317456948891</v>
      </c>
      <c r="H1145" s="367">
        <f t="shared" si="312"/>
        <v>79738.053627005502</v>
      </c>
      <c r="I1145" s="367">
        <f t="shared" si="312"/>
        <v>81665.918638748815</v>
      </c>
      <c r="J1145" s="367">
        <f t="shared" si="312"/>
        <v>84118.108349036222</v>
      </c>
      <c r="K1145" s="367">
        <f t="shared" si="312"/>
        <v>86636.01674355939</v>
      </c>
      <c r="L1145" s="367">
        <f t="shared" si="312"/>
        <v>89221.405083055739</v>
      </c>
      <c r="M1145" s="367">
        <f t="shared" si="312"/>
        <v>92795.083781693436</v>
      </c>
      <c r="N1145" s="367">
        <f t="shared" si="312"/>
        <v>95520.905865507768</v>
      </c>
      <c r="O1145" s="367">
        <f t="shared" si="312"/>
        <v>98319.779981168322</v>
      </c>
      <c r="P1145" s="367">
        <f t="shared" si="312"/>
        <v>101193.66392312855</v>
      </c>
      <c r="Q1145" s="367">
        <f t="shared" si="312"/>
        <v>104144.56795473336</v>
      </c>
    </row>
    <row r="1146" spans="1:17" ht="14.4">
      <c r="A1146" s="366" t="s">
        <v>77</v>
      </c>
      <c r="B1146" s="378">
        <f>+SUM(C1146:Q1146)</f>
        <v>1281018.6522040893</v>
      </c>
      <c r="C1146" s="367">
        <f>SUM(C1145:C1145)</f>
        <v>69339.1270127311</v>
      </c>
      <c r="D1146" s="367">
        <f t="shared" ref="D1146:Q1146" si="313">SUM(D1145:D1145)</f>
        <v>71575.841441017968</v>
      </c>
      <c r="E1146" s="367">
        <f t="shared" si="313"/>
        <v>73566.107224493244</v>
      </c>
      <c r="F1146" s="367">
        <f t="shared" si="313"/>
        <v>75462.755121261231</v>
      </c>
      <c r="G1146" s="367">
        <f t="shared" si="313"/>
        <v>77721.317456948891</v>
      </c>
      <c r="H1146" s="367">
        <f t="shared" si="313"/>
        <v>79738.053627005502</v>
      </c>
      <c r="I1146" s="367">
        <f t="shared" si="313"/>
        <v>81665.918638748815</v>
      </c>
      <c r="J1146" s="367">
        <f t="shared" si="313"/>
        <v>84118.108349036222</v>
      </c>
      <c r="K1146" s="367">
        <f t="shared" si="313"/>
        <v>86636.01674355939</v>
      </c>
      <c r="L1146" s="367">
        <f t="shared" si="313"/>
        <v>89221.405083055739</v>
      </c>
      <c r="M1146" s="367">
        <f t="shared" si="313"/>
        <v>92795.083781693436</v>
      </c>
      <c r="N1146" s="367">
        <f t="shared" si="313"/>
        <v>95520.905865507768</v>
      </c>
      <c r="O1146" s="367">
        <f t="shared" si="313"/>
        <v>98319.779981168322</v>
      </c>
      <c r="P1146" s="367">
        <f t="shared" si="313"/>
        <v>101193.66392312855</v>
      </c>
      <c r="Q1146" s="367">
        <f t="shared" si="313"/>
        <v>104144.56795473336</v>
      </c>
    </row>
    <row r="1147" spans="1:17" ht="14.4">
      <c r="A1147" s="369"/>
      <c r="B1147" s="373"/>
      <c r="C1147" s="373"/>
      <c r="D1147" s="373"/>
      <c r="E1147" s="373"/>
      <c r="F1147" s="373"/>
      <c r="G1147" s="373"/>
      <c r="H1147" s="373"/>
      <c r="I1147" s="373"/>
      <c r="J1147" s="373"/>
      <c r="K1147" s="373"/>
      <c r="L1147" s="373"/>
      <c r="M1147" s="373"/>
      <c r="N1147" s="373"/>
      <c r="O1147" s="373"/>
      <c r="P1147" s="373"/>
      <c r="Q1147" s="373"/>
    </row>
    <row r="1148" spans="1:17" ht="14.4">
      <c r="A1148" s="366" t="s">
        <v>78</v>
      </c>
      <c r="B1148" s="378">
        <f>+SUM(C1148:Q1148)</f>
        <v>320254.66305102227</v>
      </c>
      <c r="C1148" s="367">
        <f>+C1143-C1146</f>
        <v>17334.781753182775</v>
      </c>
      <c r="D1148" s="367">
        <f t="shared" ref="D1148:Q1148" si="314">+D1143-D1146</f>
        <v>17893.960360254496</v>
      </c>
      <c r="E1148" s="367">
        <f t="shared" si="314"/>
        <v>18391.526806123307</v>
      </c>
      <c r="F1148" s="367">
        <f t="shared" si="314"/>
        <v>18865.688780315308</v>
      </c>
      <c r="G1148" s="367">
        <f t="shared" si="314"/>
        <v>19430.329364237215</v>
      </c>
      <c r="H1148" s="367">
        <f t="shared" si="314"/>
        <v>19934.513406751372</v>
      </c>
      <c r="I1148" s="367">
        <f t="shared" si="314"/>
        <v>20416.479659687189</v>
      </c>
      <c r="J1148" s="367">
        <f t="shared" si="314"/>
        <v>21029.527087259048</v>
      </c>
      <c r="K1148" s="367">
        <f t="shared" si="314"/>
        <v>21659.004185889833</v>
      </c>
      <c r="L1148" s="367">
        <f t="shared" si="314"/>
        <v>22305.351270763931</v>
      </c>
      <c r="M1148" s="367">
        <f t="shared" si="314"/>
        <v>23198.770945423355</v>
      </c>
      <c r="N1148" s="367">
        <f t="shared" si="314"/>
        <v>23880.226466376931</v>
      </c>
      <c r="O1148" s="367">
        <f t="shared" si="314"/>
        <v>24579.94499529207</v>
      </c>
      <c r="P1148" s="367">
        <f t="shared" si="314"/>
        <v>25298.415980782127</v>
      </c>
      <c r="Q1148" s="367">
        <f t="shared" si="314"/>
        <v>26036.141988683332</v>
      </c>
    </row>
    <row r="1149" spans="1:17" ht="14.4">
      <c r="A1149" s="395" t="s">
        <v>331</v>
      </c>
      <c r="B1149" s="378">
        <f>+SUM(C1149:Q1149)</f>
        <v>11487.524395535713</v>
      </c>
      <c r="C1149" s="377">
        <f>+C1138</f>
        <v>1148.7524395535715</v>
      </c>
      <c r="D1149" s="377">
        <f t="shared" ref="D1149:Q1149" si="315">+D1138</f>
        <v>1148.7524395535715</v>
      </c>
      <c r="E1149" s="377">
        <f t="shared" si="315"/>
        <v>1148.7524395535715</v>
      </c>
      <c r="F1149" s="377">
        <f t="shared" si="315"/>
        <v>1148.7524395535715</v>
      </c>
      <c r="G1149" s="377">
        <f t="shared" si="315"/>
        <v>1148.7524395535715</v>
      </c>
      <c r="H1149" s="377">
        <f t="shared" si="315"/>
        <v>1148.7524395535715</v>
      </c>
      <c r="I1149" s="377">
        <f t="shared" si="315"/>
        <v>1148.7524395535715</v>
      </c>
      <c r="J1149" s="377">
        <f t="shared" si="315"/>
        <v>1148.7524395535715</v>
      </c>
      <c r="K1149" s="377">
        <f t="shared" si="315"/>
        <v>1148.7524395535715</v>
      </c>
      <c r="L1149" s="377">
        <f t="shared" si="315"/>
        <v>1148.7524395535715</v>
      </c>
      <c r="M1149" s="377">
        <f t="shared" si="315"/>
        <v>0</v>
      </c>
      <c r="N1149" s="377">
        <f t="shared" si="315"/>
        <v>0</v>
      </c>
      <c r="O1149" s="377">
        <f t="shared" si="315"/>
        <v>0</v>
      </c>
      <c r="P1149" s="377">
        <f t="shared" si="315"/>
        <v>0</v>
      </c>
      <c r="Q1149" s="377">
        <f t="shared" si="315"/>
        <v>0</v>
      </c>
    </row>
    <row r="1150" spans="1:17" ht="14.4">
      <c r="A1150" s="395" t="s">
        <v>332</v>
      </c>
      <c r="B1150" s="378">
        <f>+Baseline_NaturalGas!C1083</f>
        <v>0</v>
      </c>
      <c r="C1150" s="367">
        <f>+Baseline_NaturalGas!D1083</f>
        <v>0</v>
      </c>
      <c r="D1150" s="367">
        <f>+Baseline_NaturalGas!E1083</f>
        <v>0</v>
      </c>
      <c r="E1150" s="367">
        <f>+Baseline_NaturalGas!F1083</f>
        <v>0</v>
      </c>
      <c r="F1150" s="367">
        <f>+Baseline_NaturalGas!G1083</f>
        <v>0</v>
      </c>
      <c r="G1150" s="367">
        <f>+Baseline_NaturalGas!H1083</f>
        <v>0</v>
      </c>
      <c r="H1150" s="367">
        <f>+Baseline_NaturalGas!I1083</f>
        <v>0</v>
      </c>
      <c r="I1150" s="367">
        <f>+Baseline_NaturalGas!J1083</f>
        <v>0</v>
      </c>
      <c r="J1150" s="367">
        <f>+Baseline_NaturalGas!K1083</f>
        <v>0</v>
      </c>
      <c r="K1150" s="367">
        <f>+Baseline_NaturalGas!L1083</f>
        <v>0</v>
      </c>
      <c r="L1150" s="367">
        <f>+Baseline_NaturalGas!M1083</f>
        <v>0</v>
      </c>
      <c r="M1150" s="367">
        <f>+Baseline_NaturalGas!N1083</f>
        <v>0</v>
      </c>
      <c r="N1150" s="367">
        <f>+Baseline_NaturalGas!O1083</f>
        <v>0</v>
      </c>
      <c r="O1150" s="367">
        <f>+Baseline_NaturalGas!P1083</f>
        <v>0</v>
      </c>
      <c r="P1150" s="367">
        <f>+Baseline_NaturalGas!Q1083</f>
        <v>0</v>
      </c>
      <c r="Q1150" s="367">
        <f>+Baseline_NaturalGas!R1083</f>
        <v>0</v>
      </c>
    </row>
    <row r="1151" spans="1:17" ht="14.4">
      <c r="A1151" s="376"/>
      <c r="B1151" s="389"/>
      <c r="C1151" s="389"/>
      <c r="D1151" s="389"/>
      <c r="E1151" s="389"/>
      <c r="F1151" s="389"/>
      <c r="G1151" s="389"/>
      <c r="H1151" s="389"/>
      <c r="I1151" s="389"/>
      <c r="J1151" s="389"/>
      <c r="K1151" s="389"/>
      <c r="L1151" s="389"/>
      <c r="M1151" s="389"/>
      <c r="N1151" s="389"/>
      <c r="O1151" s="389"/>
      <c r="P1151" s="389"/>
      <c r="Q1151" s="389"/>
    </row>
    <row r="1152" spans="1:17" ht="14.4">
      <c r="A1152" s="366" t="s">
        <v>110</v>
      </c>
      <c r="B1152" s="378">
        <f>-Baseline_NaturalGas!$D$5</f>
        <v>-11487.524395535715</v>
      </c>
      <c r="C1152" s="367">
        <f>+C1148+C1149+C1150</f>
        <v>18483.534192736348</v>
      </c>
      <c r="D1152" s="367">
        <f t="shared" ref="D1152:Q1152" si="316">+D1148+D1149+D1150</f>
        <v>19042.712799808069</v>
      </c>
      <c r="E1152" s="367">
        <f t="shared" si="316"/>
        <v>19540.27924567688</v>
      </c>
      <c r="F1152" s="367">
        <f t="shared" si="316"/>
        <v>20014.441219868881</v>
      </c>
      <c r="G1152" s="367">
        <f t="shared" si="316"/>
        <v>20579.081803790788</v>
      </c>
      <c r="H1152" s="367">
        <f t="shared" si="316"/>
        <v>21083.265846304945</v>
      </c>
      <c r="I1152" s="367">
        <f t="shared" si="316"/>
        <v>21565.232099240762</v>
      </c>
      <c r="J1152" s="367">
        <f t="shared" si="316"/>
        <v>22178.279526812621</v>
      </c>
      <c r="K1152" s="367">
        <f t="shared" si="316"/>
        <v>22807.756625443406</v>
      </c>
      <c r="L1152" s="367">
        <f t="shared" si="316"/>
        <v>23454.103710317504</v>
      </c>
      <c r="M1152" s="367">
        <f t="shared" si="316"/>
        <v>23198.770945423355</v>
      </c>
      <c r="N1152" s="367">
        <f t="shared" si="316"/>
        <v>23880.226466376931</v>
      </c>
      <c r="O1152" s="367">
        <f t="shared" si="316"/>
        <v>24579.94499529207</v>
      </c>
      <c r="P1152" s="367">
        <f t="shared" si="316"/>
        <v>25298.415980782127</v>
      </c>
      <c r="Q1152" s="367">
        <f t="shared" si="316"/>
        <v>26036.141988683332</v>
      </c>
    </row>
    <row r="1153" spans="1:17" ht="15.6">
      <c r="A1153" s="366" t="s">
        <v>51</v>
      </c>
      <c r="B1153" s="132">
        <f>IRR(B1152:Q1152)</f>
        <v>1.6375175341097492</v>
      </c>
      <c r="C1153" s="390"/>
      <c r="D1153" s="390"/>
      <c r="E1153" s="390"/>
      <c r="F1153" s="390"/>
      <c r="G1153" s="390"/>
      <c r="H1153" s="390"/>
      <c r="I1153" s="390"/>
      <c r="J1153" s="390"/>
      <c r="K1153" s="390"/>
      <c r="L1153" s="390"/>
      <c r="M1153" s="390"/>
      <c r="N1153" s="390"/>
      <c r="O1153" s="390"/>
      <c r="P1153" s="390"/>
      <c r="Q1153" s="390"/>
    </row>
    <row r="1154" spans="1:17" ht="15.6">
      <c r="A1154" s="366" t="s">
        <v>267</v>
      </c>
      <c r="B1154" s="303">
        <f>NPV('Initial Data'!$C$21/100,B1152:Q1152)</f>
        <v>117889.73695618966</v>
      </c>
      <c r="C1154" s="373"/>
      <c r="D1154" s="373"/>
      <c r="E1154" s="373"/>
      <c r="F1154" s="373"/>
      <c r="G1154" s="373"/>
      <c r="H1154" s="373"/>
      <c r="I1154" s="373"/>
      <c r="J1154" s="373"/>
      <c r="K1154" s="373"/>
      <c r="L1154" s="373"/>
      <c r="M1154" s="373"/>
      <c r="N1154" s="373"/>
      <c r="O1154" s="373"/>
      <c r="P1154" s="373"/>
      <c r="Q1154" s="373"/>
    </row>
    <row r="1156" spans="1:17" ht="14.4">
      <c r="A1156" s="417" t="s">
        <v>349</v>
      </c>
      <c r="B1156" s="418"/>
      <c r="C1156" s="418"/>
      <c r="D1156" s="418"/>
      <c r="E1156" s="418"/>
      <c r="F1156" s="418"/>
      <c r="G1156" s="418"/>
      <c r="H1156" s="418"/>
      <c r="I1156" s="418"/>
      <c r="J1156" s="418"/>
      <c r="K1156" s="418"/>
      <c r="L1156" s="418"/>
      <c r="M1156" s="418"/>
      <c r="N1156" s="418"/>
      <c r="O1156" s="418"/>
      <c r="P1156" s="418"/>
      <c r="Q1156" s="418"/>
    </row>
    <row r="1157" spans="1:17" ht="14.4">
      <c r="A1157" s="371" t="s">
        <v>355</v>
      </c>
      <c r="B1157" s="372"/>
      <c r="C1157" s="372"/>
      <c r="D1157" s="372"/>
      <c r="E1157" s="372"/>
      <c r="F1157" s="372"/>
      <c r="G1157" s="372"/>
      <c r="H1157" s="372"/>
      <c r="I1157" s="372"/>
      <c r="J1157" s="372"/>
      <c r="K1157" s="372"/>
      <c r="L1157" s="372"/>
      <c r="M1157" s="372"/>
      <c r="N1157" s="372"/>
      <c r="O1157" s="372"/>
      <c r="P1157" s="372"/>
      <c r="Q1157" s="372"/>
    </row>
    <row r="1158" spans="1:17" ht="27">
      <c r="A1158" s="376"/>
      <c r="B1158" s="304" t="s">
        <v>35</v>
      </c>
      <c r="C1158" s="352" t="s">
        <v>407</v>
      </c>
      <c r="D1158" s="352" t="s">
        <v>408</v>
      </c>
      <c r="E1158" s="352" t="s">
        <v>409</v>
      </c>
      <c r="F1158" s="352" t="s">
        <v>410</v>
      </c>
      <c r="G1158" s="352" t="s">
        <v>411</v>
      </c>
      <c r="H1158" s="352" t="s">
        <v>412</v>
      </c>
      <c r="I1158" s="352" t="s">
        <v>413</v>
      </c>
      <c r="J1158" s="352" t="s">
        <v>414</v>
      </c>
      <c r="K1158" s="352" t="s">
        <v>415</v>
      </c>
      <c r="L1158" s="352" t="s">
        <v>416</v>
      </c>
      <c r="M1158" s="352" t="s">
        <v>417</v>
      </c>
      <c r="N1158" s="352" t="s">
        <v>418</v>
      </c>
      <c r="O1158" s="352" t="s">
        <v>419</v>
      </c>
      <c r="P1158" s="352" t="s">
        <v>420</v>
      </c>
      <c r="Q1158" s="352" t="s">
        <v>421</v>
      </c>
    </row>
    <row r="1159" spans="1:17" ht="14.4">
      <c r="A1159" s="363" t="s">
        <v>290</v>
      </c>
      <c r="B1159" s="365"/>
      <c r="C1159" s="367">
        <f>+Baseline_NaturalGas!D10</f>
        <v>219000</v>
      </c>
      <c r="D1159" s="367">
        <f>+Baseline_NaturalGas!E10</f>
        <v>219000</v>
      </c>
      <c r="E1159" s="367">
        <f>+Baseline_NaturalGas!F10</f>
        <v>219000</v>
      </c>
      <c r="F1159" s="367">
        <f>+Baseline_NaturalGas!G10</f>
        <v>219000</v>
      </c>
      <c r="G1159" s="367">
        <f>+Baseline_NaturalGas!H10</f>
        <v>219000</v>
      </c>
      <c r="H1159" s="367">
        <f>+Baseline_NaturalGas!I10</f>
        <v>219000</v>
      </c>
      <c r="I1159" s="367">
        <f>+Baseline_NaturalGas!J10</f>
        <v>219000</v>
      </c>
      <c r="J1159" s="367">
        <f>+Baseline_NaturalGas!K10</f>
        <v>219000</v>
      </c>
      <c r="K1159" s="367">
        <f>+Baseline_NaturalGas!L10</f>
        <v>219000</v>
      </c>
      <c r="L1159" s="367">
        <f>+Baseline_NaturalGas!M10</f>
        <v>219000</v>
      </c>
      <c r="M1159" s="367">
        <f>+Baseline_NaturalGas!N10</f>
        <v>219000</v>
      </c>
      <c r="N1159" s="367">
        <f>+Baseline_NaturalGas!O10</f>
        <v>219000</v>
      </c>
      <c r="O1159" s="367">
        <f>+Baseline_NaturalGas!P10</f>
        <v>219000</v>
      </c>
      <c r="P1159" s="367">
        <f>+Baseline_NaturalGas!Q10</f>
        <v>219000</v>
      </c>
      <c r="Q1159" s="367">
        <f>+Baseline_NaturalGas!R10</f>
        <v>219000</v>
      </c>
    </row>
    <row r="1160" spans="1:17" ht="14.4">
      <c r="A1160" s="364" t="s">
        <v>291</v>
      </c>
      <c r="B1160" s="365"/>
      <c r="C1160" s="367">
        <f>+Baseline_NaturalGas!D11</f>
        <v>70</v>
      </c>
      <c r="D1160" s="367">
        <f>+Baseline_NaturalGas!E11</f>
        <v>70</v>
      </c>
      <c r="E1160" s="367">
        <f>+Baseline_NaturalGas!F11</f>
        <v>70</v>
      </c>
      <c r="F1160" s="367">
        <f>+Baseline_NaturalGas!G11</f>
        <v>70</v>
      </c>
      <c r="G1160" s="367">
        <f>+Baseline_NaturalGas!H11</f>
        <v>70</v>
      </c>
      <c r="H1160" s="367">
        <f>+Baseline_NaturalGas!I11</f>
        <v>70</v>
      </c>
      <c r="I1160" s="367">
        <f>+Baseline_NaturalGas!J11</f>
        <v>70</v>
      </c>
      <c r="J1160" s="367">
        <f>+Baseline_NaturalGas!K11</f>
        <v>70</v>
      </c>
      <c r="K1160" s="367">
        <f>+Baseline_NaturalGas!L11</f>
        <v>70</v>
      </c>
      <c r="L1160" s="367">
        <f>+Baseline_NaturalGas!M11</f>
        <v>70</v>
      </c>
      <c r="M1160" s="367">
        <f>+Baseline_NaturalGas!N11</f>
        <v>70</v>
      </c>
      <c r="N1160" s="367">
        <f>+Baseline_NaturalGas!O11</f>
        <v>70</v>
      </c>
      <c r="O1160" s="367">
        <f>+Baseline_NaturalGas!P11</f>
        <v>70</v>
      </c>
      <c r="P1160" s="367">
        <f>+Baseline_NaturalGas!Q11</f>
        <v>70</v>
      </c>
      <c r="Q1160" s="367">
        <f>+Baseline_NaturalGas!R11</f>
        <v>70</v>
      </c>
    </row>
    <row r="1161" spans="1:17" ht="14.4">
      <c r="A1161" s="366" t="s">
        <v>292</v>
      </c>
      <c r="B1161" s="365"/>
      <c r="C1161" s="367">
        <f>+Baseline_NaturalGas!D12</f>
        <v>6.4285714285714288</v>
      </c>
      <c r="D1161" s="367">
        <f>+Baseline_NaturalGas!E12</f>
        <v>6.6008571428571425</v>
      </c>
      <c r="E1161" s="367">
        <f>+Baseline_NaturalGas!F12</f>
        <v>6.7777601142857131</v>
      </c>
      <c r="F1161" s="367">
        <f>+Baseline_NaturalGas!G12</f>
        <v>6.9594040853485701</v>
      </c>
      <c r="G1161" s="367">
        <f>+Baseline_NaturalGas!H12</f>
        <v>7.1459161148359112</v>
      </c>
      <c r="H1161" s="367">
        <f>+Baseline_NaturalGas!I12</f>
        <v>7.3374266667135135</v>
      </c>
      <c r="I1161" s="367">
        <f>+Baseline_NaturalGas!J12</f>
        <v>7.5340697013814353</v>
      </c>
      <c r="J1161" s="367">
        <f>+Baseline_NaturalGas!K12</f>
        <v>7.7359827693784569</v>
      </c>
      <c r="K1161" s="367">
        <f>+Baseline_NaturalGas!L12</f>
        <v>7.943307107597799</v>
      </c>
      <c r="L1161" s="367">
        <f>+Baseline_NaturalGas!M12</f>
        <v>8.1561877380814192</v>
      </c>
      <c r="M1161" s="367">
        <f>+Baseline_NaturalGas!N12</f>
        <v>8.3747735694620005</v>
      </c>
      <c r="N1161" s="367">
        <f>+Baseline_NaturalGas!O12</f>
        <v>8.5992175011235812</v>
      </c>
      <c r="O1161" s="367">
        <f>+Baseline_NaturalGas!P12</f>
        <v>8.8296765301536926</v>
      </c>
      <c r="P1161" s="367">
        <f>+Baseline_NaturalGas!Q12</f>
        <v>9.066311861161811</v>
      </c>
      <c r="Q1161" s="367">
        <f>+Baseline_NaturalGas!R12</f>
        <v>9.3092890190409463</v>
      </c>
    </row>
    <row r="1162" spans="1:17" ht="14.4">
      <c r="A1162" s="366" t="s">
        <v>293</v>
      </c>
      <c r="B1162" s="365"/>
      <c r="C1162" s="367">
        <f>+C1160*C1161</f>
        <v>450</v>
      </c>
      <c r="D1162" s="367">
        <f t="shared" ref="D1162:Q1162" si="317">+D1160*D1161</f>
        <v>462.06</v>
      </c>
      <c r="E1162" s="367">
        <f t="shared" si="317"/>
        <v>474.44320799999991</v>
      </c>
      <c r="F1162" s="367">
        <f t="shared" si="317"/>
        <v>487.15828597439992</v>
      </c>
      <c r="G1162" s="367">
        <f t="shared" si="317"/>
        <v>500.21412803851376</v>
      </c>
      <c r="H1162" s="367">
        <f t="shared" si="317"/>
        <v>513.61986666994596</v>
      </c>
      <c r="I1162" s="367">
        <f t="shared" si="317"/>
        <v>527.3848790967005</v>
      </c>
      <c r="J1162" s="367">
        <f t="shared" si="317"/>
        <v>541.51879385649192</v>
      </c>
      <c r="K1162" s="367">
        <f t="shared" si="317"/>
        <v>556.03149753184596</v>
      </c>
      <c r="L1162" s="367">
        <f t="shared" si="317"/>
        <v>570.9331416656994</v>
      </c>
      <c r="M1162" s="367">
        <f t="shared" si="317"/>
        <v>586.23414986234002</v>
      </c>
      <c r="N1162" s="367">
        <f t="shared" si="317"/>
        <v>601.94522507865065</v>
      </c>
      <c r="O1162" s="367">
        <f t="shared" si="317"/>
        <v>618.0773571107585</v>
      </c>
      <c r="P1162" s="367">
        <f t="shared" si="317"/>
        <v>634.64183028132675</v>
      </c>
      <c r="Q1162" s="367">
        <f t="shared" si="317"/>
        <v>651.65023133286627</v>
      </c>
    </row>
    <row r="1163" spans="1:17" ht="14.4">
      <c r="A1163" s="370"/>
      <c r="B1163" s="373"/>
      <c r="C1163" s="373"/>
      <c r="D1163" s="373"/>
      <c r="E1163" s="373"/>
      <c r="F1163" s="373"/>
      <c r="G1163" s="373"/>
      <c r="H1163" s="373"/>
      <c r="I1163" s="373"/>
      <c r="J1163" s="373"/>
      <c r="K1163" s="373"/>
      <c r="L1163" s="373"/>
      <c r="M1163" s="373"/>
      <c r="N1163" s="373"/>
      <c r="O1163" s="373"/>
      <c r="P1163" s="373"/>
      <c r="Q1163" s="373"/>
    </row>
    <row r="1164" spans="1:17" ht="14.4">
      <c r="A1164" s="366" t="s">
        <v>294</v>
      </c>
      <c r="B1164" s="378">
        <f>+SUM(C1164:Q1164)</f>
        <v>1790524.8581953994</v>
      </c>
      <c r="C1164" s="377">
        <f>C1159*C1162/1000*'Initial Data'!$C$34/'Initial Data'!$C$33</f>
        <v>98550</v>
      </c>
      <c r="D1164" s="377">
        <f>D1159*D1162/1000*'Initial Data'!$C$34/'Initial Data'!$C$33</f>
        <v>101191.14</v>
      </c>
      <c r="E1164" s="377">
        <f>E1159*E1162/1000*'Initial Data'!$C$34/'Initial Data'!$C$33</f>
        <v>103903.06255199999</v>
      </c>
      <c r="F1164" s="377">
        <f>F1159*F1162/1000*'Initial Data'!$C$34/'Initial Data'!$C$33</f>
        <v>106687.66462839357</v>
      </c>
      <c r="G1164" s="377">
        <f>G1159*G1162/1000*'Initial Data'!$C$34/'Initial Data'!$C$33</f>
        <v>109546.8940404345</v>
      </c>
      <c r="H1164" s="377">
        <f>H1159*H1162/1000*'Initial Data'!$C$34/'Initial Data'!$C$33</f>
        <v>112482.75080071818</v>
      </c>
      <c r="I1164" s="377">
        <f>I1159*I1162/1000*'Initial Data'!$C$34/'Initial Data'!$C$33</f>
        <v>115497.28852217742</v>
      </c>
      <c r="J1164" s="377">
        <f>J1159*J1162/1000*'Initial Data'!$C$34/'Initial Data'!$C$33</f>
        <v>118592.61585457173</v>
      </c>
      <c r="K1164" s="377">
        <f>K1159*K1162/1000*'Initial Data'!$C$34/'Initial Data'!$C$33</f>
        <v>121770.89795947427</v>
      </c>
      <c r="L1164" s="377">
        <f>L1159*L1162/1000*'Initial Data'!$C$34/'Initial Data'!$C$33</f>
        <v>125034.35802478818</v>
      </c>
      <c r="M1164" s="377">
        <f>M1159*M1162/1000*'Initial Data'!$C$34/'Initial Data'!$C$33</f>
        <v>128385.27881985246</v>
      </c>
      <c r="N1164" s="377">
        <f>N1159*N1162/1000*'Initial Data'!$C$34/'Initial Data'!$C$33</f>
        <v>131826.0042922245</v>
      </c>
      <c r="O1164" s="377">
        <f>O1159*O1162/1000*'Initial Data'!$C$34/'Initial Data'!$C$33</f>
        <v>135358.94120725611</v>
      </c>
      <c r="P1164" s="377">
        <f>P1159*P1162/1000*'Initial Data'!$C$34/'Initial Data'!$C$33</f>
        <v>138986.56083161055</v>
      </c>
      <c r="Q1164" s="377">
        <f>Q1159*Q1162/1000*'Initial Data'!$C$34/'Initial Data'!$C$33</f>
        <v>142711.40066189773</v>
      </c>
    </row>
    <row r="1165" spans="1:17" ht="14.4">
      <c r="A1165" s="370"/>
      <c r="B1165" s="373"/>
      <c r="C1165" s="373"/>
      <c r="D1165" s="373"/>
      <c r="E1165" s="373"/>
      <c r="F1165" s="373"/>
      <c r="G1165" s="373"/>
      <c r="H1165" s="373"/>
      <c r="I1165" s="373"/>
      <c r="J1165" s="373"/>
      <c r="K1165" s="373"/>
      <c r="L1165" s="373"/>
      <c r="M1165" s="373"/>
      <c r="N1165" s="373"/>
      <c r="O1165" s="373"/>
      <c r="P1165" s="373"/>
      <c r="Q1165" s="373"/>
    </row>
    <row r="1166" spans="1:17" ht="14.4">
      <c r="A1166" s="366" t="s">
        <v>295</v>
      </c>
      <c r="B1166" s="378">
        <f>+SUM(C1166:Q1166)</f>
        <v>1790524.8581953994</v>
      </c>
      <c r="C1166" s="367">
        <f>+C1164</f>
        <v>98550</v>
      </c>
      <c r="D1166" s="367">
        <f t="shared" ref="D1166:Q1166" si="318">+D1164</f>
        <v>101191.14</v>
      </c>
      <c r="E1166" s="367">
        <f t="shared" si="318"/>
        <v>103903.06255199999</v>
      </c>
      <c r="F1166" s="367">
        <f t="shared" si="318"/>
        <v>106687.66462839357</v>
      </c>
      <c r="G1166" s="367">
        <f t="shared" si="318"/>
        <v>109546.8940404345</v>
      </c>
      <c r="H1166" s="367">
        <f t="shared" si="318"/>
        <v>112482.75080071818</v>
      </c>
      <c r="I1166" s="367">
        <f t="shared" si="318"/>
        <v>115497.28852217742</v>
      </c>
      <c r="J1166" s="367">
        <f t="shared" si="318"/>
        <v>118592.61585457173</v>
      </c>
      <c r="K1166" s="367">
        <f t="shared" si="318"/>
        <v>121770.89795947427</v>
      </c>
      <c r="L1166" s="367">
        <f t="shared" si="318"/>
        <v>125034.35802478818</v>
      </c>
      <c r="M1166" s="367">
        <f t="shared" si="318"/>
        <v>128385.27881985246</v>
      </c>
      <c r="N1166" s="367">
        <f t="shared" si="318"/>
        <v>131826.0042922245</v>
      </c>
      <c r="O1166" s="367">
        <f t="shared" si="318"/>
        <v>135358.94120725611</v>
      </c>
      <c r="P1166" s="367">
        <f t="shared" si="318"/>
        <v>138986.56083161055</v>
      </c>
      <c r="Q1166" s="367">
        <f t="shared" si="318"/>
        <v>142711.40066189773</v>
      </c>
    </row>
    <row r="1167" spans="1:17" ht="14.4">
      <c r="A1167" s="370"/>
      <c r="B1167" s="374"/>
      <c r="C1167" s="374"/>
      <c r="D1167" s="374"/>
      <c r="E1167" s="374"/>
      <c r="F1167" s="374"/>
      <c r="G1167" s="374"/>
      <c r="H1167" s="374"/>
      <c r="I1167" s="374"/>
      <c r="J1167" s="374"/>
      <c r="K1167" s="374"/>
      <c r="L1167" s="374"/>
      <c r="M1167" s="374"/>
      <c r="N1167" s="374"/>
      <c r="O1167" s="374"/>
      <c r="P1167" s="374"/>
      <c r="Q1167" s="374"/>
    </row>
    <row r="1168" spans="1:17" ht="14.4">
      <c r="A1168" s="366" t="s">
        <v>68</v>
      </c>
      <c r="B1168" s="368"/>
      <c r="C1168" s="368"/>
      <c r="D1168" s="368"/>
      <c r="E1168" s="368"/>
      <c r="F1168" s="368"/>
      <c r="G1168" s="368"/>
      <c r="H1168" s="368"/>
      <c r="I1168" s="368"/>
      <c r="J1168" s="368"/>
      <c r="K1168" s="368"/>
      <c r="L1168" s="368"/>
      <c r="M1168" s="368"/>
      <c r="N1168" s="368"/>
      <c r="O1168" s="368"/>
      <c r="P1168" s="368"/>
      <c r="Q1168" s="368"/>
    </row>
    <row r="1169" spans="1:17" ht="14.4">
      <c r="A1169" s="366" t="s">
        <v>330</v>
      </c>
      <c r="B1169" s="378">
        <f>+SUM(C1169:Q1169)</f>
        <v>17405.991521183645</v>
      </c>
      <c r="C1169" s="367">
        <f>+Baseline_NaturalGas!D20</f>
        <v>958.02102749999995</v>
      </c>
      <c r="D1169" s="367">
        <f>+Baseline_NaturalGas!E20</f>
        <v>983.69599103699989</v>
      </c>
      <c r="E1169" s="367">
        <f>+Baseline_NaturalGas!F20</f>
        <v>1010.0590435967914</v>
      </c>
      <c r="F1169" s="367">
        <f>+Baseline_NaturalGas!G20</f>
        <v>1037.1286259651854</v>
      </c>
      <c r="G1169" s="367">
        <f>+Baseline_NaturalGas!H20</f>
        <v>1064.9236731410524</v>
      </c>
      <c r="H1169" s="367">
        <f>+Baseline_NaturalGas!I20</f>
        <v>1093.4636275812325</v>
      </c>
      <c r="I1169" s="367">
        <f>+Baseline_NaturalGas!J20</f>
        <v>1122.7684528004095</v>
      </c>
      <c r="J1169" s="367">
        <f>+Baseline_NaturalGas!K20</f>
        <v>1152.8586473354603</v>
      </c>
      <c r="K1169" s="367">
        <f>+Baseline_NaturalGas!L20</f>
        <v>1183.7552590840505</v>
      </c>
      <c r="L1169" s="367">
        <f>+Baseline_NaturalGas!M20</f>
        <v>1215.4799000275029</v>
      </c>
      <c r="M1169" s="367">
        <f>+Baseline_NaturalGas!N20</f>
        <v>1248.0547613482399</v>
      </c>
      <c r="N1169" s="367">
        <f>+Baseline_NaturalGas!O20</f>
        <v>1281.5026289523728</v>
      </c>
      <c r="O1169" s="367">
        <f>+Baseline_NaturalGas!P20</f>
        <v>1315.8468994082964</v>
      </c>
      <c r="P1169" s="367">
        <f>+Baseline_NaturalGas!Q20</f>
        <v>1351.1115963124387</v>
      </c>
      <c r="Q1169" s="367">
        <f>+Baseline_NaturalGas!R20</f>
        <v>1387.321387093612</v>
      </c>
    </row>
    <row r="1170" spans="1:17" ht="14.4">
      <c r="A1170" s="370"/>
      <c r="B1170" s="369"/>
      <c r="C1170" s="369"/>
      <c r="D1170" s="369"/>
      <c r="E1170" s="369"/>
      <c r="F1170" s="369"/>
      <c r="G1170" s="369"/>
      <c r="H1170" s="369"/>
      <c r="I1170" s="369"/>
      <c r="J1170" s="369"/>
      <c r="K1170" s="369"/>
      <c r="L1170" s="369"/>
      <c r="M1170" s="369"/>
      <c r="N1170" s="369"/>
      <c r="O1170" s="369"/>
      <c r="P1170" s="369"/>
      <c r="Q1170" s="369"/>
    </row>
    <row r="1171" spans="1:17" ht="14.4">
      <c r="A1171" s="366" t="s">
        <v>71</v>
      </c>
      <c r="B1171" s="379"/>
      <c r="C1171" s="379"/>
      <c r="D1171" s="379"/>
      <c r="E1171" s="379"/>
      <c r="F1171" s="379"/>
      <c r="G1171" s="379"/>
      <c r="H1171" s="379"/>
      <c r="I1171" s="379"/>
      <c r="J1171" s="379"/>
      <c r="K1171" s="379"/>
      <c r="L1171" s="379"/>
      <c r="M1171" s="379"/>
      <c r="N1171" s="379"/>
      <c r="O1171" s="379"/>
      <c r="P1171" s="379"/>
      <c r="Q1171" s="379"/>
    </row>
    <row r="1172" spans="1:17" ht="14.4">
      <c r="A1172" s="370"/>
      <c r="B1172" s="379"/>
      <c r="C1172" s="379"/>
      <c r="D1172" s="379"/>
      <c r="E1172" s="379"/>
      <c r="F1172" s="379"/>
      <c r="G1172" s="379"/>
      <c r="H1172" s="379"/>
      <c r="I1172" s="379"/>
      <c r="J1172" s="379"/>
      <c r="K1172" s="379"/>
      <c r="L1172" s="379"/>
      <c r="M1172" s="379"/>
      <c r="N1172" s="379"/>
      <c r="O1172" s="379"/>
      <c r="P1172" s="379"/>
      <c r="Q1172" s="379"/>
    </row>
    <row r="1173" spans="1:17" ht="14.4">
      <c r="A1173" s="366" t="s">
        <v>64</v>
      </c>
      <c r="B1173" s="373"/>
      <c r="C1173" s="367">
        <f>+Baseline_NaturalGas!D24</f>
        <v>1656.5089715892002</v>
      </c>
      <c r="D1173" s="367">
        <f>+Baseline_NaturalGas!E24</f>
        <v>1656.5089715892002</v>
      </c>
      <c r="E1173" s="367">
        <f>+Baseline_NaturalGas!F24</f>
        <v>1656.5089715892002</v>
      </c>
      <c r="F1173" s="367">
        <f>+Baseline_NaturalGas!G24</f>
        <v>1656.5089715892002</v>
      </c>
      <c r="G1173" s="367">
        <f>+Baseline_NaturalGas!H24</f>
        <v>1656.5089715892002</v>
      </c>
      <c r="H1173" s="367">
        <f>+Baseline_NaturalGas!I24</f>
        <v>1656.5089715892002</v>
      </c>
      <c r="I1173" s="367">
        <f>+Baseline_NaturalGas!J24</f>
        <v>1656.5089715892002</v>
      </c>
      <c r="J1173" s="367">
        <f>+Baseline_NaturalGas!K24</f>
        <v>1656.5089715892002</v>
      </c>
      <c r="K1173" s="367">
        <f>+Baseline_NaturalGas!L24</f>
        <v>1656.5089715892002</v>
      </c>
      <c r="L1173" s="367">
        <f>+Baseline_NaturalGas!M24</f>
        <v>1656.5089715892002</v>
      </c>
      <c r="M1173" s="367">
        <f>+Baseline_NaturalGas!N24</f>
        <v>1656.5089715892002</v>
      </c>
      <c r="N1173" s="367">
        <f>+Baseline_NaturalGas!O24</f>
        <v>1656.5089715892002</v>
      </c>
      <c r="O1173" s="367">
        <f>+Baseline_NaturalGas!P24</f>
        <v>1656.5089715892002</v>
      </c>
      <c r="P1173" s="367">
        <f>+Baseline_NaturalGas!Q24</f>
        <v>1656.5089715892002</v>
      </c>
      <c r="Q1173" s="367">
        <f>+Baseline_NaturalGas!R24</f>
        <v>1656.5089715892002</v>
      </c>
    </row>
    <row r="1174" spans="1:17" ht="14.4">
      <c r="A1174" s="366" t="s">
        <v>108</v>
      </c>
      <c r="B1174" s="387">
        <f>+Baseline_NaturalGas!C25</f>
        <v>0.90200000000000002</v>
      </c>
      <c r="C1174" s="373"/>
      <c r="D1174" s="373"/>
      <c r="E1174" s="373"/>
      <c r="F1174" s="373"/>
      <c r="G1174" s="373"/>
      <c r="H1174" s="373"/>
      <c r="I1174" s="373"/>
      <c r="J1174" s="373"/>
      <c r="K1174" s="373"/>
      <c r="L1174" s="373"/>
      <c r="M1174" s="373"/>
      <c r="N1174" s="373"/>
      <c r="O1174" s="373"/>
      <c r="P1174" s="373"/>
      <c r="Q1174" s="373"/>
    </row>
    <row r="1175" spans="1:17" ht="14.4">
      <c r="A1175" s="366" t="s">
        <v>345</v>
      </c>
      <c r="B1175" s="373"/>
      <c r="C1175" s="367">
        <f>+Baseline_NaturalGas!D26</f>
        <v>1741816.7092883086</v>
      </c>
      <c r="D1175" s="367">
        <f>+Baseline_NaturalGas!E26</f>
        <v>1741816.7092883086</v>
      </c>
      <c r="E1175" s="367">
        <f>+Baseline_NaturalGas!F26</f>
        <v>1741816.7092883086</v>
      </c>
      <c r="F1175" s="367">
        <f>+Baseline_NaturalGas!G26</f>
        <v>1741816.7092883086</v>
      </c>
      <c r="G1175" s="367">
        <f>+Baseline_NaturalGas!H26</f>
        <v>1741816.7092883086</v>
      </c>
      <c r="H1175" s="367">
        <f>+Baseline_NaturalGas!I26</f>
        <v>1741816.7092883086</v>
      </c>
      <c r="I1175" s="367">
        <f>+Baseline_NaturalGas!J26</f>
        <v>1741816.7092883086</v>
      </c>
      <c r="J1175" s="367">
        <f>+Baseline_NaturalGas!K26</f>
        <v>1741816.7092883086</v>
      </c>
      <c r="K1175" s="367">
        <f>+Baseline_NaturalGas!L26</f>
        <v>1741816.7092883086</v>
      </c>
      <c r="L1175" s="367">
        <f>+Baseline_NaturalGas!M26</f>
        <v>1741816.7092883086</v>
      </c>
      <c r="M1175" s="367">
        <f>+Baseline_NaturalGas!N26</f>
        <v>1741816.7092883086</v>
      </c>
      <c r="N1175" s="367">
        <f>+Baseline_NaturalGas!O26</f>
        <v>1741816.7092883086</v>
      </c>
      <c r="O1175" s="367">
        <f>+Baseline_NaturalGas!P26</f>
        <v>1741816.7092883086</v>
      </c>
      <c r="P1175" s="367">
        <f>+Baseline_NaturalGas!Q26</f>
        <v>1741816.7092883086</v>
      </c>
      <c r="Q1175" s="367">
        <f>+Baseline_NaturalGas!R26</f>
        <v>1741816.7092883086</v>
      </c>
    </row>
    <row r="1176" spans="1:17" ht="14.4">
      <c r="A1176" s="366" t="s">
        <v>66</v>
      </c>
      <c r="B1176" s="373"/>
      <c r="C1176" s="367">
        <f>+Baseline_NaturalGas!D27</f>
        <v>5.6086944825694198</v>
      </c>
      <c r="D1176" s="367">
        <f>+Baseline_NaturalGas!E27</f>
        <v>5.5051083831058802</v>
      </c>
      <c r="E1176" s="367">
        <f>+Baseline_NaturalGas!F27</f>
        <v>5.61862622286578</v>
      </c>
      <c r="F1176" s="367">
        <f>+Baseline_NaturalGas!G27</f>
        <v>5.8406487933251103</v>
      </c>
      <c r="G1176" s="367">
        <f>+Baseline_NaturalGas!H27</f>
        <v>5.8453745748678001</v>
      </c>
      <c r="H1176" s="367">
        <f>+Baseline_NaturalGas!I27</f>
        <v>6.0672099673130804</v>
      </c>
      <c r="I1176" s="367">
        <f>+Baseline_NaturalGas!J27</f>
        <v>6.39755565092754</v>
      </c>
      <c r="J1176" s="367">
        <f>+Baseline_NaturalGas!K27</f>
        <v>6.39755565092754</v>
      </c>
      <c r="K1176" s="367">
        <f>+Baseline_NaturalGas!L27</f>
        <v>6.39755565092754</v>
      </c>
      <c r="L1176" s="367">
        <f>+Baseline_NaturalGas!M27</f>
        <v>6.39755565092754</v>
      </c>
      <c r="M1176" s="367">
        <f>+Baseline_NaturalGas!N27</f>
        <v>6.39755565092754</v>
      </c>
      <c r="N1176" s="367">
        <f>+Baseline_NaturalGas!O27</f>
        <v>6.39755565092754</v>
      </c>
      <c r="O1176" s="367">
        <f>+Baseline_NaturalGas!P27</f>
        <v>6.39755565092754</v>
      </c>
      <c r="P1176" s="367">
        <f>+Baseline_NaturalGas!Q27</f>
        <v>6.39755565092754</v>
      </c>
      <c r="Q1176" s="367">
        <f>+Baseline_NaturalGas!R27</f>
        <v>6.39755565092754</v>
      </c>
    </row>
    <row r="1177" spans="1:17" ht="14.4">
      <c r="A1177" s="370"/>
      <c r="B1177" s="379"/>
      <c r="C1177" s="379"/>
      <c r="D1177" s="379"/>
      <c r="E1177" s="379"/>
      <c r="F1177" s="379"/>
      <c r="G1177" s="379"/>
      <c r="H1177" s="379"/>
      <c r="I1177" s="379"/>
      <c r="J1177" s="379"/>
      <c r="K1177" s="379"/>
      <c r="L1177" s="379"/>
      <c r="M1177" s="379"/>
      <c r="N1177" s="379"/>
      <c r="O1177" s="379"/>
      <c r="P1177" s="379"/>
      <c r="Q1177" s="379"/>
    </row>
    <row r="1178" spans="1:17" ht="14.4">
      <c r="A1178" s="366" t="s">
        <v>102</v>
      </c>
      <c r="B1178" s="378">
        <f t="shared" ref="B1178" si="319">+SUM(C1178:Q1178)</f>
        <v>160358.02702356796</v>
      </c>
      <c r="C1178" s="375">
        <f>+C1175*C1176/1000</f>
        <v>9769.3177670325604</v>
      </c>
      <c r="D1178" s="375">
        <f t="shared" ref="D1178:Q1178" si="320">+D1175*D1176/1000</f>
        <v>9588.8897681369654</v>
      </c>
      <c r="E1178" s="375">
        <f t="shared" si="320"/>
        <v>9786.6170382330711</v>
      </c>
      <c r="F1178" s="375">
        <f t="shared" si="320"/>
        <v>10173.339661298274</v>
      </c>
      <c r="G1178" s="375">
        <f t="shared" si="320"/>
        <v>10181.571106553778</v>
      </c>
      <c r="H1178" s="375">
        <f t="shared" si="320"/>
        <v>10567.967699826495</v>
      </c>
      <c r="I1178" s="375">
        <f t="shared" si="320"/>
        <v>11143.36933138743</v>
      </c>
      <c r="J1178" s="375">
        <f t="shared" si="320"/>
        <v>11143.36933138743</v>
      </c>
      <c r="K1178" s="375">
        <f t="shared" si="320"/>
        <v>11143.36933138743</v>
      </c>
      <c r="L1178" s="375">
        <f t="shared" si="320"/>
        <v>11143.36933138743</v>
      </c>
      <c r="M1178" s="375">
        <f t="shared" si="320"/>
        <v>11143.36933138743</v>
      </c>
      <c r="N1178" s="375">
        <f t="shared" si="320"/>
        <v>11143.36933138743</v>
      </c>
      <c r="O1178" s="375">
        <f t="shared" si="320"/>
        <v>11143.36933138743</v>
      </c>
      <c r="P1178" s="375">
        <f t="shared" si="320"/>
        <v>11143.36933138743</v>
      </c>
      <c r="Q1178" s="375">
        <f t="shared" si="320"/>
        <v>11143.36933138743</v>
      </c>
    </row>
    <row r="1179" spans="1:17" ht="14.4">
      <c r="A1179" s="370"/>
      <c r="B1179" s="373"/>
      <c r="C1179" s="373"/>
      <c r="D1179" s="373"/>
      <c r="E1179" s="373"/>
      <c r="F1179" s="373"/>
      <c r="G1179" s="373"/>
      <c r="H1179" s="373"/>
      <c r="I1179" s="373"/>
      <c r="J1179" s="373"/>
      <c r="K1179" s="373"/>
      <c r="L1179" s="373"/>
      <c r="M1179" s="373"/>
      <c r="N1179" s="373"/>
      <c r="O1179" s="373"/>
      <c r="P1179" s="373"/>
      <c r="Q1179" s="373"/>
    </row>
    <row r="1180" spans="1:17" ht="14.4">
      <c r="A1180" s="370"/>
      <c r="B1180" s="379"/>
      <c r="C1180" s="379"/>
      <c r="D1180" s="379"/>
      <c r="E1180" s="379"/>
      <c r="F1180" s="379"/>
      <c r="G1180" s="379"/>
      <c r="H1180" s="379"/>
      <c r="I1180" s="379"/>
      <c r="J1180" s="379"/>
      <c r="K1180" s="379"/>
      <c r="L1180" s="379"/>
      <c r="M1180" s="379"/>
      <c r="N1180" s="379"/>
      <c r="O1180" s="379"/>
      <c r="P1180" s="379"/>
      <c r="Q1180" s="379"/>
    </row>
    <row r="1181" spans="1:17" ht="14.4">
      <c r="A1181" s="366" t="s">
        <v>101</v>
      </c>
      <c r="B1181" s="373"/>
      <c r="C1181" s="375">
        <f>+C1178+C1169</f>
        <v>10727.338794532559</v>
      </c>
      <c r="D1181" s="375">
        <f t="shared" ref="D1181:Q1181" si="321">+D1178+D1169</f>
        <v>10572.585759173966</v>
      </c>
      <c r="E1181" s="375">
        <f t="shared" si="321"/>
        <v>10796.676081829863</v>
      </c>
      <c r="F1181" s="375">
        <f t="shared" si="321"/>
        <v>11210.46828726346</v>
      </c>
      <c r="G1181" s="375">
        <f t="shared" si="321"/>
        <v>11246.494779694831</v>
      </c>
      <c r="H1181" s="375">
        <f t="shared" si="321"/>
        <v>11661.431327407727</v>
      </c>
      <c r="I1181" s="375">
        <f t="shared" si="321"/>
        <v>12266.13778418784</v>
      </c>
      <c r="J1181" s="375">
        <f t="shared" si="321"/>
        <v>12296.227978722891</v>
      </c>
      <c r="K1181" s="375">
        <f t="shared" si="321"/>
        <v>12327.124590471481</v>
      </c>
      <c r="L1181" s="375">
        <f t="shared" si="321"/>
        <v>12358.849231414933</v>
      </c>
      <c r="M1181" s="375">
        <f t="shared" si="321"/>
        <v>12391.42409273567</v>
      </c>
      <c r="N1181" s="375">
        <f t="shared" si="321"/>
        <v>12424.871960339802</v>
      </c>
      <c r="O1181" s="375">
        <f t="shared" si="321"/>
        <v>12459.216230795726</v>
      </c>
      <c r="P1181" s="375">
        <f t="shared" si="321"/>
        <v>12494.480927699869</v>
      </c>
      <c r="Q1181" s="375">
        <f t="shared" si="321"/>
        <v>12530.690718481042</v>
      </c>
    </row>
    <row r="1182" spans="1:17" ht="14.4">
      <c r="A1182" s="370"/>
      <c r="B1182" s="379"/>
      <c r="C1182" s="379"/>
      <c r="D1182" s="379"/>
      <c r="E1182" s="379"/>
      <c r="F1182" s="379"/>
      <c r="G1182" s="379"/>
      <c r="H1182" s="379"/>
      <c r="I1182" s="379"/>
      <c r="J1182" s="379"/>
      <c r="K1182" s="379"/>
      <c r="L1182" s="379"/>
      <c r="M1182" s="379"/>
      <c r="N1182" s="379"/>
      <c r="O1182" s="379"/>
      <c r="P1182" s="379"/>
      <c r="Q1182" s="379"/>
    </row>
    <row r="1183" spans="1:17" ht="14.4">
      <c r="A1183" s="366" t="s">
        <v>73</v>
      </c>
      <c r="B1183" s="378">
        <f>+SUM(C1183:Q1183)</f>
        <v>11487.524395535713</v>
      </c>
      <c r="C1183" s="367">
        <f>+Baseline_NaturalGas!$D$5/'Initial Data'!$C$19</f>
        <v>1148.7524395535715</v>
      </c>
      <c r="D1183" s="367">
        <f>+Baseline_NaturalGas!$D$5/'Initial Data'!$C$19</f>
        <v>1148.7524395535715</v>
      </c>
      <c r="E1183" s="367">
        <f>+Baseline_NaturalGas!$D$5/'Initial Data'!$C$19</f>
        <v>1148.7524395535715</v>
      </c>
      <c r="F1183" s="367">
        <f>+Baseline_NaturalGas!$D$5/'Initial Data'!$C$19</f>
        <v>1148.7524395535715</v>
      </c>
      <c r="G1183" s="367">
        <f>+Baseline_NaturalGas!$D$5/'Initial Data'!$C$19</f>
        <v>1148.7524395535715</v>
      </c>
      <c r="H1183" s="367">
        <f>+Baseline_NaturalGas!$D$5/'Initial Data'!$C$19</f>
        <v>1148.7524395535715</v>
      </c>
      <c r="I1183" s="367">
        <f>+Baseline_NaturalGas!$D$5/'Initial Data'!$C$19</f>
        <v>1148.7524395535715</v>
      </c>
      <c r="J1183" s="367">
        <f>+Baseline_NaturalGas!$D$5/'Initial Data'!$C$19</f>
        <v>1148.7524395535715</v>
      </c>
      <c r="K1183" s="367">
        <f>+Baseline_NaturalGas!$D$5/'Initial Data'!$C$19</f>
        <v>1148.7524395535715</v>
      </c>
      <c r="L1183" s="367">
        <f>+Baseline_NaturalGas!$D$5/'Initial Data'!$C$19</f>
        <v>1148.7524395535715</v>
      </c>
      <c r="M1183" s="367">
        <v>0</v>
      </c>
      <c r="N1183" s="367">
        <v>0</v>
      </c>
      <c r="O1183" s="367">
        <v>0</v>
      </c>
      <c r="P1183" s="367">
        <v>0</v>
      </c>
      <c r="Q1183" s="367">
        <v>0</v>
      </c>
    </row>
    <row r="1184" spans="1:17" ht="14.4">
      <c r="A1184" s="366" t="s">
        <v>74</v>
      </c>
      <c r="B1184" s="378">
        <f>+SUM(C1184:Q1184)</f>
        <v>11487.524395535713</v>
      </c>
      <c r="C1184" s="367">
        <f>SUM(C1183:C1183)</f>
        <v>1148.7524395535715</v>
      </c>
      <c r="D1184" s="367">
        <f t="shared" ref="D1184:Q1184" si="322">SUM(D1183:D1183)</f>
        <v>1148.7524395535715</v>
      </c>
      <c r="E1184" s="367">
        <f t="shared" si="322"/>
        <v>1148.7524395535715</v>
      </c>
      <c r="F1184" s="367">
        <f t="shared" si="322"/>
        <v>1148.7524395535715</v>
      </c>
      <c r="G1184" s="367">
        <f t="shared" si="322"/>
        <v>1148.7524395535715</v>
      </c>
      <c r="H1184" s="367">
        <f t="shared" si="322"/>
        <v>1148.7524395535715</v>
      </c>
      <c r="I1184" s="367">
        <f t="shared" si="322"/>
        <v>1148.7524395535715</v>
      </c>
      <c r="J1184" s="367">
        <f t="shared" si="322"/>
        <v>1148.7524395535715</v>
      </c>
      <c r="K1184" s="367">
        <f t="shared" si="322"/>
        <v>1148.7524395535715</v>
      </c>
      <c r="L1184" s="367">
        <f t="shared" si="322"/>
        <v>1148.7524395535715</v>
      </c>
      <c r="M1184" s="367">
        <f t="shared" si="322"/>
        <v>0</v>
      </c>
      <c r="N1184" s="367">
        <f t="shared" si="322"/>
        <v>0</v>
      </c>
      <c r="O1184" s="367">
        <f t="shared" si="322"/>
        <v>0</v>
      </c>
      <c r="P1184" s="367">
        <f t="shared" si="322"/>
        <v>0</v>
      </c>
      <c r="Q1184" s="367">
        <f t="shared" si="322"/>
        <v>0</v>
      </c>
    </row>
    <row r="1185" spans="1:17" ht="14.4">
      <c r="A1185" s="90"/>
      <c r="B1185" s="388"/>
      <c r="C1185" s="373"/>
      <c r="D1185" s="373"/>
      <c r="E1185" s="373"/>
      <c r="F1185" s="373"/>
      <c r="G1185" s="373"/>
      <c r="H1185" s="373"/>
      <c r="I1185" s="373"/>
      <c r="J1185" s="373"/>
      <c r="K1185" s="373"/>
      <c r="L1185" s="373"/>
      <c r="M1185" s="373"/>
      <c r="N1185" s="373"/>
      <c r="O1185" s="373"/>
      <c r="P1185" s="373"/>
      <c r="Q1185" s="373"/>
    </row>
    <row r="1186" spans="1:17" ht="14.4">
      <c r="A1186" s="366" t="s">
        <v>75</v>
      </c>
      <c r="B1186" s="378">
        <f>+SUM(C1186:Q1186)</f>
        <v>189251.54294028736</v>
      </c>
      <c r="C1186" s="367">
        <f>+C1181+C1184</f>
        <v>11876.09123408613</v>
      </c>
      <c r="D1186" s="367">
        <f t="shared" ref="D1186:Q1186" si="323">+D1181+D1184</f>
        <v>11721.338198727537</v>
      </c>
      <c r="E1186" s="367">
        <f t="shared" si="323"/>
        <v>11945.428521383434</v>
      </c>
      <c r="F1186" s="367">
        <f t="shared" si="323"/>
        <v>12359.220726817031</v>
      </c>
      <c r="G1186" s="367">
        <f t="shared" si="323"/>
        <v>12395.247219248402</v>
      </c>
      <c r="H1186" s="367">
        <f t="shared" si="323"/>
        <v>12810.183766961298</v>
      </c>
      <c r="I1186" s="367">
        <f t="shared" si="323"/>
        <v>13414.890223741411</v>
      </c>
      <c r="J1186" s="367">
        <f t="shared" si="323"/>
        <v>13444.980418276462</v>
      </c>
      <c r="K1186" s="367">
        <f t="shared" si="323"/>
        <v>13475.877030025053</v>
      </c>
      <c r="L1186" s="367">
        <f t="shared" si="323"/>
        <v>13507.601670968505</v>
      </c>
      <c r="M1186" s="367">
        <f t="shared" si="323"/>
        <v>12391.42409273567</v>
      </c>
      <c r="N1186" s="367">
        <f t="shared" si="323"/>
        <v>12424.871960339802</v>
      </c>
      <c r="O1186" s="367">
        <f t="shared" si="323"/>
        <v>12459.216230795726</v>
      </c>
      <c r="P1186" s="367">
        <f t="shared" si="323"/>
        <v>12494.480927699869</v>
      </c>
      <c r="Q1186" s="367">
        <f t="shared" si="323"/>
        <v>12530.690718481042</v>
      </c>
    </row>
    <row r="1187" spans="1:17">
      <c r="A1187" s="74"/>
    </row>
    <row r="1188" spans="1:17" ht="14.4">
      <c r="A1188" s="366" t="s">
        <v>76</v>
      </c>
      <c r="B1188" s="378">
        <f>+SUM(C1188:Q1188)</f>
        <v>1601273.315255112</v>
      </c>
      <c r="C1188" s="367">
        <f>+C1166-C1186</f>
        <v>86673.908765913875</v>
      </c>
      <c r="D1188" s="367">
        <f t="shared" ref="D1188:Q1188" si="324">+D1166-D1186</f>
        <v>89469.801801272464</v>
      </c>
      <c r="E1188" s="367">
        <f t="shared" si="324"/>
        <v>91957.634030616551</v>
      </c>
      <c r="F1188" s="367">
        <f t="shared" si="324"/>
        <v>94328.443901576538</v>
      </c>
      <c r="G1188" s="367">
        <f t="shared" si="324"/>
        <v>97151.646821186107</v>
      </c>
      <c r="H1188" s="367">
        <f t="shared" si="324"/>
        <v>99672.567033756874</v>
      </c>
      <c r="I1188" s="367">
        <f t="shared" si="324"/>
        <v>102082.398298436</v>
      </c>
      <c r="J1188" s="367">
        <f t="shared" si="324"/>
        <v>105147.63543629527</v>
      </c>
      <c r="K1188" s="367">
        <f t="shared" si="324"/>
        <v>108295.02092944922</v>
      </c>
      <c r="L1188" s="367">
        <f t="shared" si="324"/>
        <v>111526.75635381967</v>
      </c>
      <c r="M1188" s="367">
        <f t="shared" si="324"/>
        <v>115993.85472711679</v>
      </c>
      <c r="N1188" s="367">
        <f t="shared" si="324"/>
        <v>119401.1323318847</v>
      </c>
      <c r="O1188" s="367">
        <f t="shared" si="324"/>
        <v>122899.72497646039</v>
      </c>
      <c r="P1188" s="367">
        <f t="shared" si="324"/>
        <v>126492.07990391068</v>
      </c>
      <c r="Q1188" s="367">
        <f t="shared" si="324"/>
        <v>130180.70994341669</v>
      </c>
    </row>
    <row r="1189" spans="1:17" ht="14.4">
      <c r="A1189" s="369"/>
      <c r="B1189" s="373"/>
      <c r="C1189" s="373"/>
      <c r="D1189" s="373"/>
      <c r="E1189" s="373"/>
      <c r="F1189" s="373"/>
      <c r="G1189" s="373"/>
      <c r="H1189" s="373"/>
      <c r="I1189" s="373"/>
      <c r="J1189" s="373"/>
      <c r="K1189" s="373"/>
      <c r="L1189" s="373"/>
      <c r="M1189" s="373"/>
      <c r="N1189" s="373"/>
      <c r="O1189" s="373"/>
      <c r="P1189" s="373"/>
      <c r="Q1189" s="373"/>
    </row>
    <row r="1190" spans="1:17" ht="14.4">
      <c r="A1190" s="366" t="s">
        <v>222</v>
      </c>
      <c r="B1190" s="402">
        <f>D15</f>
        <v>0.6</v>
      </c>
      <c r="C1190" s="367">
        <f>IF((+$B$1190*C1188)&lt;0,"0",(+$B$1190*C1188))</f>
        <v>52004.345259548325</v>
      </c>
      <c r="D1190" s="367">
        <f t="shared" ref="D1190:Q1190" si="325">IF((+$B$1190*D1188)&lt;0,"0",(+$B$1190*D1188))</f>
        <v>53681.88108076348</v>
      </c>
      <c r="E1190" s="367">
        <f t="shared" si="325"/>
        <v>55174.580418369929</v>
      </c>
      <c r="F1190" s="367">
        <f t="shared" si="325"/>
        <v>56597.066340945923</v>
      </c>
      <c r="G1190" s="367">
        <f t="shared" si="325"/>
        <v>58290.988092711661</v>
      </c>
      <c r="H1190" s="367">
        <f t="shared" si="325"/>
        <v>59803.540220254123</v>
      </c>
      <c r="I1190" s="367">
        <f t="shared" si="325"/>
        <v>61249.438979061597</v>
      </c>
      <c r="J1190" s="367">
        <f t="shared" si="325"/>
        <v>63088.581261777159</v>
      </c>
      <c r="K1190" s="367">
        <f t="shared" si="325"/>
        <v>64977.012557669528</v>
      </c>
      <c r="L1190" s="367">
        <f t="shared" si="325"/>
        <v>66916.053812291793</v>
      </c>
      <c r="M1190" s="367">
        <f t="shared" si="325"/>
        <v>69596.312836270066</v>
      </c>
      <c r="N1190" s="367">
        <f t="shared" si="325"/>
        <v>71640.679399130822</v>
      </c>
      <c r="O1190" s="367">
        <f t="shared" si="325"/>
        <v>73739.834985876238</v>
      </c>
      <c r="P1190" s="367">
        <f t="shared" si="325"/>
        <v>75895.24794234641</v>
      </c>
      <c r="Q1190" s="367">
        <f t="shared" si="325"/>
        <v>78108.42596605001</v>
      </c>
    </row>
    <row r="1191" spans="1:17" ht="14.4">
      <c r="A1191" s="366" t="s">
        <v>77</v>
      </c>
      <c r="B1191" s="378">
        <f>+SUM(C1191:Q1191)</f>
        <v>960763.98915306712</v>
      </c>
      <c r="C1191" s="367">
        <f>SUM(C1190:C1190)</f>
        <v>52004.345259548325</v>
      </c>
      <c r="D1191" s="367">
        <f t="shared" ref="D1191:Q1191" si="326">SUM(D1190:D1190)</f>
        <v>53681.88108076348</v>
      </c>
      <c r="E1191" s="367">
        <f t="shared" si="326"/>
        <v>55174.580418369929</v>
      </c>
      <c r="F1191" s="367">
        <f t="shared" si="326"/>
        <v>56597.066340945923</v>
      </c>
      <c r="G1191" s="367">
        <f t="shared" si="326"/>
        <v>58290.988092711661</v>
      </c>
      <c r="H1191" s="367">
        <f t="shared" si="326"/>
        <v>59803.540220254123</v>
      </c>
      <c r="I1191" s="367">
        <f t="shared" si="326"/>
        <v>61249.438979061597</v>
      </c>
      <c r="J1191" s="367">
        <f t="shared" si="326"/>
        <v>63088.581261777159</v>
      </c>
      <c r="K1191" s="367">
        <f t="shared" si="326"/>
        <v>64977.012557669528</v>
      </c>
      <c r="L1191" s="367">
        <f t="shared" si="326"/>
        <v>66916.053812291793</v>
      </c>
      <c r="M1191" s="367">
        <f t="shared" si="326"/>
        <v>69596.312836270066</v>
      </c>
      <c r="N1191" s="367">
        <f t="shared" si="326"/>
        <v>71640.679399130822</v>
      </c>
      <c r="O1191" s="367">
        <f t="shared" si="326"/>
        <v>73739.834985876238</v>
      </c>
      <c r="P1191" s="367">
        <f t="shared" si="326"/>
        <v>75895.24794234641</v>
      </c>
      <c r="Q1191" s="367">
        <f t="shared" si="326"/>
        <v>78108.42596605001</v>
      </c>
    </row>
    <row r="1192" spans="1:17" ht="14.4">
      <c r="A1192" s="369"/>
      <c r="B1192" s="373"/>
      <c r="C1192" s="373"/>
      <c r="D1192" s="373"/>
      <c r="E1192" s="373"/>
      <c r="F1192" s="373"/>
      <c r="G1192" s="373"/>
      <c r="H1192" s="373"/>
      <c r="I1192" s="373"/>
      <c r="J1192" s="373"/>
      <c r="K1192" s="373"/>
      <c r="L1192" s="373"/>
      <c r="M1192" s="373"/>
      <c r="N1192" s="373"/>
      <c r="O1192" s="373"/>
      <c r="P1192" s="373"/>
      <c r="Q1192" s="373"/>
    </row>
    <row r="1193" spans="1:17" ht="14.4">
      <c r="A1193" s="366" t="s">
        <v>78</v>
      </c>
      <c r="B1193" s="378">
        <f>+SUM(C1193:Q1193)</f>
        <v>640509.32610204467</v>
      </c>
      <c r="C1193" s="367">
        <f>+C1188-C1191</f>
        <v>34669.56350636555</v>
      </c>
      <c r="D1193" s="367">
        <f t="shared" ref="D1193:Q1193" si="327">+D1188-D1191</f>
        <v>35787.920720508984</v>
      </c>
      <c r="E1193" s="367">
        <f t="shared" si="327"/>
        <v>36783.053612246622</v>
      </c>
      <c r="F1193" s="367">
        <f t="shared" si="327"/>
        <v>37731.377560630615</v>
      </c>
      <c r="G1193" s="367">
        <f t="shared" si="327"/>
        <v>38860.658728474446</v>
      </c>
      <c r="H1193" s="367">
        <f t="shared" si="327"/>
        <v>39869.026813502751</v>
      </c>
      <c r="I1193" s="367">
        <f t="shared" si="327"/>
        <v>40832.959319374408</v>
      </c>
      <c r="J1193" s="367">
        <f t="shared" si="327"/>
        <v>42059.054174518111</v>
      </c>
      <c r="K1193" s="367">
        <f t="shared" si="327"/>
        <v>43318.008371779695</v>
      </c>
      <c r="L1193" s="367">
        <f t="shared" si="327"/>
        <v>44610.702541527877</v>
      </c>
      <c r="M1193" s="367">
        <f t="shared" si="327"/>
        <v>46397.541890846725</v>
      </c>
      <c r="N1193" s="367">
        <f t="shared" si="327"/>
        <v>47760.452932753877</v>
      </c>
      <c r="O1193" s="367">
        <f t="shared" si="327"/>
        <v>49159.889990584154</v>
      </c>
      <c r="P1193" s="367">
        <f t="shared" si="327"/>
        <v>50596.831961564269</v>
      </c>
      <c r="Q1193" s="367">
        <f t="shared" si="327"/>
        <v>52072.283977366678</v>
      </c>
    </row>
    <row r="1194" spans="1:17" ht="14.4">
      <c r="A1194" s="395" t="s">
        <v>331</v>
      </c>
      <c r="B1194" s="378">
        <f>+SUM(C1194:Q1194)</f>
        <v>11487.524395535713</v>
      </c>
      <c r="C1194" s="377">
        <f>+C1183</f>
        <v>1148.7524395535715</v>
      </c>
      <c r="D1194" s="377">
        <f t="shared" ref="D1194:Q1194" si="328">+D1183</f>
        <v>1148.7524395535715</v>
      </c>
      <c r="E1194" s="377">
        <f t="shared" si="328"/>
        <v>1148.7524395535715</v>
      </c>
      <c r="F1194" s="377">
        <f t="shared" si="328"/>
        <v>1148.7524395535715</v>
      </c>
      <c r="G1194" s="377">
        <f t="shared" si="328"/>
        <v>1148.7524395535715</v>
      </c>
      <c r="H1194" s="377">
        <f t="shared" si="328"/>
        <v>1148.7524395535715</v>
      </c>
      <c r="I1194" s="377">
        <f t="shared" si="328"/>
        <v>1148.7524395535715</v>
      </c>
      <c r="J1194" s="377">
        <f t="shared" si="328"/>
        <v>1148.7524395535715</v>
      </c>
      <c r="K1194" s="377">
        <f t="shared" si="328"/>
        <v>1148.7524395535715</v>
      </c>
      <c r="L1194" s="377">
        <f t="shared" si="328"/>
        <v>1148.7524395535715</v>
      </c>
      <c r="M1194" s="377">
        <f t="shared" si="328"/>
        <v>0</v>
      </c>
      <c r="N1194" s="377">
        <f t="shared" si="328"/>
        <v>0</v>
      </c>
      <c r="O1194" s="377">
        <f t="shared" si="328"/>
        <v>0</v>
      </c>
      <c r="P1194" s="377">
        <f t="shared" si="328"/>
        <v>0</v>
      </c>
      <c r="Q1194" s="377">
        <f t="shared" si="328"/>
        <v>0</v>
      </c>
    </row>
    <row r="1195" spans="1:17" ht="14.4">
      <c r="A1195" s="395" t="s">
        <v>332</v>
      </c>
      <c r="B1195" s="378">
        <f>+Baseline_NaturalGas!C1128</f>
        <v>0</v>
      </c>
      <c r="C1195" s="367">
        <f>+Baseline_NaturalGas!D1128</f>
        <v>0</v>
      </c>
      <c r="D1195" s="367">
        <f>+Baseline_NaturalGas!E1128</f>
        <v>0</v>
      </c>
      <c r="E1195" s="367">
        <f>+Baseline_NaturalGas!F1128</f>
        <v>0</v>
      </c>
      <c r="F1195" s="367">
        <f>+Baseline_NaturalGas!G1128</f>
        <v>0</v>
      </c>
      <c r="G1195" s="367">
        <f>+Baseline_NaturalGas!H1128</f>
        <v>0</v>
      </c>
      <c r="H1195" s="367">
        <f>+Baseline_NaturalGas!I1128</f>
        <v>0</v>
      </c>
      <c r="I1195" s="367">
        <f>+Baseline_NaturalGas!J1128</f>
        <v>0</v>
      </c>
      <c r="J1195" s="367">
        <f>+Baseline_NaturalGas!K1128</f>
        <v>0</v>
      </c>
      <c r="K1195" s="367">
        <f>+Baseline_NaturalGas!L1128</f>
        <v>0</v>
      </c>
      <c r="L1195" s="367">
        <f>+Baseline_NaturalGas!M1128</f>
        <v>0</v>
      </c>
      <c r="M1195" s="367">
        <f>+Baseline_NaturalGas!N1128</f>
        <v>0</v>
      </c>
      <c r="N1195" s="367">
        <f>+Baseline_NaturalGas!O1128</f>
        <v>0</v>
      </c>
      <c r="O1195" s="367">
        <f>+Baseline_NaturalGas!P1128</f>
        <v>0</v>
      </c>
      <c r="P1195" s="367">
        <f>+Baseline_NaturalGas!Q1128</f>
        <v>0</v>
      </c>
      <c r="Q1195" s="367">
        <f>+Baseline_NaturalGas!R1128</f>
        <v>0</v>
      </c>
    </row>
    <row r="1196" spans="1:17" ht="14.4">
      <c r="A1196" s="376"/>
      <c r="B1196" s="389"/>
      <c r="C1196" s="389"/>
      <c r="D1196" s="389"/>
      <c r="E1196" s="389"/>
      <c r="F1196" s="389"/>
      <c r="G1196" s="389"/>
      <c r="H1196" s="389"/>
      <c r="I1196" s="389"/>
      <c r="J1196" s="389"/>
      <c r="K1196" s="389"/>
      <c r="L1196" s="389"/>
      <c r="M1196" s="389"/>
      <c r="N1196" s="389"/>
      <c r="O1196" s="389"/>
      <c r="P1196" s="389"/>
      <c r="Q1196" s="389"/>
    </row>
    <row r="1197" spans="1:17" ht="14.4">
      <c r="A1197" s="366" t="s">
        <v>110</v>
      </c>
      <c r="B1197" s="378">
        <f>-Baseline_NaturalGas!$D$5</f>
        <v>-11487.524395535715</v>
      </c>
      <c r="C1197" s="367">
        <f>+C1193+C1194+C1195</f>
        <v>35818.315945919123</v>
      </c>
      <c r="D1197" s="367">
        <f t="shared" ref="D1197:Q1197" si="329">+D1193+D1194+D1195</f>
        <v>36936.673160062557</v>
      </c>
      <c r="E1197" s="367">
        <f t="shared" si="329"/>
        <v>37931.806051800195</v>
      </c>
      <c r="F1197" s="367">
        <f t="shared" si="329"/>
        <v>38880.130000184188</v>
      </c>
      <c r="G1197" s="367">
        <f t="shared" si="329"/>
        <v>40009.411168028018</v>
      </c>
      <c r="H1197" s="367">
        <f t="shared" si="329"/>
        <v>41017.779253056324</v>
      </c>
      <c r="I1197" s="367">
        <f t="shared" si="329"/>
        <v>41981.711758927981</v>
      </c>
      <c r="J1197" s="367">
        <f t="shared" si="329"/>
        <v>43207.806614071684</v>
      </c>
      <c r="K1197" s="367">
        <f t="shared" si="329"/>
        <v>44466.760811333268</v>
      </c>
      <c r="L1197" s="367">
        <f t="shared" si="329"/>
        <v>45759.45498108145</v>
      </c>
      <c r="M1197" s="367">
        <f t="shared" si="329"/>
        <v>46397.541890846725</v>
      </c>
      <c r="N1197" s="367">
        <f t="shared" si="329"/>
        <v>47760.452932753877</v>
      </c>
      <c r="O1197" s="367">
        <f t="shared" si="329"/>
        <v>49159.889990584154</v>
      </c>
      <c r="P1197" s="367">
        <f t="shared" si="329"/>
        <v>50596.831961564269</v>
      </c>
      <c r="Q1197" s="367">
        <f t="shared" si="329"/>
        <v>52072.283977366678</v>
      </c>
    </row>
    <row r="1198" spans="1:17" ht="15.6">
      <c r="A1198" s="366" t="s">
        <v>51</v>
      </c>
      <c r="B1198" s="132">
        <f>IRR(B1197:Q1197)</f>
        <v>3.148105948907582</v>
      </c>
      <c r="C1198" s="390"/>
      <c r="D1198" s="390"/>
      <c r="E1198" s="390"/>
      <c r="F1198" s="390"/>
      <c r="G1198" s="390"/>
      <c r="H1198" s="390"/>
      <c r="I1198" s="390"/>
      <c r="J1198" s="390"/>
      <c r="K1198" s="390"/>
      <c r="L1198" s="390"/>
      <c r="M1198" s="390"/>
      <c r="N1198" s="390"/>
      <c r="O1198" s="390"/>
      <c r="P1198" s="390"/>
      <c r="Q1198" s="390"/>
    </row>
    <row r="1199" spans="1:17" ht="15.6">
      <c r="A1199" s="366" t="s">
        <v>267</v>
      </c>
      <c r="B1199" s="303">
        <f>NPV('Initial Data'!$C$21/100,B1197:Q1197)</f>
        <v>240240.91757990347</v>
      </c>
      <c r="C1199" s="373"/>
      <c r="D1199" s="373"/>
      <c r="E1199" s="373"/>
      <c r="F1199" s="373"/>
      <c r="G1199" s="373"/>
      <c r="H1199" s="373"/>
      <c r="I1199" s="373"/>
      <c r="J1199" s="373"/>
      <c r="K1199" s="373"/>
      <c r="L1199" s="373"/>
      <c r="M1199" s="373"/>
      <c r="N1199" s="373"/>
      <c r="O1199" s="373"/>
      <c r="P1199" s="373"/>
      <c r="Q1199" s="373"/>
    </row>
    <row r="1201" spans="1:17" ht="14.4">
      <c r="A1201" s="417" t="s">
        <v>349</v>
      </c>
      <c r="B1201" s="418"/>
      <c r="C1201" s="418"/>
      <c r="D1201" s="418"/>
      <c r="E1201" s="418"/>
      <c r="F1201" s="418"/>
      <c r="G1201" s="418"/>
      <c r="H1201" s="418"/>
      <c r="I1201" s="418"/>
      <c r="J1201" s="418"/>
      <c r="K1201" s="418"/>
      <c r="L1201" s="418"/>
      <c r="M1201" s="418"/>
      <c r="N1201" s="418"/>
      <c r="O1201" s="418"/>
      <c r="P1201" s="418"/>
      <c r="Q1201" s="418"/>
    </row>
    <row r="1202" spans="1:17" ht="14.4">
      <c r="A1202" s="371" t="s">
        <v>356</v>
      </c>
      <c r="B1202" s="372"/>
      <c r="C1202" s="372"/>
      <c r="D1202" s="372"/>
      <c r="E1202" s="372"/>
      <c r="F1202" s="372"/>
      <c r="G1202" s="372"/>
      <c r="H1202" s="372"/>
      <c r="I1202" s="372"/>
      <c r="J1202" s="372"/>
      <c r="K1202" s="372"/>
      <c r="L1202" s="372"/>
      <c r="M1202" s="372"/>
      <c r="N1202" s="372"/>
      <c r="O1202" s="372"/>
      <c r="P1202" s="372"/>
      <c r="Q1202" s="372"/>
    </row>
    <row r="1203" spans="1:17" ht="27">
      <c r="A1203" s="376"/>
      <c r="B1203" s="304" t="s">
        <v>35</v>
      </c>
      <c r="C1203" s="352" t="s">
        <v>407</v>
      </c>
      <c r="D1203" s="352" t="s">
        <v>408</v>
      </c>
      <c r="E1203" s="352" t="s">
        <v>409</v>
      </c>
      <c r="F1203" s="352" t="s">
        <v>410</v>
      </c>
      <c r="G1203" s="352" t="s">
        <v>411</v>
      </c>
      <c r="H1203" s="352" t="s">
        <v>412</v>
      </c>
      <c r="I1203" s="352" t="s">
        <v>413</v>
      </c>
      <c r="J1203" s="352" t="s">
        <v>414</v>
      </c>
      <c r="K1203" s="352" t="s">
        <v>415</v>
      </c>
      <c r="L1203" s="352" t="s">
        <v>416</v>
      </c>
      <c r="M1203" s="352" t="s">
        <v>417</v>
      </c>
      <c r="N1203" s="352" t="s">
        <v>418</v>
      </c>
      <c r="O1203" s="352" t="s">
        <v>419</v>
      </c>
      <c r="P1203" s="352" t="s">
        <v>420</v>
      </c>
      <c r="Q1203" s="352" t="s">
        <v>421</v>
      </c>
    </row>
    <row r="1204" spans="1:17" ht="14.4">
      <c r="A1204" s="363" t="s">
        <v>290</v>
      </c>
      <c r="B1204" s="365"/>
      <c r="C1204" s="367">
        <f>+Baseline_NaturalGas!D10</f>
        <v>219000</v>
      </c>
      <c r="D1204" s="367">
        <f>+Baseline_NaturalGas!E10</f>
        <v>219000</v>
      </c>
      <c r="E1204" s="367">
        <f>+Baseline_NaturalGas!F10</f>
        <v>219000</v>
      </c>
      <c r="F1204" s="367">
        <f>+Baseline_NaturalGas!G10</f>
        <v>219000</v>
      </c>
      <c r="G1204" s="367">
        <f>+Baseline_NaturalGas!H10</f>
        <v>219000</v>
      </c>
      <c r="H1204" s="367">
        <f>+Baseline_NaturalGas!I10</f>
        <v>219000</v>
      </c>
      <c r="I1204" s="367">
        <f>+Baseline_NaturalGas!J10</f>
        <v>219000</v>
      </c>
      <c r="J1204" s="367">
        <f>+Baseline_NaturalGas!K10</f>
        <v>219000</v>
      </c>
      <c r="K1204" s="367">
        <f>+Baseline_NaturalGas!L10</f>
        <v>219000</v>
      </c>
      <c r="L1204" s="367">
        <f>+Baseline_NaturalGas!M10</f>
        <v>219000</v>
      </c>
      <c r="M1204" s="367">
        <f>+Baseline_NaturalGas!N10</f>
        <v>219000</v>
      </c>
      <c r="N1204" s="367">
        <f>+Baseline_NaturalGas!O10</f>
        <v>219000</v>
      </c>
      <c r="O1204" s="367">
        <f>+Baseline_NaturalGas!P10</f>
        <v>219000</v>
      </c>
      <c r="P1204" s="367">
        <f>+Baseline_NaturalGas!Q10</f>
        <v>219000</v>
      </c>
      <c r="Q1204" s="367">
        <f>+Baseline_NaturalGas!R10</f>
        <v>219000</v>
      </c>
    </row>
    <row r="1205" spans="1:17" ht="14.4">
      <c r="A1205" s="364" t="s">
        <v>291</v>
      </c>
      <c r="B1205" s="365"/>
      <c r="C1205" s="367">
        <f>+Baseline_NaturalGas!D11</f>
        <v>70</v>
      </c>
      <c r="D1205" s="367">
        <f>+Baseline_NaturalGas!E11</f>
        <v>70</v>
      </c>
      <c r="E1205" s="367">
        <f>+Baseline_NaturalGas!F11</f>
        <v>70</v>
      </c>
      <c r="F1205" s="367">
        <f>+Baseline_NaturalGas!G11</f>
        <v>70</v>
      </c>
      <c r="G1205" s="367">
        <f>+Baseline_NaturalGas!H11</f>
        <v>70</v>
      </c>
      <c r="H1205" s="367">
        <f>+Baseline_NaturalGas!I11</f>
        <v>70</v>
      </c>
      <c r="I1205" s="367">
        <f>+Baseline_NaturalGas!J11</f>
        <v>70</v>
      </c>
      <c r="J1205" s="367">
        <f>+Baseline_NaturalGas!K11</f>
        <v>70</v>
      </c>
      <c r="K1205" s="367">
        <f>+Baseline_NaturalGas!L11</f>
        <v>70</v>
      </c>
      <c r="L1205" s="367">
        <f>+Baseline_NaturalGas!M11</f>
        <v>70</v>
      </c>
      <c r="M1205" s="367">
        <f>+Baseline_NaturalGas!N11</f>
        <v>70</v>
      </c>
      <c r="N1205" s="367">
        <f>+Baseline_NaturalGas!O11</f>
        <v>70</v>
      </c>
      <c r="O1205" s="367">
        <f>+Baseline_NaturalGas!P11</f>
        <v>70</v>
      </c>
      <c r="P1205" s="367">
        <f>+Baseline_NaturalGas!Q11</f>
        <v>70</v>
      </c>
      <c r="Q1205" s="367">
        <f>+Baseline_NaturalGas!R11</f>
        <v>70</v>
      </c>
    </row>
    <row r="1206" spans="1:17" ht="14.4">
      <c r="A1206" s="366" t="s">
        <v>292</v>
      </c>
      <c r="B1206" s="365"/>
      <c r="C1206" s="367">
        <f>+Baseline_NaturalGas!D12</f>
        <v>6.4285714285714288</v>
      </c>
      <c r="D1206" s="367">
        <f>+Baseline_NaturalGas!E12</f>
        <v>6.6008571428571425</v>
      </c>
      <c r="E1206" s="367">
        <f>+Baseline_NaturalGas!F12</f>
        <v>6.7777601142857131</v>
      </c>
      <c r="F1206" s="367">
        <f>+Baseline_NaturalGas!G12</f>
        <v>6.9594040853485701</v>
      </c>
      <c r="G1206" s="367">
        <f>+Baseline_NaturalGas!H12</f>
        <v>7.1459161148359112</v>
      </c>
      <c r="H1206" s="367">
        <f>+Baseline_NaturalGas!I12</f>
        <v>7.3374266667135135</v>
      </c>
      <c r="I1206" s="367">
        <f>+Baseline_NaturalGas!J12</f>
        <v>7.5340697013814353</v>
      </c>
      <c r="J1206" s="367">
        <f>+Baseline_NaturalGas!K12</f>
        <v>7.7359827693784569</v>
      </c>
      <c r="K1206" s="367">
        <f>+Baseline_NaturalGas!L12</f>
        <v>7.943307107597799</v>
      </c>
      <c r="L1206" s="367">
        <f>+Baseline_NaturalGas!M12</f>
        <v>8.1561877380814192</v>
      </c>
      <c r="M1206" s="367">
        <f>+Baseline_NaturalGas!N12</f>
        <v>8.3747735694620005</v>
      </c>
      <c r="N1206" s="367">
        <f>+Baseline_NaturalGas!O12</f>
        <v>8.5992175011235812</v>
      </c>
      <c r="O1206" s="367">
        <f>+Baseline_NaturalGas!P12</f>
        <v>8.8296765301536926</v>
      </c>
      <c r="P1206" s="367">
        <f>+Baseline_NaturalGas!Q12</f>
        <v>9.066311861161811</v>
      </c>
      <c r="Q1206" s="367">
        <f>+Baseline_NaturalGas!R12</f>
        <v>9.3092890190409463</v>
      </c>
    </row>
    <row r="1207" spans="1:17" ht="14.4">
      <c r="A1207" s="366" t="s">
        <v>293</v>
      </c>
      <c r="B1207" s="365"/>
      <c r="C1207" s="367">
        <f>+C1205*C1206</f>
        <v>450</v>
      </c>
      <c r="D1207" s="367">
        <f t="shared" ref="D1207:Q1207" si="330">+D1205*D1206</f>
        <v>462.06</v>
      </c>
      <c r="E1207" s="367">
        <f t="shared" si="330"/>
        <v>474.44320799999991</v>
      </c>
      <c r="F1207" s="367">
        <f t="shared" si="330"/>
        <v>487.15828597439992</v>
      </c>
      <c r="G1207" s="367">
        <f t="shared" si="330"/>
        <v>500.21412803851376</v>
      </c>
      <c r="H1207" s="367">
        <f t="shared" si="330"/>
        <v>513.61986666994596</v>
      </c>
      <c r="I1207" s="367">
        <f t="shared" si="330"/>
        <v>527.3848790967005</v>
      </c>
      <c r="J1207" s="367">
        <f t="shared" si="330"/>
        <v>541.51879385649192</v>
      </c>
      <c r="K1207" s="367">
        <f t="shared" si="330"/>
        <v>556.03149753184596</v>
      </c>
      <c r="L1207" s="367">
        <f t="shared" si="330"/>
        <v>570.9331416656994</v>
      </c>
      <c r="M1207" s="367">
        <f t="shared" si="330"/>
        <v>586.23414986234002</v>
      </c>
      <c r="N1207" s="367">
        <f t="shared" si="330"/>
        <v>601.94522507865065</v>
      </c>
      <c r="O1207" s="367">
        <f t="shared" si="330"/>
        <v>618.0773571107585</v>
      </c>
      <c r="P1207" s="367">
        <f t="shared" si="330"/>
        <v>634.64183028132675</v>
      </c>
      <c r="Q1207" s="367">
        <f t="shared" si="330"/>
        <v>651.65023133286627</v>
      </c>
    </row>
    <row r="1208" spans="1:17" ht="14.4">
      <c r="A1208" s="370"/>
      <c r="B1208" s="373"/>
      <c r="C1208" s="373"/>
      <c r="D1208" s="373"/>
      <c r="E1208" s="373"/>
      <c r="F1208" s="373"/>
      <c r="G1208" s="373"/>
      <c r="H1208" s="373"/>
      <c r="I1208" s="373"/>
      <c r="J1208" s="373"/>
      <c r="K1208" s="373"/>
      <c r="L1208" s="373"/>
      <c r="M1208" s="373"/>
      <c r="N1208" s="373"/>
      <c r="O1208" s="373"/>
      <c r="P1208" s="373"/>
      <c r="Q1208" s="373"/>
    </row>
    <row r="1209" spans="1:17" ht="14.4">
      <c r="A1209" s="366" t="s">
        <v>294</v>
      </c>
      <c r="B1209" s="378">
        <f>+SUM(C1209:Q1209)</f>
        <v>1790524.8581953994</v>
      </c>
      <c r="C1209" s="377">
        <f>C1204*C1207/1000*'Initial Data'!$C$34/'Initial Data'!$C$33</f>
        <v>98550</v>
      </c>
      <c r="D1209" s="377">
        <f>D1204*D1207/1000*'Initial Data'!$C$34/'Initial Data'!$C$33</f>
        <v>101191.14</v>
      </c>
      <c r="E1209" s="377">
        <f>E1204*E1207/1000*'Initial Data'!$C$34/'Initial Data'!$C$33</f>
        <v>103903.06255199999</v>
      </c>
      <c r="F1209" s="377">
        <f>F1204*F1207/1000*'Initial Data'!$C$34/'Initial Data'!$C$33</f>
        <v>106687.66462839357</v>
      </c>
      <c r="G1209" s="377">
        <f>G1204*G1207/1000*'Initial Data'!$C$34/'Initial Data'!$C$33</f>
        <v>109546.8940404345</v>
      </c>
      <c r="H1209" s="377">
        <f>H1204*H1207/1000*'Initial Data'!$C$34/'Initial Data'!$C$33</f>
        <v>112482.75080071818</v>
      </c>
      <c r="I1209" s="377">
        <f>I1204*I1207/1000*'Initial Data'!$C$34/'Initial Data'!$C$33</f>
        <v>115497.28852217742</v>
      </c>
      <c r="J1209" s="377">
        <f>J1204*J1207/1000*'Initial Data'!$C$34/'Initial Data'!$C$33</f>
        <v>118592.61585457173</v>
      </c>
      <c r="K1209" s="377">
        <f>K1204*K1207/1000*'Initial Data'!$C$34/'Initial Data'!$C$33</f>
        <v>121770.89795947427</v>
      </c>
      <c r="L1209" s="377">
        <f>L1204*L1207/1000*'Initial Data'!$C$34/'Initial Data'!$C$33</f>
        <v>125034.35802478818</v>
      </c>
      <c r="M1209" s="377">
        <f>M1204*M1207/1000*'Initial Data'!$C$34/'Initial Data'!$C$33</f>
        <v>128385.27881985246</v>
      </c>
      <c r="N1209" s="377">
        <f>N1204*N1207/1000*'Initial Data'!$C$34/'Initial Data'!$C$33</f>
        <v>131826.0042922245</v>
      </c>
      <c r="O1209" s="377">
        <f>O1204*O1207/1000*'Initial Data'!$C$34/'Initial Data'!$C$33</f>
        <v>135358.94120725611</v>
      </c>
      <c r="P1209" s="377">
        <f>P1204*P1207/1000*'Initial Data'!$C$34/'Initial Data'!$C$33</f>
        <v>138986.56083161055</v>
      </c>
      <c r="Q1209" s="377">
        <f>Q1204*Q1207/1000*'Initial Data'!$C$34/'Initial Data'!$C$33</f>
        <v>142711.40066189773</v>
      </c>
    </row>
    <row r="1210" spans="1:17" ht="14.4">
      <c r="A1210" s="370"/>
      <c r="B1210" s="373"/>
      <c r="C1210" s="373"/>
      <c r="D1210" s="373"/>
      <c r="E1210" s="373"/>
      <c r="F1210" s="373"/>
      <c r="G1210" s="373"/>
      <c r="H1210" s="373"/>
      <c r="I1210" s="373"/>
      <c r="J1210" s="373"/>
      <c r="K1210" s="373"/>
      <c r="L1210" s="373"/>
      <c r="M1210" s="373"/>
      <c r="N1210" s="373"/>
      <c r="O1210" s="373"/>
      <c r="P1210" s="373"/>
      <c r="Q1210" s="373"/>
    </row>
    <row r="1211" spans="1:17" ht="14.4">
      <c r="A1211" s="366" t="s">
        <v>295</v>
      </c>
      <c r="B1211" s="378">
        <f>+SUM(C1211:Q1211)</f>
        <v>1790524.8581953994</v>
      </c>
      <c r="C1211" s="367">
        <f>+C1209</f>
        <v>98550</v>
      </c>
      <c r="D1211" s="367">
        <f t="shared" ref="D1211:Q1211" si="331">+D1209</f>
        <v>101191.14</v>
      </c>
      <c r="E1211" s="367">
        <f t="shared" si="331"/>
        <v>103903.06255199999</v>
      </c>
      <c r="F1211" s="367">
        <f t="shared" si="331"/>
        <v>106687.66462839357</v>
      </c>
      <c r="G1211" s="367">
        <f t="shared" si="331"/>
        <v>109546.8940404345</v>
      </c>
      <c r="H1211" s="367">
        <f t="shared" si="331"/>
        <v>112482.75080071818</v>
      </c>
      <c r="I1211" s="367">
        <f t="shared" si="331"/>
        <v>115497.28852217742</v>
      </c>
      <c r="J1211" s="367">
        <f t="shared" si="331"/>
        <v>118592.61585457173</v>
      </c>
      <c r="K1211" s="367">
        <f t="shared" si="331"/>
        <v>121770.89795947427</v>
      </c>
      <c r="L1211" s="367">
        <f t="shared" si="331"/>
        <v>125034.35802478818</v>
      </c>
      <c r="M1211" s="367">
        <f t="shared" si="331"/>
        <v>128385.27881985246</v>
      </c>
      <c r="N1211" s="367">
        <f t="shared" si="331"/>
        <v>131826.0042922245</v>
      </c>
      <c r="O1211" s="367">
        <f t="shared" si="331"/>
        <v>135358.94120725611</v>
      </c>
      <c r="P1211" s="367">
        <f t="shared" si="331"/>
        <v>138986.56083161055</v>
      </c>
      <c r="Q1211" s="367">
        <f t="shared" si="331"/>
        <v>142711.40066189773</v>
      </c>
    </row>
    <row r="1212" spans="1:17" ht="14.4">
      <c r="A1212" s="370"/>
      <c r="B1212" s="374"/>
      <c r="C1212" s="374"/>
      <c r="D1212" s="374"/>
      <c r="E1212" s="374"/>
      <c r="F1212" s="374"/>
      <c r="G1212" s="374"/>
      <c r="H1212" s="374"/>
      <c r="I1212" s="374"/>
      <c r="J1212" s="374"/>
      <c r="K1212" s="374"/>
      <c r="L1212" s="374"/>
      <c r="M1212" s="374"/>
      <c r="N1212" s="374"/>
      <c r="O1212" s="374"/>
      <c r="P1212" s="374"/>
      <c r="Q1212" s="374"/>
    </row>
    <row r="1213" spans="1:17" ht="14.4">
      <c r="A1213" s="366" t="s">
        <v>68</v>
      </c>
      <c r="B1213" s="368"/>
      <c r="C1213" s="368"/>
      <c r="D1213" s="368"/>
      <c r="E1213" s="368"/>
      <c r="F1213" s="368"/>
      <c r="G1213" s="368"/>
      <c r="H1213" s="368"/>
      <c r="I1213" s="368"/>
      <c r="J1213" s="368"/>
      <c r="K1213" s="368"/>
      <c r="L1213" s="368"/>
      <c r="M1213" s="368"/>
      <c r="N1213" s="368"/>
      <c r="O1213" s="368"/>
      <c r="P1213" s="368"/>
      <c r="Q1213" s="368"/>
    </row>
    <row r="1214" spans="1:17" ht="14.4">
      <c r="A1214" s="366" t="s">
        <v>330</v>
      </c>
      <c r="B1214" s="378">
        <f>+SUM(C1214:Q1214)</f>
        <v>17405.991521183645</v>
      </c>
      <c r="C1214" s="367">
        <f>+Baseline_NaturalGas!D20</f>
        <v>958.02102749999995</v>
      </c>
      <c r="D1214" s="367">
        <f>+Baseline_NaturalGas!E20</f>
        <v>983.69599103699989</v>
      </c>
      <c r="E1214" s="367">
        <f>+Baseline_NaturalGas!F20</f>
        <v>1010.0590435967914</v>
      </c>
      <c r="F1214" s="367">
        <f>+Baseline_NaturalGas!G20</f>
        <v>1037.1286259651854</v>
      </c>
      <c r="G1214" s="367">
        <f>+Baseline_NaturalGas!H20</f>
        <v>1064.9236731410524</v>
      </c>
      <c r="H1214" s="367">
        <f>+Baseline_NaturalGas!I20</f>
        <v>1093.4636275812325</v>
      </c>
      <c r="I1214" s="367">
        <f>+Baseline_NaturalGas!J20</f>
        <v>1122.7684528004095</v>
      </c>
      <c r="J1214" s="367">
        <f>+Baseline_NaturalGas!K20</f>
        <v>1152.8586473354603</v>
      </c>
      <c r="K1214" s="367">
        <f>+Baseline_NaturalGas!L20</f>
        <v>1183.7552590840505</v>
      </c>
      <c r="L1214" s="367">
        <f>+Baseline_NaturalGas!M20</f>
        <v>1215.4799000275029</v>
      </c>
      <c r="M1214" s="367">
        <f>+Baseline_NaturalGas!N20</f>
        <v>1248.0547613482399</v>
      </c>
      <c r="N1214" s="367">
        <f>+Baseline_NaturalGas!O20</f>
        <v>1281.5026289523728</v>
      </c>
      <c r="O1214" s="367">
        <f>+Baseline_NaturalGas!P20</f>
        <v>1315.8468994082964</v>
      </c>
      <c r="P1214" s="367">
        <f>+Baseline_NaturalGas!Q20</f>
        <v>1351.1115963124387</v>
      </c>
      <c r="Q1214" s="367">
        <f>+Baseline_NaturalGas!R20</f>
        <v>1387.321387093612</v>
      </c>
    </row>
    <row r="1215" spans="1:17" ht="14.4">
      <c r="A1215" s="370"/>
      <c r="B1215" s="369"/>
      <c r="C1215" s="369"/>
      <c r="D1215" s="369"/>
      <c r="E1215" s="369"/>
      <c r="F1215" s="369"/>
      <c r="G1215" s="369"/>
      <c r="H1215" s="369"/>
      <c r="I1215" s="369"/>
      <c r="J1215" s="369"/>
      <c r="K1215" s="369"/>
      <c r="L1215" s="369"/>
      <c r="M1215" s="369"/>
      <c r="N1215" s="369"/>
      <c r="O1215" s="369"/>
      <c r="P1215" s="369"/>
      <c r="Q1215" s="369"/>
    </row>
    <row r="1216" spans="1:17" ht="14.4">
      <c r="A1216" s="366" t="s">
        <v>71</v>
      </c>
      <c r="B1216" s="379"/>
      <c r="C1216" s="379"/>
      <c r="D1216" s="379"/>
      <c r="E1216" s="379"/>
      <c r="F1216" s="379"/>
      <c r="G1216" s="379"/>
      <c r="H1216" s="379"/>
      <c r="I1216" s="379"/>
      <c r="J1216" s="379"/>
      <c r="K1216" s="379"/>
      <c r="L1216" s="379"/>
      <c r="M1216" s="379"/>
      <c r="N1216" s="379"/>
      <c r="O1216" s="379"/>
      <c r="P1216" s="379"/>
      <c r="Q1216" s="379"/>
    </row>
    <row r="1217" spans="1:17" ht="14.4">
      <c r="A1217" s="370"/>
      <c r="B1217" s="379"/>
      <c r="C1217" s="379"/>
      <c r="D1217" s="379"/>
      <c r="E1217" s="379"/>
      <c r="F1217" s="379"/>
      <c r="G1217" s="379"/>
      <c r="H1217" s="379"/>
      <c r="I1217" s="379"/>
      <c r="J1217" s="379"/>
      <c r="K1217" s="379"/>
      <c r="L1217" s="379"/>
      <c r="M1217" s="379"/>
      <c r="N1217" s="379"/>
      <c r="O1217" s="379"/>
      <c r="P1217" s="379"/>
      <c r="Q1217" s="379"/>
    </row>
    <row r="1218" spans="1:17" ht="14.4">
      <c r="A1218" s="366" t="s">
        <v>64</v>
      </c>
      <c r="B1218" s="373"/>
      <c r="C1218" s="367">
        <f>+Baseline_NaturalGas!D24</f>
        <v>1656.5089715892002</v>
      </c>
      <c r="D1218" s="367">
        <f>+Baseline_NaturalGas!E24</f>
        <v>1656.5089715892002</v>
      </c>
      <c r="E1218" s="367">
        <f>+Baseline_NaturalGas!F24</f>
        <v>1656.5089715892002</v>
      </c>
      <c r="F1218" s="367">
        <f>+Baseline_NaturalGas!G24</f>
        <v>1656.5089715892002</v>
      </c>
      <c r="G1218" s="367">
        <f>+Baseline_NaturalGas!H24</f>
        <v>1656.5089715892002</v>
      </c>
      <c r="H1218" s="367">
        <f>+Baseline_NaturalGas!I24</f>
        <v>1656.5089715892002</v>
      </c>
      <c r="I1218" s="367">
        <f>+Baseline_NaturalGas!J24</f>
        <v>1656.5089715892002</v>
      </c>
      <c r="J1218" s="367">
        <f>+Baseline_NaturalGas!K24</f>
        <v>1656.5089715892002</v>
      </c>
      <c r="K1218" s="367">
        <f>+Baseline_NaturalGas!L24</f>
        <v>1656.5089715892002</v>
      </c>
      <c r="L1218" s="367">
        <f>+Baseline_NaturalGas!M24</f>
        <v>1656.5089715892002</v>
      </c>
      <c r="M1218" s="367">
        <f>+Baseline_NaturalGas!N24</f>
        <v>1656.5089715892002</v>
      </c>
      <c r="N1218" s="367">
        <f>+Baseline_NaturalGas!O24</f>
        <v>1656.5089715892002</v>
      </c>
      <c r="O1218" s="367">
        <f>+Baseline_NaturalGas!P24</f>
        <v>1656.5089715892002</v>
      </c>
      <c r="P1218" s="367">
        <f>+Baseline_NaturalGas!Q24</f>
        <v>1656.5089715892002</v>
      </c>
      <c r="Q1218" s="367">
        <f>+Baseline_NaturalGas!R24</f>
        <v>1656.5089715892002</v>
      </c>
    </row>
    <row r="1219" spans="1:17" ht="14.4">
      <c r="A1219" s="366" t="s">
        <v>108</v>
      </c>
      <c r="B1219" s="387">
        <f>+Baseline_NaturalGas!C70</f>
        <v>0</v>
      </c>
      <c r="C1219" s="373"/>
      <c r="D1219" s="373"/>
      <c r="E1219" s="373"/>
      <c r="F1219" s="373"/>
      <c r="G1219" s="373"/>
      <c r="H1219" s="373"/>
      <c r="I1219" s="373"/>
      <c r="J1219" s="373"/>
      <c r="K1219" s="373"/>
      <c r="L1219" s="373"/>
      <c r="M1219" s="373"/>
      <c r="N1219" s="373"/>
      <c r="O1219" s="373"/>
      <c r="P1219" s="373"/>
      <c r="Q1219" s="373"/>
    </row>
    <row r="1220" spans="1:17" ht="14.4">
      <c r="A1220" s="366" t="s">
        <v>345</v>
      </c>
      <c r="B1220" s="373"/>
      <c r="C1220" s="367">
        <f>+Baseline_NaturalGas!D26</f>
        <v>1741816.7092883086</v>
      </c>
      <c r="D1220" s="367">
        <f>+Baseline_NaturalGas!E26</f>
        <v>1741816.7092883086</v>
      </c>
      <c r="E1220" s="367">
        <f>+Baseline_NaturalGas!F26</f>
        <v>1741816.7092883086</v>
      </c>
      <c r="F1220" s="367">
        <f>+Baseline_NaturalGas!G26</f>
        <v>1741816.7092883086</v>
      </c>
      <c r="G1220" s="367">
        <f>+Baseline_NaturalGas!H26</f>
        <v>1741816.7092883086</v>
      </c>
      <c r="H1220" s="367">
        <f>+Baseline_NaturalGas!I26</f>
        <v>1741816.7092883086</v>
      </c>
      <c r="I1220" s="367">
        <f>+Baseline_NaturalGas!J26</f>
        <v>1741816.7092883086</v>
      </c>
      <c r="J1220" s="367">
        <f>+Baseline_NaturalGas!K26</f>
        <v>1741816.7092883086</v>
      </c>
      <c r="K1220" s="367">
        <f>+Baseline_NaturalGas!L26</f>
        <v>1741816.7092883086</v>
      </c>
      <c r="L1220" s="367">
        <f>+Baseline_NaturalGas!M26</f>
        <v>1741816.7092883086</v>
      </c>
      <c r="M1220" s="367">
        <f>+Baseline_NaturalGas!N26</f>
        <v>1741816.7092883086</v>
      </c>
      <c r="N1220" s="367">
        <f>+Baseline_NaturalGas!O26</f>
        <v>1741816.7092883086</v>
      </c>
      <c r="O1220" s="367">
        <f>+Baseline_NaturalGas!P26</f>
        <v>1741816.7092883086</v>
      </c>
      <c r="P1220" s="367">
        <f>+Baseline_NaturalGas!Q26</f>
        <v>1741816.7092883086</v>
      </c>
      <c r="Q1220" s="367">
        <f>+Baseline_NaturalGas!R26</f>
        <v>1741816.7092883086</v>
      </c>
    </row>
    <row r="1221" spans="1:17" ht="14.4">
      <c r="A1221" s="366" t="s">
        <v>66</v>
      </c>
      <c r="B1221" s="373"/>
      <c r="C1221" s="367">
        <f>+Baseline_NaturalGas!D27</f>
        <v>5.6086944825694198</v>
      </c>
      <c r="D1221" s="367">
        <f>+Baseline_NaturalGas!E27</f>
        <v>5.5051083831058802</v>
      </c>
      <c r="E1221" s="367">
        <f>+Baseline_NaturalGas!F27</f>
        <v>5.61862622286578</v>
      </c>
      <c r="F1221" s="367">
        <f>+Baseline_NaturalGas!G27</f>
        <v>5.8406487933251103</v>
      </c>
      <c r="G1221" s="367">
        <f>+Baseline_NaturalGas!H27</f>
        <v>5.8453745748678001</v>
      </c>
      <c r="H1221" s="367">
        <f>+Baseline_NaturalGas!I27</f>
        <v>6.0672099673130804</v>
      </c>
      <c r="I1221" s="367">
        <f>+Baseline_NaturalGas!J27</f>
        <v>6.39755565092754</v>
      </c>
      <c r="J1221" s="367">
        <f>+Baseline_NaturalGas!K27</f>
        <v>6.39755565092754</v>
      </c>
      <c r="K1221" s="367">
        <f>+Baseline_NaturalGas!L27</f>
        <v>6.39755565092754</v>
      </c>
      <c r="L1221" s="367">
        <f>+Baseline_NaturalGas!M27</f>
        <v>6.39755565092754</v>
      </c>
      <c r="M1221" s="367">
        <f>+Baseline_NaturalGas!N27</f>
        <v>6.39755565092754</v>
      </c>
      <c r="N1221" s="367">
        <f>+Baseline_NaturalGas!O27</f>
        <v>6.39755565092754</v>
      </c>
      <c r="O1221" s="367">
        <f>+Baseline_NaturalGas!P27</f>
        <v>6.39755565092754</v>
      </c>
      <c r="P1221" s="367">
        <f>+Baseline_NaturalGas!Q27</f>
        <v>6.39755565092754</v>
      </c>
      <c r="Q1221" s="367">
        <f>+Baseline_NaturalGas!R27</f>
        <v>6.39755565092754</v>
      </c>
    </row>
    <row r="1222" spans="1:17" ht="14.4">
      <c r="A1222" s="370"/>
      <c r="B1222" s="379"/>
      <c r="C1222" s="379"/>
      <c r="D1222" s="379"/>
      <c r="E1222" s="379"/>
      <c r="F1222" s="379"/>
      <c r="G1222" s="379"/>
      <c r="H1222" s="379"/>
      <c r="I1222" s="379"/>
      <c r="J1222" s="379"/>
      <c r="K1222" s="379"/>
      <c r="L1222" s="379"/>
      <c r="M1222" s="379"/>
      <c r="N1222" s="379"/>
      <c r="O1222" s="379"/>
      <c r="P1222" s="379"/>
      <c r="Q1222" s="379"/>
    </row>
    <row r="1223" spans="1:17" ht="14.4">
      <c r="A1223" s="366" t="s">
        <v>102</v>
      </c>
      <c r="B1223" s="378">
        <f t="shared" ref="B1223" si="332">+SUM(C1223:Q1223)</f>
        <v>160358.02702356796</v>
      </c>
      <c r="C1223" s="375">
        <f>+C1220*C1221/1000</f>
        <v>9769.3177670325604</v>
      </c>
      <c r="D1223" s="375">
        <f t="shared" ref="D1223:Q1223" si="333">+D1220*D1221/1000</f>
        <v>9588.8897681369654</v>
      </c>
      <c r="E1223" s="375">
        <f t="shared" si="333"/>
        <v>9786.6170382330711</v>
      </c>
      <c r="F1223" s="375">
        <f t="shared" si="333"/>
        <v>10173.339661298274</v>
      </c>
      <c r="G1223" s="375">
        <f t="shared" si="333"/>
        <v>10181.571106553778</v>
      </c>
      <c r="H1223" s="375">
        <f t="shared" si="333"/>
        <v>10567.967699826495</v>
      </c>
      <c r="I1223" s="375">
        <f t="shared" si="333"/>
        <v>11143.36933138743</v>
      </c>
      <c r="J1223" s="375">
        <f t="shared" si="333"/>
        <v>11143.36933138743</v>
      </c>
      <c r="K1223" s="375">
        <f t="shared" si="333"/>
        <v>11143.36933138743</v>
      </c>
      <c r="L1223" s="375">
        <f t="shared" si="333"/>
        <v>11143.36933138743</v>
      </c>
      <c r="M1223" s="375">
        <f t="shared" si="333"/>
        <v>11143.36933138743</v>
      </c>
      <c r="N1223" s="375">
        <f t="shared" si="333"/>
        <v>11143.36933138743</v>
      </c>
      <c r="O1223" s="375">
        <f t="shared" si="333"/>
        <v>11143.36933138743</v>
      </c>
      <c r="P1223" s="375">
        <f t="shared" si="333"/>
        <v>11143.36933138743</v>
      </c>
      <c r="Q1223" s="375">
        <f t="shared" si="333"/>
        <v>11143.36933138743</v>
      </c>
    </row>
    <row r="1224" spans="1:17" ht="14.4">
      <c r="A1224" s="370"/>
      <c r="B1224" s="373"/>
      <c r="C1224" s="373"/>
      <c r="D1224" s="373"/>
      <c r="E1224" s="373"/>
      <c r="F1224" s="373"/>
      <c r="G1224" s="373"/>
      <c r="H1224" s="373"/>
      <c r="I1224" s="373"/>
      <c r="J1224" s="373"/>
      <c r="K1224" s="373"/>
      <c r="L1224" s="373"/>
      <c r="M1224" s="373"/>
      <c r="N1224" s="373"/>
      <c r="O1224" s="373"/>
      <c r="P1224" s="373"/>
      <c r="Q1224" s="373"/>
    </row>
    <row r="1225" spans="1:17" ht="14.4">
      <c r="A1225" s="370"/>
      <c r="B1225" s="379"/>
      <c r="C1225" s="379"/>
      <c r="D1225" s="379"/>
      <c r="E1225" s="379"/>
      <c r="F1225" s="379"/>
      <c r="G1225" s="379"/>
      <c r="H1225" s="379"/>
      <c r="I1225" s="379"/>
      <c r="J1225" s="379"/>
      <c r="K1225" s="379"/>
      <c r="L1225" s="379"/>
      <c r="M1225" s="379"/>
      <c r="N1225" s="379"/>
      <c r="O1225" s="379"/>
      <c r="P1225" s="379"/>
      <c r="Q1225" s="379"/>
    </row>
    <row r="1226" spans="1:17" ht="14.4">
      <c r="A1226" s="366" t="s">
        <v>101</v>
      </c>
      <c r="B1226" s="373"/>
      <c r="C1226" s="375">
        <f>+C1223+C1214</f>
        <v>10727.338794532559</v>
      </c>
      <c r="D1226" s="375">
        <f t="shared" ref="D1226:Q1226" si="334">+D1223+D1214</f>
        <v>10572.585759173966</v>
      </c>
      <c r="E1226" s="375">
        <f t="shared" si="334"/>
        <v>10796.676081829863</v>
      </c>
      <c r="F1226" s="375">
        <f t="shared" si="334"/>
        <v>11210.46828726346</v>
      </c>
      <c r="G1226" s="375">
        <f t="shared" si="334"/>
        <v>11246.494779694831</v>
      </c>
      <c r="H1226" s="375">
        <f t="shared" si="334"/>
        <v>11661.431327407727</v>
      </c>
      <c r="I1226" s="375">
        <f t="shared" si="334"/>
        <v>12266.13778418784</v>
      </c>
      <c r="J1226" s="375">
        <f t="shared" si="334"/>
        <v>12296.227978722891</v>
      </c>
      <c r="K1226" s="375">
        <f t="shared" si="334"/>
        <v>12327.124590471481</v>
      </c>
      <c r="L1226" s="375">
        <f t="shared" si="334"/>
        <v>12358.849231414933</v>
      </c>
      <c r="M1226" s="375">
        <f t="shared" si="334"/>
        <v>12391.42409273567</v>
      </c>
      <c r="N1226" s="375">
        <f t="shared" si="334"/>
        <v>12424.871960339802</v>
      </c>
      <c r="O1226" s="375">
        <f t="shared" si="334"/>
        <v>12459.216230795726</v>
      </c>
      <c r="P1226" s="375">
        <f t="shared" si="334"/>
        <v>12494.480927699869</v>
      </c>
      <c r="Q1226" s="375">
        <f t="shared" si="334"/>
        <v>12530.690718481042</v>
      </c>
    </row>
    <row r="1227" spans="1:17" ht="14.4">
      <c r="A1227" s="370"/>
      <c r="B1227" s="379"/>
      <c r="C1227" s="379"/>
      <c r="D1227" s="379"/>
      <c r="E1227" s="379"/>
      <c r="F1227" s="379"/>
      <c r="G1227" s="379"/>
      <c r="H1227" s="379"/>
      <c r="I1227" s="379"/>
      <c r="J1227" s="379"/>
      <c r="K1227" s="379"/>
      <c r="L1227" s="379"/>
      <c r="M1227" s="379"/>
      <c r="N1227" s="379"/>
      <c r="O1227" s="379"/>
      <c r="P1227" s="379"/>
      <c r="Q1227" s="379"/>
    </row>
    <row r="1228" spans="1:17" ht="14.4">
      <c r="A1228" s="366" t="s">
        <v>73</v>
      </c>
      <c r="B1228" s="378">
        <f>+SUM(C1228:Q1228)</f>
        <v>11487.524395535713</v>
      </c>
      <c r="C1228" s="367">
        <f>+Baseline_NaturalGas!$D$5/'Initial Data'!$C$19</f>
        <v>1148.7524395535715</v>
      </c>
      <c r="D1228" s="367">
        <f>+Baseline_NaturalGas!$D$5/'Initial Data'!$C$19</f>
        <v>1148.7524395535715</v>
      </c>
      <c r="E1228" s="367">
        <f>+Baseline_NaturalGas!$D$5/'Initial Data'!$C$19</f>
        <v>1148.7524395535715</v>
      </c>
      <c r="F1228" s="367">
        <f>+Baseline_NaturalGas!$D$5/'Initial Data'!$C$19</f>
        <v>1148.7524395535715</v>
      </c>
      <c r="G1228" s="367">
        <f>+Baseline_NaturalGas!$D$5/'Initial Data'!$C$19</f>
        <v>1148.7524395535715</v>
      </c>
      <c r="H1228" s="367">
        <f>+Baseline_NaturalGas!$D$5/'Initial Data'!$C$19</f>
        <v>1148.7524395535715</v>
      </c>
      <c r="I1228" s="367">
        <f>+Baseline_NaturalGas!$D$5/'Initial Data'!$C$19</f>
        <v>1148.7524395535715</v>
      </c>
      <c r="J1228" s="367">
        <f>+Baseline_NaturalGas!$D$5/'Initial Data'!$C$19</f>
        <v>1148.7524395535715</v>
      </c>
      <c r="K1228" s="367">
        <f>+Baseline_NaturalGas!$D$5/'Initial Data'!$C$19</f>
        <v>1148.7524395535715</v>
      </c>
      <c r="L1228" s="367">
        <f>+Baseline_NaturalGas!$D$5/'Initial Data'!$C$19</f>
        <v>1148.7524395535715</v>
      </c>
      <c r="M1228" s="367">
        <v>0</v>
      </c>
      <c r="N1228" s="367">
        <v>0</v>
      </c>
      <c r="O1228" s="367">
        <v>0</v>
      </c>
      <c r="P1228" s="367">
        <v>0</v>
      </c>
      <c r="Q1228" s="367">
        <v>0</v>
      </c>
    </row>
    <row r="1229" spans="1:17" ht="14.4">
      <c r="A1229" s="366" t="s">
        <v>74</v>
      </c>
      <c r="B1229" s="378">
        <f>+SUM(C1229:Q1229)</f>
        <v>11487.524395535713</v>
      </c>
      <c r="C1229" s="367">
        <f>SUM(C1228:C1228)</f>
        <v>1148.7524395535715</v>
      </c>
      <c r="D1229" s="367">
        <f t="shared" ref="D1229:Q1229" si="335">SUM(D1228:D1228)</f>
        <v>1148.7524395535715</v>
      </c>
      <c r="E1229" s="367">
        <f t="shared" si="335"/>
        <v>1148.7524395535715</v>
      </c>
      <c r="F1229" s="367">
        <f t="shared" si="335"/>
        <v>1148.7524395535715</v>
      </c>
      <c r="G1229" s="367">
        <f t="shared" si="335"/>
        <v>1148.7524395535715</v>
      </c>
      <c r="H1229" s="367">
        <f t="shared" si="335"/>
        <v>1148.7524395535715</v>
      </c>
      <c r="I1229" s="367">
        <f t="shared" si="335"/>
        <v>1148.7524395535715</v>
      </c>
      <c r="J1229" s="367">
        <f t="shared" si="335"/>
        <v>1148.7524395535715</v>
      </c>
      <c r="K1229" s="367">
        <f t="shared" si="335"/>
        <v>1148.7524395535715</v>
      </c>
      <c r="L1229" s="367">
        <f t="shared" si="335"/>
        <v>1148.7524395535715</v>
      </c>
      <c r="M1229" s="367">
        <f t="shared" si="335"/>
        <v>0</v>
      </c>
      <c r="N1229" s="367">
        <f t="shared" si="335"/>
        <v>0</v>
      </c>
      <c r="O1229" s="367">
        <f t="shared" si="335"/>
        <v>0</v>
      </c>
      <c r="P1229" s="367">
        <f t="shared" si="335"/>
        <v>0</v>
      </c>
      <c r="Q1229" s="367">
        <f t="shared" si="335"/>
        <v>0</v>
      </c>
    </row>
    <row r="1230" spans="1:17" ht="14.4">
      <c r="A1230" s="90"/>
      <c r="B1230" s="388"/>
      <c r="C1230" s="373"/>
      <c r="D1230" s="373"/>
      <c r="E1230" s="373"/>
      <c r="F1230" s="373"/>
      <c r="G1230" s="373"/>
      <c r="H1230" s="373"/>
      <c r="I1230" s="373"/>
      <c r="J1230" s="373"/>
      <c r="K1230" s="373"/>
      <c r="L1230" s="373"/>
      <c r="M1230" s="373"/>
      <c r="N1230" s="373"/>
      <c r="O1230" s="373"/>
      <c r="P1230" s="373"/>
      <c r="Q1230" s="373"/>
    </row>
    <row r="1231" spans="1:17" ht="14.4">
      <c r="A1231" s="366" t="s">
        <v>75</v>
      </c>
      <c r="B1231" s="378">
        <f>+SUM(C1231:Q1231)</f>
        <v>189251.54294028736</v>
      </c>
      <c r="C1231" s="367">
        <f>+C1226+C1229</f>
        <v>11876.09123408613</v>
      </c>
      <c r="D1231" s="367">
        <f t="shared" ref="D1231:Q1231" si="336">+D1226+D1229</f>
        <v>11721.338198727537</v>
      </c>
      <c r="E1231" s="367">
        <f t="shared" si="336"/>
        <v>11945.428521383434</v>
      </c>
      <c r="F1231" s="367">
        <f t="shared" si="336"/>
        <v>12359.220726817031</v>
      </c>
      <c r="G1231" s="367">
        <f t="shared" si="336"/>
        <v>12395.247219248402</v>
      </c>
      <c r="H1231" s="367">
        <f t="shared" si="336"/>
        <v>12810.183766961298</v>
      </c>
      <c r="I1231" s="367">
        <f t="shared" si="336"/>
        <v>13414.890223741411</v>
      </c>
      <c r="J1231" s="367">
        <f t="shared" si="336"/>
        <v>13444.980418276462</v>
      </c>
      <c r="K1231" s="367">
        <f t="shared" si="336"/>
        <v>13475.877030025053</v>
      </c>
      <c r="L1231" s="367">
        <f t="shared" si="336"/>
        <v>13507.601670968505</v>
      </c>
      <c r="M1231" s="367">
        <f t="shared" si="336"/>
        <v>12391.42409273567</v>
      </c>
      <c r="N1231" s="367">
        <f t="shared" si="336"/>
        <v>12424.871960339802</v>
      </c>
      <c r="O1231" s="367">
        <f t="shared" si="336"/>
        <v>12459.216230795726</v>
      </c>
      <c r="P1231" s="367">
        <f t="shared" si="336"/>
        <v>12494.480927699869</v>
      </c>
      <c r="Q1231" s="367">
        <f t="shared" si="336"/>
        <v>12530.690718481042</v>
      </c>
    </row>
    <row r="1232" spans="1:17">
      <c r="A1232" s="74"/>
    </row>
    <row r="1233" spans="1:17" ht="14.4">
      <c r="A1233" s="366" t="s">
        <v>76</v>
      </c>
      <c r="B1233" s="378">
        <f>+SUM(C1233:Q1233)</f>
        <v>1601273.315255112</v>
      </c>
      <c r="C1233" s="367">
        <f>+C1211-C1231</f>
        <v>86673.908765913875</v>
      </c>
      <c r="D1233" s="367">
        <f t="shared" ref="D1233:Q1233" si="337">+D1211-D1231</f>
        <v>89469.801801272464</v>
      </c>
      <c r="E1233" s="367">
        <f t="shared" si="337"/>
        <v>91957.634030616551</v>
      </c>
      <c r="F1233" s="367">
        <f t="shared" si="337"/>
        <v>94328.443901576538</v>
      </c>
      <c r="G1233" s="367">
        <f t="shared" si="337"/>
        <v>97151.646821186107</v>
      </c>
      <c r="H1233" s="367">
        <f t="shared" si="337"/>
        <v>99672.567033756874</v>
      </c>
      <c r="I1233" s="367">
        <f t="shared" si="337"/>
        <v>102082.398298436</v>
      </c>
      <c r="J1233" s="367">
        <f t="shared" si="337"/>
        <v>105147.63543629527</v>
      </c>
      <c r="K1233" s="367">
        <f t="shared" si="337"/>
        <v>108295.02092944922</v>
      </c>
      <c r="L1233" s="367">
        <f t="shared" si="337"/>
        <v>111526.75635381967</v>
      </c>
      <c r="M1233" s="367">
        <f t="shared" si="337"/>
        <v>115993.85472711679</v>
      </c>
      <c r="N1233" s="367">
        <f t="shared" si="337"/>
        <v>119401.1323318847</v>
      </c>
      <c r="O1233" s="367">
        <f t="shared" si="337"/>
        <v>122899.72497646039</v>
      </c>
      <c r="P1233" s="367">
        <f t="shared" si="337"/>
        <v>126492.07990391068</v>
      </c>
      <c r="Q1233" s="367">
        <f t="shared" si="337"/>
        <v>130180.70994341669</v>
      </c>
    </row>
    <row r="1234" spans="1:17" ht="14.4">
      <c r="A1234" s="369"/>
      <c r="B1234" s="373"/>
      <c r="C1234" s="373"/>
      <c r="D1234" s="373"/>
      <c r="E1234" s="373"/>
      <c r="F1234" s="373"/>
      <c r="G1234" s="373"/>
      <c r="H1234" s="373"/>
      <c r="I1234" s="373"/>
      <c r="J1234" s="373"/>
      <c r="K1234" s="373"/>
      <c r="L1234" s="373"/>
      <c r="M1234" s="373"/>
      <c r="N1234" s="373"/>
      <c r="O1234" s="373"/>
      <c r="P1234" s="373"/>
      <c r="Q1234" s="373"/>
    </row>
    <row r="1235" spans="1:17" ht="14.4">
      <c r="A1235" s="366" t="s">
        <v>222</v>
      </c>
      <c r="B1235" s="402">
        <f>+E15</f>
        <v>0.5</v>
      </c>
      <c r="C1235" s="367">
        <f>IF((+$B$1235*C1233)&lt;0,"0",(+$B$1235*C1233))</f>
        <v>43336.954382956937</v>
      </c>
      <c r="D1235" s="367">
        <f t="shared" ref="D1235:Q1235" si="338">IF((+$B$1235*D1233)&lt;0,"0",(+$B$1235*D1233))</f>
        <v>44734.900900636232</v>
      </c>
      <c r="E1235" s="367">
        <f t="shared" si="338"/>
        <v>45978.817015308276</v>
      </c>
      <c r="F1235" s="367">
        <f t="shared" si="338"/>
        <v>47164.221950788269</v>
      </c>
      <c r="G1235" s="367">
        <f t="shared" si="338"/>
        <v>48575.823410593053</v>
      </c>
      <c r="H1235" s="367">
        <f t="shared" si="338"/>
        <v>49836.283516878437</v>
      </c>
      <c r="I1235" s="367">
        <f t="shared" si="338"/>
        <v>51041.199149218002</v>
      </c>
      <c r="J1235" s="367">
        <f t="shared" si="338"/>
        <v>52573.817718147635</v>
      </c>
      <c r="K1235" s="367">
        <f t="shared" si="338"/>
        <v>54147.510464724612</v>
      </c>
      <c r="L1235" s="367">
        <f t="shared" si="338"/>
        <v>55763.378176909835</v>
      </c>
      <c r="M1235" s="367">
        <f t="shared" si="338"/>
        <v>57996.927363558396</v>
      </c>
      <c r="N1235" s="367">
        <f t="shared" si="338"/>
        <v>59700.566165942349</v>
      </c>
      <c r="O1235" s="367">
        <f t="shared" si="338"/>
        <v>61449.862488230196</v>
      </c>
      <c r="P1235" s="367">
        <f t="shared" si="338"/>
        <v>63246.039951955339</v>
      </c>
      <c r="Q1235" s="367">
        <f t="shared" si="338"/>
        <v>65090.354971708344</v>
      </c>
    </row>
    <row r="1236" spans="1:17" ht="14.4">
      <c r="A1236" s="366" t="s">
        <v>77</v>
      </c>
      <c r="B1236" s="378">
        <f>+SUM(C1236:Q1236)</f>
        <v>800636.65762755601</v>
      </c>
      <c r="C1236" s="367">
        <f>SUM(C1235:C1235)</f>
        <v>43336.954382956937</v>
      </c>
      <c r="D1236" s="367">
        <f t="shared" ref="D1236:Q1236" si="339">SUM(D1235:D1235)</f>
        <v>44734.900900636232</v>
      </c>
      <c r="E1236" s="367">
        <f t="shared" si="339"/>
        <v>45978.817015308276</v>
      </c>
      <c r="F1236" s="367">
        <f t="shared" si="339"/>
        <v>47164.221950788269</v>
      </c>
      <c r="G1236" s="367">
        <f t="shared" si="339"/>
        <v>48575.823410593053</v>
      </c>
      <c r="H1236" s="367">
        <f t="shared" si="339"/>
        <v>49836.283516878437</v>
      </c>
      <c r="I1236" s="367">
        <f t="shared" si="339"/>
        <v>51041.199149218002</v>
      </c>
      <c r="J1236" s="367">
        <f t="shared" si="339"/>
        <v>52573.817718147635</v>
      </c>
      <c r="K1236" s="367">
        <f t="shared" si="339"/>
        <v>54147.510464724612</v>
      </c>
      <c r="L1236" s="367">
        <f t="shared" si="339"/>
        <v>55763.378176909835</v>
      </c>
      <c r="M1236" s="367">
        <f t="shared" si="339"/>
        <v>57996.927363558396</v>
      </c>
      <c r="N1236" s="367">
        <f t="shared" si="339"/>
        <v>59700.566165942349</v>
      </c>
      <c r="O1236" s="367">
        <f t="shared" si="339"/>
        <v>61449.862488230196</v>
      </c>
      <c r="P1236" s="367">
        <f t="shared" si="339"/>
        <v>63246.039951955339</v>
      </c>
      <c r="Q1236" s="367">
        <f t="shared" si="339"/>
        <v>65090.354971708344</v>
      </c>
    </row>
    <row r="1237" spans="1:17" ht="14.4">
      <c r="A1237" s="369"/>
      <c r="B1237" s="373"/>
      <c r="C1237" s="373"/>
      <c r="D1237" s="373"/>
      <c r="E1237" s="373"/>
      <c r="F1237" s="373"/>
      <c r="G1237" s="373"/>
      <c r="H1237" s="373"/>
      <c r="I1237" s="373"/>
      <c r="J1237" s="373"/>
      <c r="K1237" s="373"/>
      <c r="L1237" s="373"/>
      <c r="M1237" s="373"/>
      <c r="N1237" s="373"/>
      <c r="O1237" s="373"/>
      <c r="P1237" s="373"/>
      <c r="Q1237" s="373"/>
    </row>
    <row r="1238" spans="1:17" ht="14.4">
      <c r="A1238" s="366" t="s">
        <v>78</v>
      </c>
      <c r="B1238" s="378">
        <f>+SUM(C1238:Q1238)</f>
        <v>800636.65762755601</v>
      </c>
      <c r="C1238" s="367">
        <f>+C1233-C1236</f>
        <v>43336.954382956937</v>
      </c>
      <c r="D1238" s="367">
        <f t="shared" ref="D1238:Q1238" si="340">+D1233-D1236</f>
        <v>44734.900900636232</v>
      </c>
      <c r="E1238" s="367">
        <f t="shared" si="340"/>
        <v>45978.817015308276</v>
      </c>
      <c r="F1238" s="367">
        <f t="shared" si="340"/>
        <v>47164.221950788269</v>
      </c>
      <c r="G1238" s="367">
        <f t="shared" si="340"/>
        <v>48575.823410593053</v>
      </c>
      <c r="H1238" s="367">
        <f t="shared" si="340"/>
        <v>49836.283516878437</v>
      </c>
      <c r="I1238" s="367">
        <f t="shared" si="340"/>
        <v>51041.199149218002</v>
      </c>
      <c r="J1238" s="367">
        <f t="shared" si="340"/>
        <v>52573.817718147635</v>
      </c>
      <c r="K1238" s="367">
        <f t="shared" si="340"/>
        <v>54147.510464724612</v>
      </c>
      <c r="L1238" s="367">
        <f t="shared" si="340"/>
        <v>55763.378176909835</v>
      </c>
      <c r="M1238" s="367">
        <f t="shared" si="340"/>
        <v>57996.927363558396</v>
      </c>
      <c r="N1238" s="367">
        <f t="shared" si="340"/>
        <v>59700.566165942349</v>
      </c>
      <c r="O1238" s="367">
        <f t="shared" si="340"/>
        <v>61449.862488230196</v>
      </c>
      <c r="P1238" s="367">
        <f t="shared" si="340"/>
        <v>63246.039951955339</v>
      </c>
      <c r="Q1238" s="367">
        <f t="shared" si="340"/>
        <v>65090.354971708344</v>
      </c>
    </row>
    <row r="1239" spans="1:17" ht="14.4">
      <c r="A1239" s="395" t="s">
        <v>331</v>
      </c>
      <c r="B1239" s="378">
        <f>+SUM(C1239:Q1239)</f>
        <v>11487.524395535713</v>
      </c>
      <c r="C1239" s="377">
        <f>+C1228</f>
        <v>1148.7524395535715</v>
      </c>
      <c r="D1239" s="377">
        <f t="shared" ref="D1239:Q1239" si="341">+D1228</f>
        <v>1148.7524395535715</v>
      </c>
      <c r="E1239" s="377">
        <f t="shared" si="341"/>
        <v>1148.7524395535715</v>
      </c>
      <c r="F1239" s="377">
        <f t="shared" si="341"/>
        <v>1148.7524395535715</v>
      </c>
      <c r="G1239" s="377">
        <f t="shared" si="341"/>
        <v>1148.7524395535715</v>
      </c>
      <c r="H1239" s="377">
        <f t="shared" si="341"/>
        <v>1148.7524395535715</v>
      </c>
      <c r="I1239" s="377">
        <f t="shared" si="341"/>
        <v>1148.7524395535715</v>
      </c>
      <c r="J1239" s="377">
        <f t="shared" si="341"/>
        <v>1148.7524395535715</v>
      </c>
      <c r="K1239" s="377">
        <f t="shared" si="341"/>
        <v>1148.7524395535715</v>
      </c>
      <c r="L1239" s="377">
        <f t="shared" si="341"/>
        <v>1148.7524395535715</v>
      </c>
      <c r="M1239" s="377">
        <f t="shared" si="341"/>
        <v>0</v>
      </c>
      <c r="N1239" s="377">
        <f t="shared" si="341"/>
        <v>0</v>
      </c>
      <c r="O1239" s="377">
        <f t="shared" si="341"/>
        <v>0</v>
      </c>
      <c r="P1239" s="377">
        <f t="shared" si="341"/>
        <v>0</v>
      </c>
      <c r="Q1239" s="377">
        <f t="shared" si="341"/>
        <v>0</v>
      </c>
    </row>
    <row r="1240" spans="1:17" ht="14.4">
      <c r="A1240" s="395" t="s">
        <v>332</v>
      </c>
      <c r="B1240" s="378">
        <f>+Baseline_NaturalGas!C1173</f>
        <v>0</v>
      </c>
      <c r="C1240" s="367">
        <f>+Baseline_NaturalGas!D1173</f>
        <v>0</v>
      </c>
      <c r="D1240" s="367">
        <f>+Baseline_NaturalGas!E1173</f>
        <v>0</v>
      </c>
      <c r="E1240" s="367">
        <f>+Baseline_NaturalGas!F1173</f>
        <v>0</v>
      </c>
      <c r="F1240" s="367">
        <f>+Baseline_NaturalGas!G1173</f>
        <v>0</v>
      </c>
      <c r="G1240" s="367">
        <f>+Baseline_NaturalGas!H1173</f>
        <v>0</v>
      </c>
      <c r="H1240" s="367">
        <f>+Baseline_NaturalGas!I1173</f>
        <v>0</v>
      </c>
      <c r="I1240" s="367">
        <f>+Baseline_NaturalGas!J1173</f>
        <v>0</v>
      </c>
      <c r="J1240" s="367">
        <f>+Baseline_NaturalGas!K1173</f>
        <v>0</v>
      </c>
      <c r="K1240" s="367">
        <f>+Baseline_NaturalGas!L1173</f>
        <v>0</v>
      </c>
      <c r="L1240" s="367">
        <f>+Baseline_NaturalGas!M1173</f>
        <v>0</v>
      </c>
      <c r="M1240" s="367">
        <f>+Baseline_NaturalGas!N1173</f>
        <v>0</v>
      </c>
      <c r="N1240" s="367">
        <f>+Baseline_NaturalGas!O1173</f>
        <v>0</v>
      </c>
      <c r="O1240" s="367">
        <f>+Baseline_NaturalGas!P1173</f>
        <v>0</v>
      </c>
      <c r="P1240" s="367">
        <f>+Baseline_NaturalGas!Q1173</f>
        <v>0</v>
      </c>
      <c r="Q1240" s="367">
        <f>+Baseline_NaturalGas!R1173</f>
        <v>0</v>
      </c>
    </row>
    <row r="1241" spans="1:17" ht="14.4">
      <c r="A1241" s="376"/>
      <c r="B1241" s="389"/>
      <c r="C1241" s="389"/>
      <c r="D1241" s="389"/>
      <c r="E1241" s="389"/>
      <c r="F1241" s="389"/>
      <c r="G1241" s="389"/>
      <c r="H1241" s="389"/>
      <c r="I1241" s="389"/>
      <c r="J1241" s="389"/>
      <c r="K1241" s="389"/>
      <c r="L1241" s="389"/>
      <c r="M1241" s="389"/>
      <c r="N1241" s="389"/>
      <c r="O1241" s="389"/>
      <c r="P1241" s="389"/>
      <c r="Q1241" s="389"/>
    </row>
    <row r="1242" spans="1:17" ht="14.4">
      <c r="A1242" s="366" t="s">
        <v>110</v>
      </c>
      <c r="B1242" s="378">
        <f>-Baseline_NaturalGas!$D$5</f>
        <v>-11487.524395535715</v>
      </c>
      <c r="C1242" s="367">
        <f>+C1238+C1239+C1240</f>
        <v>44485.70682251051</v>
      </c>
      <c r="D1242" s="367">
        <f t="shared" ref="D1242:Q1242" si="342">+D1238+D1239+D1240</f>
        <v>45883.653340189805</v>
      </c>
      <c r="E1242" s="367">
        <f t="shared" si="342"/>
        <v>47127.569454861848</v>
      </c>
      <c r="F1242" s="367">
        <f t="shared" si="342"/>
        <v>48312.974390341842</v>
      </c>
      <c r="G1242" s="367">
        <f t="shared" si="342"/>
        <v>49724.575850146626</v>
      </c>
      <c r="H1242" s="367">
        <f t="shared" si="342"/>
        <v>50985.03595643201</v>
      </c>
      <c r="I1242" s="367">
        <f t="shared" si="342"/>
        <v>52189.951588771575</v>
      </c>
      <c r="J1242" s="367">
        <f t="shared" si="342"/>
        <v>53722.570157701208</v>
      </c>
      <c r="K1242" s="367">
        <f t="shared" si="342"/>
        <v>55296.262904278185</v>
      </c>
      <c r="L1242" s="367">
        <f t="shared" si="342"/>
        <v>56912.130616463408</v>
      </c>
      <c r="M1242" s="367">
        <f t="shared" si="342"/>
        <v>57996.927363558396</v>
      </c>
      <c r="N1242" s="367">
        <f t="shared" si="342"/>
        <v>59700.566165942349</v>
      </c>
      <c r="O1242" s="367">
        <f t="shared" si="342"/>
        <v>61449.862488230196</v>
      </c>
      <c r="P1242" s="367">
        <f t="shared" si="342"/>
        <v>63246.039951955339</v>
      </c>
      <c r="Q1242" s="367">
        <f t="shared" si="342"/>
        <v>65090.354971708344</v>
      </c>
    </row>
    <row r="1243" spans="1:17" ht="15.6">
      <c r="A1243" s="366" t="s">
        <v>51</v>
      </c>
      <c r="B1243" s="132">
        <f>IRR(B1242:Q1242)</f>
        <v>3.9029848437386945</v>
      </c>
      <c r="C1243" s="390"/>
      <c r="D1243" s="390"/>
      <c r="E1243" s="390"/>
      <c r="F1243" s="390"/>
      <c r="G1243" s="390"/>
      <c r="H1243" s="390"/>
      <c r="I1243" s="390"/>
      <c r="J1243" s="390"/>
      <c r="K1243" s="390"/>
      <c r="L1243" s="390"/>
      <c r="M1243" s="390"/>
      <c r="N1243" s="390"/>
      <c r="O1243" s="390"/>
      <c r="P1243" s="390"/>
      <c r="Q1243" s="390"/>
    </row>
    <row r="1244" spans="1:17" ht="15.6">
      <c r="A1244" s="366" t="s">
        <v>267</v>
      </c>
      <c r="B1244" s="303">
        <f>NPV('Initial Data'!$C$21/100,B1242:Q1242)</f>
        <v>301416.50789176032</v>
      </c>
      <c r="C1244" s="373"/>
      <c r="D1244" s="373"/>
      <c r="E1244" s="373"/>
      <c r="F1244" s="373"/>
      <c r="G1244" s="373"/>
      <c r="H1244" s="373"/>
      <c r="I1244" s="373"/>
      <c r="J1244" s="373"/>
      <c r="K1244" s="373"/>
      <c r="L1244" s="373"/>
      <c r="M1244" s="373"/>
      <c r="N1244" s="373"/>
      <c r="O1244" s="373"/>
      <c r="P1244" s="373"/>
      <c r="Q1244" s="373"/>
    </row>
    <row r="1246" spans="1:17" ht="14.4">
      <c r="A1246" s="417" t="s">
        <v>349</v>
      </c>
      <c r="B1246" s="418"/>
      <c r="C1246" s="418"/>
      <c r="D1246" s="418"/>
      <c r="E1246" s="418"/>
      <c r="F1246" s="418"/>
      <c r="G1246" s="418"/>
      <c r="H1246" s="418"/>
      <c r="I1246" s="418"/>
      <c r="J1246" s="418"/>
      <c r="K1246" s="418"/>
      <c r="L1246" s="418"/>
      <c r="M1246" s="418"/>
      <c r="N1246" s="418"/>
      <c r="O1246" s="418"/>
      <c r="P1246" s="418"/>
      <c r="Q1246" s="418"/>
    </row>
    <row r="1247" spans="1:17" ht="14.4">
      <c r="A1247" s="371" t="s">
        <v>357</v>
      </c>
      <c r="B1247" s="372"/>
      <c r="C1247" s="372"/>
      <c r="D1247" s="372"/>
      <c r="E1247" s="372"/>
      <c r="F1247" s="372"/>
      <c r="G1247" s="372"/>
      <c r="H1247" s="372"/>
      <c r="I1247" s="372"/>
      <c r="J1247" s="372"/>
      <c r="K1247" s="372"/>
      <c r="L1247" s="372"/>
      <c r="M1247" s="372"/>
      <c r="N1247" s="372"/>
      <c r="O1247" s="372"/>
      <c r="P1247" s="372"/>
      <c r="Q1247" s="372"/>
    </row>
    <row r="1248" spans="1:17" ht="27">
      <c r="A1248" s="376"/>
      <c r="B1248" s="304" t="s">
        <v>35</v>
      </c>
      <c r="C1248" s="352" t="s">
        <v>407</v>
      </c>
      <c r="D1248" s="352" t="s">
        <v>408</v>
      </c>
      <c r="E1248" s="352" t="s">
        <v>409</v>
      </c>
      <c r="F1248" s="352" t="s">
        <v>410</v>
      </c>
      <c r="G1248" s="352" t="s">
        <v>411</v>
      </c>
      <c r="H1248" s="352" t="s">
        <v>412</v>
      </c>
      <c r="I1248" s="352" t="s">
        <v>413</v>
      </c>
      <c r="J1248" s="352" t="s">
        <v>414</v>
      </c>
      <c r="K1248" s="352" t="s">
        <v>415</v>
      </c>
      <c r="L1248" s="352" t="s">
        <v>416</v>
      </c>
      <c r="M1248" s="352" t="s">
        <v>417</v>
      </c>
      <c r="N1248" s="352" t="s">
        <v>418</v>
      </c>
      <c r="O1248" s="352" t="s">
        <v>419</v>
      </c>
      <c r="P1248" s="352" t="s">
        <v>420</v>
      </c>
      <c r="Q1248" s="352" t="s">
        <v>421</v>
      </c>
    </row>
    <row r="1249" spans="1:17" ht="14.4">
      <c r="A1249" s="363" t="s">
        <v>290</v>
      </c>
      <c r="B1249" s="365"/>
      <c r="C1249" s="367">
        <f>+Baseline_NaturalGas!D10</f>
        <v>219000</v>
      </c>
      <c r="D1249" s="367">
        <f>+Baseline_NaturalGas!E10</f>
        <v>219000</v>
      </c>
      <c r="E1249" s="367">
        <f>+Baseline_NaturalGas!F10</f>
        <v>219000</v>
      </c>
      <c r="F1249" s="367">
        <f>+Baseline_NaturalGas!G10</f>
        <v>219000</v>
      </c>
      <c r="G1249" s="367">
        <f>+Baseline_NaturalGas!H10</f>
        <v>219000</v>
      </c>
      <c r="H1249" s="367">
        <f>+Baseline_NaturalGas!I10</f>
        <v>219000</v>
      </c>
      <c r="I1249" s="367">
        <f>+Baseline_NaturalGas!J10</f>
        <v>219000</v>
      </c>
      <c r="J1249" s="367">
        <f>+Baseline_NaturalGas!K10</f>
        <v>219000</v>
      </c>
      <c r="K1249" s="367">
        <f>+Baseline_NaturalGas!L10</f>
        <v>219000</v>
      </c>
      <c r="L1249" s="367">
        <f>+Baseline_NaturalGas!M10</f>
        <v>219000</v>
      </c>
      <c r="M1249" s="367">
        <f>+Baseline_NaturalGas!N10</f>
        <v>219000</v>
      </c>
      <c r="N1249" s="367">
        <f>+Baseline_NaturalGas!O10</f>
        <v>219000</v>
      </c>
      <c r="O1249" s="367">
        <f>+Baseline_NaturalGas!P10</f>
        <v>219000</v>
      </c>
      <c r="P1249" s="367">
        <f>+Baseline_NaturalGas!Q10</f>
        <v>219000</v>
      </c>
      <c r="Q1249" s="367">
        <f>+Baseline_NaturalGas!R10</f>
        <v>219000</v>
      </c>
    </row>
    <row r="1250" spans="1:17" ht="14.4">
      <c r="A1250" s="364" t="s">
        <v>291</v>
      </c>
      <c r="B1250" s="365"/>
      <c r="C1250" s="367">
        <f>+Baseline_NaturalGas!D11</f>
        <v>70</v>
      </c>
      <c r="D1250" s="367">
        <f>+Baseline_NaturalGas!E11</f>
        <v>70</v>
      </c>
      <c r="E1250" s="367">
        <f>+Baseline_NaturalGas!F11</f>
        <v>70</v>
      </c>
      <c r="F1250" s="367">
        <f>+Baseline_NaturalGas!G11</f>
        <v>70</v>
      </c>
      <c r="G1250" s="367">
        <f>+Baseline_NaturalGas!H11</f>
        <v>70</v>
      </c>
      <c r="H1250" s="367">
        <f>+Baseline_NaturalGas!I11</f>
        <v>70</v>
      </c>
      <c r="I1250" s="367">
        <f>+Baseline_NaturalGas!J11</f>
        <v>70</v>
      </c>
      <c r="J1250" s="367">
        <f>+Baseline_NaturalGas!K11</f>
        <v>70</v>
      </c>
      <c r="K1250" s="367">
        <f>+Baseline_NaturalGas!L11</f>
        <v>70</v>
      </c>
      <c r="L1250" s="367">
        <f>+Baseline_NaturalGas!M11</f>
        <v>70</v>
      </c>
      <c r="M1250" s="367">
        <f>+Baseline_NaturalGas!N11</f>
        <v>70</v>
      </c>
      <c r="N1250" s="367">
        <f>+Baseline_NaturalGas!O11</f>
        <v>70</v>
      </c>
      <c r="O1250" s="367">
        <f>+Baseline_NaturalGas!P11</f>
        <v>70</v>
      </c>
      <c r="P1250" s="367">
        <f>+Baseline_NaturalGas!Q11</f>
        <v>70</v>
      </c>
      <c r="Q1250" s="367">
        <f>+Baseline_NaturalGas!R11</f>
        <v>70</v>
      </c>
    </row>
    <row r="1251" spans="1:17" ht="14.4">
      <c r="A1251" s="366" t="s">
        <v>292</v>
      </c>
      <c r="B1251" s="365"/>
      <c r="C1251" s="367">
        <f>+Baseline_NaturalGas!D12</f>
        <v>6.4285714285714288</v>
      </c>
      <c r="D1251" s="367">
        <f>+Baseline_NaturalGas!E12</f>
        <v>6.6008571428571425</v>
      </c>
      <c r="E1251" s="367">
        <f>+Baseline_NaturalGas!F12</f>
        <v>6.7777601142857131</v>
      </c>
      <c r="F1251" s="367">
        <f>+Baseline_NaturalGas!G12</f>
        <v>6.9594040853485701</v>
      </c>
      <c r="G1251" s="367">
        <f>+Baseline_NaturalGas!H12</f>
        <v>7.1459161148359112</v>
      </c>
      <c r="H1251" s="367">
        <f>+Baseline_NaturalGas!I12</f>
        <v>7.3374266667135135</v>
      </c>
      <c r="I1251" s="367">
        <f>+Baseline_NaturalGas!J12</f>
        <v>7.5340697013814353</v>
      </c>
      <c r="J1251" s="367">
        <f>+Baseline_NaturalGas!K12</f>
        <v>7.7359827693784569</v>
      </c>
      <c r="K1251" s="367">
        <f>+Baseline_NaturalGas!L12</f>
        <v>7.943307107597799</v>
      </c>
      <c r="L1251" s="367">
        <f>+Baseline_NaturalGas!M12</f>
        <v>8.1561877380814192</v>
      </c>
      <c r="M1251" s="367">
        <f>+Baseline_NaturalGas!N12</f>
        <v>8.3747735694620005</v>
      </c>
      <c r="N1251" s="367">
        <f>+Baseline_NaturalGas!O12</f>
        <v>8.5992175011235812</v>
      </c>
      <c r="O1251" s="367">
        <f>+Baseline_NaturalGas!P12</f>
        <v>8.8296765301536926</v>
      </c>
      <c r="P1251" s="367">
        <f>+Baseline_NaturalGas!Q12</f>
        <v>9.066311861161811</v>
      </c>
      <c r="Q1251" s="367">
        <f>+Baseline_NaturalGas!R12</f>
        <v>9.3092890190409463</v>
      </c>
    </row>
    <row r="1252" spans="1:17" ht="14.4">
      <c r="A1252" s="366" t="s">
        <v>293</v>
      </c>
      <c r="B1252" s="365"/>
      <c r="C1252" s="367">
        <f>+C1250*C1251</f>
        <v>450</v>
      </c>
      <c r="D1252" s="367">
        <f t="shared" ref="D1252:Q1252" si="343">+D1250*D1251</f>
        <v>462.06</v>
      </c>
      <c r="E1252" s="367">
        <f t="shared" si="343"/>
        <v>474.44320799999991</v>
      </c>
      <c r="F1252" s="367">
        <f t="shared" si="343"/>
        <v>487.15828597439992</v>
      </c>
      <c r="G1252" s="367">
        <f t="shared" si="343"/>
        <v>500.21412803851376</v>
      </c>
      <c r="H1252" s="367">
        <f t="shared" si="343"/>
        <v>513.61986666994596</v>
      </c>
      <c r="I1252" s="367">
        <f t="shared" si="343"/>
        <v>527.3848790967005</v>
      </c>
      <c r="J1252" s="367">
        <f t="shared" si="343"/>
        <v>541.51879385649192</v>
      </c>
      <c r="K1252" s="367">
        <f t="shared" si="343"/>
        <v>556.03149753184596</v>
      </c>
      <c r="L1252" s="367">
        <f t="shared" si="343"/>
        <v>570.9331416656994</v>
      </c>
      <c r="M1252" s="367">
        <f t="shared" si="343"/>
        <v>586.23414986234002</v>
      </c>
      <c r="N1252" s="367">
        <f t="shared" si="343"/>
        <v>601.94522507865065</v>
      </c>
      <c r="O1252" s="367">
        <f t="shared" si="343"/>
        <v>618.0773571107585</v>
      </c>
      <c r="P1252" s="367">
        <f t="shared" si="343"/>
        <v>634.64183028132675</v>
      </c>
      <c r="Q1252" s="367">
        <f t="shared" si="343"/>
        <v>651.65023133286627</v>
      </c>
    </row>
    <row r="1253" spans="1:17" ht="14.4">
      <c r="A1253" s="370"/>
      <c r="B1253" s="373"/>
      <c r="C1253" s="373"/>
      <c r="D1253" s="373"/>
      <c r="E1253" s="373"/>
      <c r="F1253" s="373"/>
      <c r="G1253" s="373"/>
      <c r="H1253" s="373"/>
      <c r="I1253" s="373"/>
      <c r="J1253" s="373"/>
      <c r="K1253" s="373"/>
      <c r="L1253" s="373"/>
      <c r="M1253" s="373"/>
      <c r="N1253" s="373"/>
      <c r="O1253" s="373"/>
      <c r="P1253" s="373"/>
      <c r="Q1253" s="373"/>
    </row>
    <row r="1254" spans="1:17" ht="14.4">
      <c r="A1254" s="366" t="s">
        <v>294</v>
      </c>
      <c r="B1254" s="378">
        <f>+SUM(C1254:Q1254)</f>
        <v>1790524.8581953994</v>
      </c>
      <c r="C1254" s="377">
        <f>C1249*C1252/1000*'Initial Data'!$C$34/'Initial Data'!$C$33</f>
        <v>98550</v>
      </c>
      <c r="D1254" s="377">
        <f>D1249*D1252/1000*'Initial Data'!$C$34/'Initial Data'!$C$33</f>
        <v>101191.14</v>
      </c>
      <c r="E1254" s="377">
        <f>E1249*E1252/1000*'Initial Data'!$C$34/'Initial Data'!$C$33</f>
        <v>103903.06255199999</v>
      </c>
      <c r="F1254" s="377">
        <f>F1249*F1252/1000*'Initial Data'!$C$34/'Initial Data'!$C$33</f>
        <v>106687.66462839357</v>
      </c>
      <c r="G1254" s="377">
        <f>G1249*G1252/1000*'Initial Data'!$C$34/'Initial Data'!$C$33</f>
        <v>109546.8940404345</v>
      </c>
      <c r="H1254" s="377">
        <f>H1249*H1252/1000*'Initial Data'!$C$34/'Initial Data'!$C$33</f>
        <v>112482.75080071818</v>
      </c>
      <c r="I1254" s="377">
        <f>I1249*I1252/1000*'Initial Data'!$C$34/'Initial Data'!$C$33</f>
        <v>115497.28852217742</v>
      </c>
      <c r="J1254" s="377">
        <f>J1249*J1252/1000*'Initial Data'!$C$34/'Initial Data'!$C$33</f>
        <v>118592.61585457173</v>
      </c>
      <c r="K1254" s="377">
        <f>K1249*K1252/1000*'Initial Data'!$C$34/'Initial Data'!$C$33</f>
        <v>121770.89795947427</v>
      </c>
      <c r="L1254" s="377">
        <f>L1249*L1252/1000*'Initial Data'!$C$34/'Initial Data'!$C$33</f>
        <v>125034.35802478818</v>
      </c>
      <c r="M1254" s="377">
        <f>M1249*M1252/1000*'Initial Data'!$C$34/'Initial Data'!$C$33</f>
        <v>128385.27881985246</v>
      </c>
      <c r="N1254" s="377">
        <f>N1249*N1252/1000*'Initial Data'!$C$34/'Initial Data'!$C$33</f>
        <v>131826.0042922245</v>
      </c>
      <c r="O1254" s="377">
        <f>O1249*O1252/1000*'Initial Data'!$C$34/'Initial Data'!$C$33</f>
        <v>135358.94120725611</v>
      </c>
      <c r="P1254" s="377">
        <f>P1249*P1252/1000*'Initial Data'!$C$34/'Initial Data'!$C$33</f>
        <v>138986.56083161055</v>
      </c>
      <c r="Q1254" s="377">
        <f>Q1249*Q1252/1000*'Initial Data'!$C$34/'Initial Data'!$C$33</f>
        <v>142711.40066189773</v>
      </c>
    </row>
    <row r="1255" spans="1:17" ht="14.4">
      <c r="A1255" s="370"/>
      <c r="B1255" s="373"/>
      <c r="C1255" s="373"/>
      <c r="D1255" s="373"/>
      <c r="E1255" s="373"/>
      <c r="F1255" s="373"/>
      <c r="G1255" s="373"/>
      <c r="H1255" s="373"/>
      <c r="I1255" s="373"/>
      <c r="J1255" s="373"/>
      <c r="K1255" s="373"/>
      <c r="L1255" s="373"/>
      <c r="M1255" s="373"/>
      <c r="N1255" s="373"/>
      <c r="O1255" s="373"/>
      <c r="P1255" s="373"/>
      <c r="Q1255" s="373"/>
    </row>
    <row r="1256" spans="1:17" ht="14.4">
      <c r="A1256" s="366" t="s">
        <v>295</v>
      </c>
      <c r="B1256" s="378">
        <f>+SUM(C1256:Q1256)</f>
        <v>1790524.8581953994</v>
      </c>
      <c r="C1256" s="367">
        <f>+C1254</f>
        <v>98550</v>
      </c>
      <c r="D1256" s="367">
        <f t="shared" ref="D1256:Q1256" si="344">+D1254</f>
        <v>101191.14</v>
      </c>
      <c r="E1256" s="367">
        <f t="shared" si="344"/>
        <v>103903.06255199999</v>
      </c>
      <c r="F1256" s="367">
        <f t="shared" si="344"/>
        <v>106687.66462839357</v>
      </c>
      <c r="G1256" s="367">
        <f t="shared" si="344"/>
        <v>109546.8940404345</v>
      </c>
      <c r="H1256" s="367">
        <f t="shared" si="344"/>
        <v>112482.75080071818</v>
      </c>
      <c r="I1256" s="367">
        <f t="shared" si="344"/>
        <v>115497.28852217742</v>
      </c>
      <c r="J1256" s="367">
        <f t="shared" si="344"/>
        <v>118592.61585457173</v>
      </c>
      <c r="K1256" s="367">
        <f t="shared" si="344"/>
        <v>121770.89795947427</v>
      </c>
      <c r="L1256" s="367">
        <f t="shared" si="344"/>
        <v>125034.35802478818</v>
      </c>
      <c r="M1256" s="367">
        <f t="shared" si="344"/>
        <v>128385.27881985246</v>
      </c>
      <c r="N1256" s="367">
        <f t="shared" si="344"/>
        <v>131826.0042922245</v>
      </c>
      <c r="O1256" s="367">
        <f t="shared" si="344"/>
        <v>135358.94120725611</v>
      </c>
      <c r="P1256" s="367">
        <f t="shared" si="344"/>
        <v>138986.56083161055</v>
      </c>
      <c r="Q1256" s="367">
        <f t="shared" si="344"/>
        <v>142711.40066189773</v>
      </c>
    </row>
    <row r="1257" spans="1:17" ht="14.4">
      <c r="A1257" s="370"/>
      <c r="B1257" s="374"/>
      <c r="C1257" s="374"/>
      <c r="D1257" s="374"/>
      <c r="E1257" s="374"/>
      <c r="F1257" s="374"/>
      <c r="G1257" s="374"/>
      <c r="H1257" s="374"/>
      <c r="I1257" s="374"/>
      <c r="J1257" s="374"/>
      <c r="K1257" s="374"/>
      <c r="L1257" s="374"/>
      <c r="M1257" s="374"/>
      <c r="N1257" s="374"/>
      <c r="O1257" s="374"/>
      <c r="P1257" s="374"/>
      <c r="Q1257" s="374"/>
    </row>
    <row r="1258" spans="1:17" ht="14.4">
      <c r="A1258" s="366" t="s">
        <v>68</v>
      </c>
      <c r="B1258" s="368"/>
      <c r="C1258" s="368"/>
      <c r="D1258" s="368"/>
      <c r="E1258" s="368"/>
      <c r="F1258" s="368"/>
      <c r="G1258" s="368"/>
      <c r="H1258" s="368"/>
      <c r="I1258" s="368"/>
      <c r="J1258" s="368"/>
      <c r="K1258" s="368"/>
      <c r="L1258" s="368"/>
      <c r="M1258" s="368"/>
      <c r="N1258" s="368"/>
      <c r="O1258" s="368"/>
      <c r="P1258" s="368"/>
      <c r="Q1258" s="368"/>
    </row>
    <row r="1259" spans="1:17" ht="14.4">
      <c r="A1259" s="366" t="s">
        <v>330</v>
      </c>
      <c r="B1259" s="378">
        <f>+SUM(C1259:Q1259)</f>
        <v>17405.991521183645</v>
      </c>
      <c r="C1259" s="367">
        <f>+Baseline_NaturalGas!D20</f>
        <v>958.02102749999995</v>
      </c>
      <c r="D1259" s="367">
        <f>+Baseline_NaturalGas!E20</f>
        <v>983.69599103699989</v>
      </c>
      <c r="E1259" s="367">
        <f>+Baseline_NaturalGas!F20</f>
        <v>1010.0590435967914</v>
      </c>
      <c r="F1259" s="367">
        <f>+Baseline_NaturalGas!G20</f>
        <v>1037.1286259651854</v>
      </c>
      <c r="G1259" s="367">
        <f>+Baseline_NaturalGas!H20</f>
        <v>1064.9236731410524</v>
      </c>
      <c r="H1259" s="367">
        <f>+Baseline_NaturalGas!I20</f>
        <v>1093.4636275812325</v>
      </c>
      <c r="I1259" s="367">
        <f>+Baseline_NaturalGas!J20</f>
        <v>1122.7684528004095</v>
      </c>
      <c r="J1259" s="367">
        <f>+Baseline_NaturalGas!K20</f>
        <v>1152.8586473354603</v>
      </c>
      <c r="K1259" s="367">
        <f>+Baseline_NaturalGas!L20</f>
        <v>1183.7552590840505</v>
      </c>
      <c r="L1259" s="367">
        <f>+Baseline_NaturalGas!M20</f>
        <v>1215.4799000275029</v>
      </c>
      <c r="M1259" s="367">
        <f>+Baseline_NaturalGas!N20</f>
        <v>1248.0547613482399</v>
      </c>
      <c r="N1259" s="367">
        <f>+Baseline_NaturalGas!O20</f>
        <v>1281.5026289523728</v>
      </c>
      <c r="O1259" s="367">
        <f>+Baseline_NaturalGas!P20</f>
        <v>1315.8468994082964</v>
      </c>
      <c r="P1259" s="367">
        <f>+Baseline_NaturalGas!Q20</f>
        <v>1351.1115963124387</v>
      </c>
      <c r="Q1259" s="367">
        <f>+Baseline_NaturalGas!R20</f>
        <v>1387.321387093612</v>
      </c>
    </row>
    <row r="1260" spans="1:17" ht="14.4">
      <c r="A1260" s="370"/>
      <c r="B1260" s="369"/>
      <c r="C1260" s="369"/>
      <c r="D1260" s="369"/>
      <c r="E1260" s="369"/>
      <c r="F1260" s="369"/>
      <c r="G1260" s="369"/>
      <c r="H1260" s="369"/>
      <c r="I1260" s="369"/>
      <c r="J1260" s="369"/>
      <c r="K1260" s="369"/>
      <c r="L1260" s="369"/>
      <c r="M1260" s="369"/>
      <c r="N1260" s="369"/>
      <c r="O1260" s="369"/>
      <c r="P1260" s="369"/>
      <c r="Q1260" s="369"/>
    </row>
    <row r="1261" spans="1:17" ht="14.4">
      <c r="A1261" s="366" t="s">
        <v>71</v>
      </c>
      <c r="B1261" s="379"/>
      <c r="C1261" s="379"/>
      <c r="D1261" s="379"/>
      <c r="E1261" s="379"/>
      <c r="F1261" s="379"/>
      <c r="G1261" s="379"/>
      <c r="H1261" s="379"/>
      <c r="I1261" s="379"/>
      <c r="J1261" s="379"/>
      <c r="K1261" s="379"/>
      <c r="L1261" s="379"/>
      <c r="M1261" s="379"/>
      <c r="N1261" s="379"/>
      <c r="O1261" s="379"/>
      <c r="P1261" s="379"/>
      <c r="Q1261" s="379"/>
    </row>
    <row r="1262" spans="1:17" ht="14.4">
      <c r="A1262" s="370"/>
      <c r="B1262" s="379"/>
      <c r="C1262" s="379"/>
      <c r="D1262" s="379"/>
      <c r="E1262" s="379"/>
      <c r="F1262" s="379"/>
      <c r="G1262" s="379"/>
      <c r="H1262" s="379"/>
      <c r="I1262" s="379"/>
      <c r="J1262" s="379"/>
      <c r="K1262" s="379"/>
      <c r="L1262" s="379"/>
      <c r="M1262" s="379"/>
      <c r="N1262" s="379"/>
      <c r="O1262" s="379"/>
      <c r="P1262" s="379"/>
      <c r="Q1262" s="379"/>
    </row>
    <row r="1263" spans="1:17" ht="14.4">
      <c r="A1263" s="366" t="s">
        <v>64</v>
      </c>
      <c r="B1263" s="373"/>
      <c r="C1263" s="367">
        <f>+Baseline_NaturalGas!D24</f>
        <v>1656.5089715892002</v>
      </c>
      <c r="D1263" s="367">
        <f>+Baseline_NaturalGas!E24</f>
        <v>1656.5089715892002</v>
      </c>
      <c r="E1263" s="367">
        <f>+Baseline_NaturalGas!F24</f>
        <v>1656.5089715892002</v>
      </c>
      <c r="F1263" s="367">
        <f>+Baseline_NaturalGas!G24</f>
        <v>1656.5089715892002</v>
      </c>
      <c r="G1263" s="367">
        <f>+Baseline_NaturalGas!H24</f>
        <v>1656.5089715892002</v>
      </c>
      <c r="H1263" s="367">
        <f>+Baseline_NaturalGas!I24</f>
        <v>1656.5089715892002</v>
      </c>
      <c r="I1263" s="367">
        <f>+Baseline_NaturalGas!J24</f>
        <v>1656.5089715892002</v>
      </c>
      <c r="J1263" s="367">
        <f>+Baseline_NaturalGas!K24</f>
        <v>1656.5089715892002</v>
      </c>
      <c r="K1263" s="367">
        <f>+Baseline_NaturalGas!L24</f>
        <v>1656.5089715892002</v>
      </c>
      <c r="L1263" s="367">
        <f>+Baseline_NaturalGas!M24</f>
        <v>1656.5089715892002</v>
      </c>
      <c r="M1263" s="367">
        <f>+Baseline_NaturalGas!N24</f>
        <v>1656.5089715892002</v>
      </c>
      <c r="N1263" s="367">
        <f>+Baseline_NaturalGas!O24</f>
        <v>1656.5089715892002</v>
      </c>
      <c r="O1263" s="367">
        <f>+Baseline_NaturalGas!P24</f>
        <v>1656.5089715892002</v>
      </c>
      <c r="P1263" s="367">
        <f>+Baseline_NaturalGas!Q24</f>
        <v>1656.5089715892002</v>
      </c>
      <c r="Q1263" s="367">
        <f>+Baseline_NaturalGas!R24</f>
        <v>1656.5089715892002</v>
      </c>
    </row>
    <row r="1264" spans="1:17" ht="14.4">
      <c r="A1264" s="366" t="s">
        <v>108</v>
      </c>
      <c r="B1264" s="387">
        <f>+Baseline_NaturalGas!C115</f>
        <v>0</v>
      </c>
      <c r="C1264" s="373"/>
      <c r="D1264" s="373"/>
      <c r="E1264" s="373"/>
      <c r="F1264" s="373"/>
      <c r="G1264" s="373"/>
      <c r="H1264" s="373"/>
      <c r="I1264" s="373"/>
      <c r="J1264" s="373"/>
      <c r="K1264" s="373"/>
      <c r="L1264" s="373"/>
      <c r="M1264" s="373"/>
      <c r="N1264" s="373"/>
      <c r="O1264" s="373"/>
      <c r="P1264" s="373"/>
      <c r="Q1264" s="373"/>
    </row>
    <row r="1265" spans="1:17" ht="14.4">
      <c r="A1265" s="366" t="s">
        <v>345</v>
      </c>
      <c r="B1265" s="373"/>
      <c r="C1265" s="367">
        <f>+Baseline_NaturalGas!D26</f>
        <v>1741816.7092883086</v>
      </c>
      <c r="D1265" s="367">
        <f>+Baseline_NaturalGas!E26</f>
        <v>1741816.7092883086</v>
      </c>
      <c r="E1265" s="367">
        <f>+Baseline_NaturalGas!F26</f>
        <v>1741816.7092883086</v>
      </c>
      <c r="F1265" s="367">
        <f>+Baseline_NaturalGas!G26</f>
        <v>1741816.7092883086</v>
      </c>
      <c r="G1265" s="367">
        <f>+Baseline_NaturalGas!H26</f>
        <v>1741816.7092883086</v>
      </c>
      <c r="H1265" s="367">
        <f>+Baseline_NaturalGas!I26</f>
        <v>1741816.7092883086</v>
      </c>
      <c r="I1265" s="367">
        <f>+Baseline_NaturalGas!J26</f>
        <v>1741816.7092883086</v>
      </c>
      <c r="J1265" s="367">
        <f>+Baseline_NaturalGas!K26</f>
        <v>1741816.7092883086</v>
      </c>
      <c r="K1265" s="367">
        <f>+Baseline_NaturalGas!L26</f>
        <v>1741816.7092883086</v>
      </c>
      <c r="L1265" s="367">
        <f>+Baseline_NaturalGas!M26</f>
        <v>1741816.7092883086</v>
      </c>
      <c r="M1265" s="367">
        <f>+Baseline_NaturalGas!N26</f>
        <v>1741816.7092883086</v>
      </c>
      <c r="N1265" s="367">
        <f>+Baseline_NaturalGas!O26</f>
        <v>1741816.7092883086</v>
      </c>
      <c r="O1265" s="367">
        <f>+Baseline_NaturalGas!P26</f>
        <v>1741816.7092883086</v>
      </c>
      <c r="P1265" s="367">
        <f>+Baseline_NaturalGas!Q26</f>
        <v>1741816.7092883086</v>
      </c>
      <c r="Q1265" s="367">
        <f>+Baseline_NaturalGas!R26</f>
        <v>1741816.7092883086</v>
      </c>
    </row>
    <row r="1266" spans="1:17" ht="14.4">
      <c r="A1266" s="366" t="s">
        <v>66</v>
      </c>
      <c r="B1266" s="373"/>
      <c r="C1266" s="367">
        <f>+Baseline_NaturalGas!D27</f>
        <v>5.6086944825694198</v>
      </c>
      <c r="D1266" s="367">
        <f>+Baseline_NaturalGas!E27</f>
        <v>5.5051083831058802</v>
      </c>
      <c r="E1266" s="367">
        <f>+Baseline_NaturalGas!F27</f>
        <v>5.61862622286578</v>
      </c>
      <c r="F1266" s="367">
        <f>+Baseline_NaturalGas!G27</f>
        <v>5.8406487933251103</v>
      </c>
      <c r="G1266" s="367">
        <f>+Baseline_NaturalGas!H27</f>
        <v>5.8453745748678001</v>
      </c>
      <c r="H1266" s="367">
        <f>+Baseline_NaturalGas!I27</f>
        <v>6.0672099673130804</v>
      </c>
      <c r="I1266" s="367">
        <f>+Baseline_NaturalGas!J27</f>
        <v>6.39755565092754</v>
      </c>
      <c r="J1266" s="367">
        <f>+Baseline_NaturalGas!K27</f>
        <v>6.39755565092754</v>
      </c>
      <c r="K1266" s="367">
        <f>+Baseline_NaturalGas!L27</f>
        <v>6.39755565092754</v>
      </c>
      <c r="L1266" s="367">
        <f>+Baseline_NaturalGas!M27</f>
        <v>6.39755565092754</v>
      </c>
      <c r="M1266" s="367">
        <f>+Baseline_NaturalGas!N27</f>
        <v>6.39755565092754</v>
      </c>
      <c r="N1266" s="367">
        <f>+Baseline_NaturalGas!O27</f>
        <v>6.39755565092754</v>
      </c>
      <c r="O1266" s="367">
        <f>+Baseline_NaturalGas!P27</f>
        <v>6.39755565092754</v>
      </c>
      <c r="P1266" s="367">
        <f>+Baseline_NaturalGas!Q27</f>
        <v>6.39755565092754</v>
      </c>
      <c r="Q1266" s="367">
        <f>+Baseline_NaturalGas!R27</f>
        <v>6.39755565092754</v>
      </c>
    </row>
    <row r="1267" spans="1:17" ht="14.4">
      <c r="A1267" s="370"/>
      <c r="B1267" s="379"/>
      <c r="C1267" s="379"/>
      <c r="D1267" s="379"/>
      <c r="E1267" s="379"/>
      <c r="F1267" s="379"/>
      <c r="G1267" s="379"/>
      <c r="H1267" s="379"/>
      <c r="I1267" s="379"/>
      <c r="J1267" s="379"/>
      <c r="K1267" s="379"/>
      <c r="L1267" s="379"/>
      <c r="M1267" s="379"/>
      <c r="N1267" s="379"/>
      <c r="O1267" s="379"/>
      <c r="P1267" s="379"/>
      <c r="Q1267" s="379"/>
    </row>
    <row r="1268" spans="1:17" ht="14.4">
      <c r="A1268" s="366" t="s">
        <v>102</v>
      </c>
      <c r="B1268" s="378">
        <f t="shared" ref="B1268" si="345">+SUM(C1268:Q1268)</f>
        <v>160358.02702356796</v>
      </c>
      <c r="C1268" s="375">
        <f>+C1265*C1266/1000</f>
        <v>9769.3177670325604</v>
      </c>
      <c r="D1268" s="375">
        <f t="shared" ref="D1268:Q1268" si="346">+D1265*D1266/1000</f>
        <v>9588.8897681369654</v>
      </c>
      <c r="E1268" s="375">
        <f t="shared" si="346"/>
        <v>9786.6170382330711</v>
      </c>
      <c r="F1268" s="375">
        <f t="shared" si="346"/>
        <v>10173.339661298274</v>
      </c>
      <c r="G1268" s="375">
        <f t="shared" si="346"/>
        <v>10181.571106553778</v>
      </c>
      <c r="H1268" s="375">
        <f t="shared" si="346"/>
        <v>10567.967699826495</v>
      </c>
      <c r="I1268" s="375">
        <f t="shared" si="346"/>
        <v>11143.36933138743</v>
      </c>
      <c r="J1268" s="375">
        <f t="shared" si="346"/>
        <v>11143.36933138743</v>
      </c>
      <c r="K1268" s="375">
        <f t="shared" si="346"/>
        <v>11143.36933138743</v>
      </c>
      <c r="L1268" s="375">
        <f t="shared" si="346"/>
        <v>11143.36933138743</v>
      </c>
      <c r="M1268" s="375">
        <f t="shared" si="346"/>
        <v>11143.36933138743</v>
      </c>
      <c r="N1268" s="375">
        <f t="shared" si="346"/>
        <v>11143.36933138743</v>
      </c>
      <c r="O1268" s="375">
        <f t="shared" si="346"/>
        <v>11143.36933138743</v>
      </c>
      <c r="P1268" s="375">
        <f t="shared" si="346"/>
        <v>11143.36933138743</v>
      </c>
      <c r="Q1268" s="375">
        <f t="shared" si="346"/>
        <v>11143.36933138743</v>
      </c>
    </row>
    <row r="1269" spans="1:17" ht="14.4">
      <c r="A1269" s="370"/>
      <c r="B1269" s="373"/>
      <c r="C1269" s="373"/>
      <c r="D1269" s="373"/>
      <c r="E1269" s="373"/>
      <c r="F1269" s="373"/>
      <c r="G1269" s="373"/>
      <c r="H1269" s="373"/>
      <c r="I1269" s="373"/>
      <c r="J1269" s="373"/>
      <c r="K1269" s="373"/>
      <c r="L1269" s="373"/>
      <c r="M1269" s="373"/>
      <c r="N1269" s="373"/>
      <c r="O1269" s="373"/>
      <c r="P1269" s="373"/>
      <c r="Q1269" s="373"/>
    </row>
    <row r="1270" spans="1:17" ht="14.4">
      <c r="A1270" s="370"/>
      <c r="B1270" s="379"/>
      <c r="C1270" s="379"/>
      <c r="D1270" s="379"/>
      <c r="E1270" s="379"/>
      <c r="F1270" s="379"/>
      <c r="G1270" s="379"/>
      <c r="H1270" s="379"/>
      <c r="I1270" s="379"/>
      <c r="J1270" s="379"/>
      <c r="K1270" s="379"/>
      <c r="L1270" s="379"/>
      <c r="M1270" s="379"/>
      <c r="N1270" s="379"/>
      <c r="O1270" s="379"/>
      <c r="P1270" s="379"/>
      <c r="Q1270" s="379"/>
    </row>
    <row r="1271" spans="1:17" ht="14.4">
      <c r="A1271" s="366" t="s">
        <v>101</v>
      </c>
      <c r="B1271" s="373"/>
      <c r="C1271" s="375">
        <f>+C1268+C1259</f>
        <v>10727.338794532559</v>
      </c>
      <c r="D1271" s="375">
        <f t="shared" ref="D1271:Q1271" si="347">+D1268+D1259</f>
        <v>10572.585759173966</v>
      </c>
      <c r="E1271" s="375">
        <f t="shared" si="347"/>
        <v>10796.676081829863</v>
      </c>
      <c r="F1271" s="375">
        <f t="shared" si="347"/>
        <v>11210.46828726346</v>
      </c>
      <c r="G1271" s="375">
        <f t="shared" si="347"/>
        <v>11246.494779694831</v>
      </c>
      <c r="H1271" s="375">
        <f t="shared" si="347"/>
        <v>11661.431327407727</v>
      </c>
      <c r="I1271" s="375">
        <f t="shared" si="347"/>
        <v>12266.13778418784</v>
      </c>
      <c r="J1271" s="375">
        <f t="shared" si="347"/>
        <v>12296.227978722891</v>
      </c>
      <c r="K1271" s="375">
        <f t="shared" si="347"/>
        <v>12327.124590471481</v>
      </c>
      <c r="L1271" s="375">
        <f t="shared" si="347"/>
        <v>12358.849231414933</v>
      </c>
      <c r="M1271" s="375">
        <f t="shared" si="347"/>
        <v>12391.42409273567</v>
      </c>
      <c r="N1271" s="375">
        <f t="shared" si="347"/>
        <v>12424.871960339802</v>
      </c>
      <c r="O1271" s="375">
        <f t="shared" si="347"/>
        <v>12459.216230795726</v>
      </c>
      <c r="P1271" s="375">
        <f t="shared" si="347"/>
        <v>12494.480927699869</v>
      </c>
      <c r="Q1271" s="375">
        <f t="shared" si="347"/>
        <v>12530.690718481042</v>
      </c>
    </row>
    <row r="1272" spans="1:17" ht="14.4">
      <c r="A1272" s="370"/>
      <c r="B1272" s="379"/>
      <c r="C1272" s="379"/>
      <c r="D1272" s="379"/>
      <c r="E1272" s="379"/>
      <c r="F1272" s="379"/>
      <c r="G1272" s="379"/>
      <c r="H1272" s="379"/>
      <c r="I1272" s="379"/>
      <c r="J1272" s="379"/>
      <c r="K1272" s="379"/>
      <c r="L1272" s="379"/>
      <c r="M1272" s="379"/>
      <c r="N1272" s="379"/>
      <c r="O1272" s="379"/>
      <c r="P1272" s="379"/>
      <c r="Q1272" s="379"/>
    </row>
    <row r="1273" spans="1:17" ht="14.4">
      <c r="A1273" s="366" t="s">
        <v>73</v>
      </c>
      <c r="B1273" s="378">
        <f>+SUM(C1273:Q1273)</f>
        <v>11487.524395535713</v>
      </c>
      <c r="C1273" s="367">
        <f>+Baseline_NaturalGas!$D$5/'Initial Data'!$C$19</f>
        <v>1148.7524395535715</v>
      </c>
      <c r="D1273" s="367">
        <f>+Baseline_NaturalGas!$D$5/'Initial Data'!$C$19</f>
        <v>1148.7524395535715</v>
      </c>
      <c r="E1273" s="367">
        <f>+Baseline_NaturalGas!$D$5/'Initial Data'!$C$19</f>
        <v>1148.7524395535715</v>
      </c>
      <c r="F1273" s="367">
        <f>+Baseline_NaturalGas!$D$5/'Initial Data'!$C$19</f>
        <v>1148.7524395535715</v>
      </c>
      <c r="G1273" s="367">
        <f>+Baseline_NaturalGas!$D$5/'Initial Data'!$C$19</f>
        <v>1148.7524395535715</v>
      </c>
      <c r="H1273" s="367">
        <f>+Baseline_NaturalGas!$D$5/'Initial Data'!$C$19</f>
        <v>1148.7524395535715</v>
      </c>
      <c r="I1273" s="367">
        <f>+Baseline_NaturalGas!$D$5/'Initial Data'!$C$19</f>
        <v>1148.7524395535715</v>
      </c>
      <c r="J1273" s="367">
        <f>+Baseline_NaturalGas!$D$5/'Initial Data'!$C$19</f>
        <v>1148.7524395535715</v>
      </c>
      <c r="K1273" s="367">
        <f>+Baseline_NaturalGas!$D$5/'Initial Data'!$C$19</f>
        <v>1148.7524395535715</v>
      </c>
      <c r="L1273" s="367">
        <f>+Baseline_NaturalGas!$D$5/'Initial Data'!$C$19</f>
        <v>1148.7524395535715</v>
      </c>
      <c r="M1273" s="367">
        <v>0</v>
      </c>
      <c r="N1273" s="367">
        <v>0</v>
      </c>
      <c r="O1273" s="367">
        <v>0</v>
      </c>
      <c r="P1273" s="367">
        <v>0</v>
      </c>
      <c r="Q1273" s="367">
        <v>0</v>
      </c>
    </row>
    <row r="1274" spans="1:17" ht="14.4">
      <c r="A1274" s="366" t="s">
        <v>74</v>
      </c>
      <c r="B1274" s="378">
        <f>+SUM(C1274:Q1274)</f>
        <v>11487.524395535713</v>
      </c>
      <c r="C1274" s="367">
        <f>SUM(C1273:C1273)</f>
        <v>1148.7524395535715</v>
      </c>
      <c r="D1274" s="367">
        <f t="shared" ref="D1274:Q1274" si="348">SUM(D1273:D1273)</f>
        <v>1148.7524395535715</v>
      </c>
      <c r="E1274" s="367">
        <f t="shared" si="348"/>
        <v>1148.7524395535715</v>
      </c>
      <c r="F1274" s="367">
        <f t="shared" si="348"/>
        <v>1148.7524395535715</v>
      </c>
      <c r="G1274" s="367">
        <f t="shared" si="348"/>
        <v>1148.7524395535715</v>
      </c>
      <c r="H1274" s="367">
        <f t="shared" si="348"/>
        <v>1148.7524395535715</v>
      </c>
      <c r="I1274" s="367">
        <f t="shared" si="348"/>
        <v>1148.7524395535715</v>
      </c>
      <c r="J1274" s="367">
        <f t="shared" si="348"/>
        <v>1148.7524395535715</v>
      </c>
      <c r="K1274" s="367">
        <f t="shared" si="348"/>
        <v>1148.7524395535715</v>
      </c>
      <c r="L1274" s="367">
        <f t="shared" si="348"/>
        <v>1148.7524395535715</v>
      </c>
      <c r="M1274" s="367">
        <f t="shared" si="348"/>
        <v>0</v>
      </c>
      <c r="N1274" s="367">
        <f t="shared" si="348"/>
        <v>0</v>
      </c>
      <c r="O1274" s="367">
        <f t="shared" si="348"/>
        <v>0</v>
      </c>
      <c r="P1274" s="367">
        <f t="shared" si="348"/>
        <v>0</v>
      </c>
      <c r="Q1274" s="367">
        <f t="shared" si="348"/>
        <v>0</v>
      </c>
    </row>
    <row r="1275" spans="1:17" ht="14.4">
      <c r="A1275" s="90"/>
      <c r="B1275" s="388"/>
      <c r="C1275" s="373"/>
      <c r="D1275" s="373"/>
      <c r="E1275" s="373"/>
      <c r="F1275" s="373"/>
      <c r="G1275" s="373"/>
      <c r="H1275" s="373"/>
      <c r="I1275" s="373"/>
      <c r="J1275" s="373"/>
      <c r="K1275" s="373"/>
      <c r="L1275" s="373"/>
      <c r="M1275" s="373"/>
      <c r="N1275" s="373"/>
      <c r="O1275" s="373"/>
      <c r="P1275" s="373"/>
      <c r="Q1275" s="373"/>
    </row>
    <row r="1276" spans="1:17" ht="14.4">
      <c r="A1276" s="366" t="s">
        <v>75</v>
      </c>
      <c r="B1276" s="378">
        <f>+SUM(C1276:Q1276)</f>
        <v>189251.54294028736</v>
      </c>
      <c r="C1276" s="367">
        <f>+C1271+C1274</f>
        <v>11876.09123408613</v>
      </c>
      <c r="D1276" s="367">
        <f t="shared" ref="D1276:Q1276" si="349">+D1271+D1274</f>
        <v>11721.338198727537</v>
      </c>
      <c r="E1276" s="367">
        <f t="shared" si="349"/>
        <v>11945.428521383434</v>
      </c>
      <c r="F1276" s="367">
        <f t="shared" si="349"/>
        <v>12359.220726817031</v>
      </c>
      <c r="G1276" s="367">
        <f t="shared" si="349"/>
        <v>12395.247219248402</v>
      </c>
      <c r="H1276" s="367">
        <f t="shared" si="349"/>
        <v>12810.183766961298</v>
      </c>
      <c r="I1276" s="367">
        <f t="shared" si="349"/>
        <v>13414.890223741411</v>
      </c>
      <c r="J1276" s="367">
        <f t="shared" si="349"/>
        <v>13444.980418276462</v>
      </c>
      <c r="K1276" s="367">
        <f t="shared" si="349"/>
        <v>13475.877030025053</v>
      </c>
      <c r="L1276" s="367">
        <f t="shared" si="349"/>
        <v>13507.601670968505</v>
      </c>
      <c r="M1276" s="367">
        <f t="shared" si="349"/>
        <v>12391.42409273567</v>
      </c>
      <c r="N1276" s="367">
        <f t="shared" si="349"/>
        <v>12424.871960339802</v>
      </c>
      <c r="O1276" s="367">
        <f t="shared" si="349"/>
        <v>12459.216230795726</v>
      </c>
      <c r="P1276" s="367">
        <f t="shared" si="349"/>
        <v>12494.480927699869</v>
      </c>
      <c r="Q1276" s="367">
        <f t="shared" si="349"/>
        <v>12530.690718481042</v>
      </c>
    </row>
    <row r="1277" spans="1:17">
      <c r="A1277" s="74"/>
    </row>
    <row r="1278" spans="1:17" ht="14.4">
      <c r="A1278" s="366" t="s">
        <v>76</v>
      </c>
      <c r="B1278" s="378">
        <f>+SUM(C1278:Q1278)</f>
        <v>1601273.315255112</v>
      </c>
      <c r="C1278" s="367">
        <f>+C1256-C1276</f>
        <v>86673.908765913875</v>
      </c>
      <c r="D1278" s="367">
        <f t="shared" ref="D1278:Q1278" si="350">+D1256-D1276</f>
        <v>89469.801801272464</v>
      </c>
      <c r="E1278" s="367">
        <f t="shared" si="350"/>
        <v>91957.634030616551</v>
      </c>
      <c r="F1278" s="367">
        <f t="shared" si="350"/>
        <v>94328.443901576538</v>
      </c>
      <c r="G1278" s="367">
        <f t="shared" si="350"/>
        <v>97151.646821186107</v>
      </c>
      <c r="H1278" s="367">
        <f t="shared" si="350"/>
        <v>99672.567033756874</v>
      </c>
      <c r="I1278" s="367">
        <f t="shared" si="350"/>
        <v>102082.398298436</v>
      </c>
      <c r="J1278" s="367">
        <f t="shared" si="350"/>
        <v>105147.63543629527</v>
      </c>
      <c r="K1278" s="367">
        <f t="shared" si="350"/>
        <v>108295.02092944922</v>
      </c>
      <c r="L1278" s="367">
        <f t="shared" si="350"/>
        <v>111526.75635381967</v>
      </c>
      <c r="M1278" s="367">
        <f t="shared" si="350"/>
        <v>115993.85472711679</v>
      </c>
      <c r="N1278" s="367">
        <f t="shared" si="350"/>
        <v>119401.1323318847</v>
      </c>
      <c r="O1278" s="367">
        <f t="shared" si="350"/>
        <v>122899.72497646039</v>
      </c>
      <c r="P1278" s="367">
        <f t="shared" si="350"/>
        <v>126492.07990391068</v>
      </c>
      <c r="Q1278" s="367">
        <f t="shared" si="350"/>
        <v>130180.70994341669</v>
      </c>
    </row>
    <row r="1279" spans="1:17" ht="14.4">
      <c r="A1279" s="369"/>
      <c r="B1279" s="373"/>
      <c r="C1279" s="373"/>
      <c r="D1279" s="373"/>
      <c r="E1279" s="373"/>
      <c r="F1279" s="373"/>
      <c r="G1279" s="373"/>
      <c r="H1279" s="373"/>
      <c r="I1279" s="373"/>
      <c r="J1279" s="373"/>
      <c r="K1279" s="373"/>
      <c r="L1279" s="373"/>
      <c r="M1279" s="373"/>
      <c r="N1279" s="373"/>
      <c r="O1279" s="373"/>
      <c r="P1279" s="373"/>
      <c r="Q1279" s="373"/>
    </row>
    <row r="1280" spans="1:17" ht="14.4">
      <c r="A1280" s="366" t="s">
        <v>222</v>
      </c>
      <c r="B1280" s="402">
        <f>+F15</f>
        <v>0.4</v>
      </c>
      <c r="C1280" s="367">
        <f>IF((+$B$1280*C1278)&lt;0,"0",(+$B$1280*C1278))</f>
        <v>34669.56350636555</v>
      </c>
      <c r="D1280" s="367">
        <f t="shared" ref="D1280:Q1280" si="351">IF((+$B$1280*D1278)&lt;0,"0",(+$B$1280*D1278))</f>
        <v>35787.920720508984</v>
      </c>
      <c r="E1280" s="367">
        <f t="shared" si="351"/>
        <v>36783.053612246622</v>
      </c>
      <c r="F1280" s="367">
        <f t="shared" si="351"/>
        <v>37731.377560630615</v>
      </c>
      <c r="G1280" s="367">
        <f t="shared" si="351"/>
        <v>38860.658728474446</v>
      </c>
      <c r="H1280" s="367">
        <f t="shared" si="351"/>
        <v>39869.026813502751</v>
      </c>
      <c r="I1280" s="367">
        <f t="shared" si="351"/>
        <v>40832.959319374408</v>
      </c>
      <c r="J1280" s="367">
        <f t="shared" si="351"/>
        <v>42059.054174518111</v>
      </c>
      <c r="K1280" s="367">
        <f t="shared" si="351"/>
        <v>43318.008371779695</v>
      </c>
      <c r="L1280" s="367">
        <f t="shared" si="351"/>
        <v>44610.702541527869</v>
      </c>
      <c r="M1280" s="367">
        <f t="shared" si="351"/>
        <v>46397.541890846718</v>
      </c>
      <c r="N1280" s="367">
        <f t="shared" si="351"/>
        <v>47760.452932753884</v>
      </c>
      <c r="O1280" s="367">
        <f t="shared" si="351"/>
        <v>49159.889990584161</v>
      </c>
      <c r="P1280" s="367">
        <f t="shared" si="351"/>
        <v>50596.831961564276</v>
      </c>
      <c r="Q1280" s="367">
        <f t="shared" si="351"/>
        <v>52072.283977366678</v>
      </c>
    </row>
    <row r="1281" spans="1:17" ht="14.4">
      <c r="A1281" s="366" t="s">
        <v>77</v>
      </c>
      <c r="B1281" s="378">
        <f>+SUM(C1281:Q1281)</f>
        <v>640509.32610204467</v>
      </c>
      <c r="C1281" s="367">
        <f>SUM(C1280:C1280)</f>
        <v>34669.56350636555</v>
      </c>
      <c r="D1281" s="367">
        <f t="shared" ref="D1281:Q1281" si="352">SUM(D1280:D1280)</f>
        <v>35787.920720508984</v>
      </c>
      <c r="E1281" s="367">
        <f t="shared" si="352"/>
        <v>36783.053612246622</v>
      </c>
      <c r="F1281" s="367">
        <f t="shared" si="352"/>
        <v>37731.377560630615</v>
      </c>
      <c r="G1281" s="367">
        <f t="shared" si="352"/>
        <v>38860.658728474446</v>
      </c>
      <c r="H1281" s="367">
        <f t="shared" si="352"/>
        <v>39869.026813502751</v>
      </c>
      <c r="I1281" s="367">
        <f t="shared" si="352"/>
        <v>40832.959319374408</v>
      </c>
      <c r="J1281" s="367">
        <f t="shared" si="352"/>
        <v>42059.054174518111</v>
      </c>
      <c r="K1281" s="367">
        <f t="shared" si="352"/>
        <v>43318.008371779695</v>
      </c>
      <c r="L1281" s="367">
        <f t="shared" si="352"/>
        <v>44610.702541527869</v>
      </c>
      <c r="M1281" s="367">
        <f t="shared" si="352"/>
        <v>46397.541890846718</v>
      </c>
      <c r="N1281" s="367">
        <f t="shared" si="352"/>
        <v>47760.452932753884</v>
      </c>
      <c r="O1281" s="367">
        <f t="shared" si="352"/>
        <v>49159.889990584161</v>
      </c>
      <c r="P1281" s="367">
        <f t="shared" si="352"/>
        <v>50596.831961564276</v>
      </c>
      <c r="Q1281" s="367">
        <f t="shared" si="352"/>
        <v>52072.283977366678</v>
      </c>
    </row>
    <row r="1282" spans="1:17" ht="14.4">
      <c r="A1282" s="369"/>
      <c r="B1282" s="373"/>
      <c r="C1282" s="373"/>
      <c r="D1282" s="373"/>
      <c r="E1282" s="373"/>
      <c r="F1282" s="373"/>
      <c r="G1282" s="373"/>
      <c r="H1282" s="373"/>
      <c r="I1282" s="373"/>
      <c r="J1282" s="373"/>
      <c r="K1282" s="373"/>
      <c r="L1282" s="373"/>
      <c r="M1282" s="373"/>
      <c r="N1282" s="373"/>
      <c r="O1282" s="373"/>
      <c r="P1282" s="373"/>
      <c r="Q1282" s="373"/>
    </row>
    <row r="1283" spans="1:17" ht="14.4">
      <c r="A1283" s="366" t="s">
        <v>78</v>
      </c>
      <c r="B1283" s="378">
        <f>+SUM(C1283:Q1283)</f>
        <v>960763.98915306712</v>
      </c>
      <c r="C1283" s="367">
        <f>+C1278-C1281</f>
        <v>52004.345259548325</v>
      </c>
      <c r="D1283" s="367">
        <f t="shared" ref="D1283:Q1283" si="353">+D1278-D1281</f>
        <v>53681.88108076348</v>
      </c>
      <c r="E1283" s="367">
        <f t="shared" si="353"/>
        <v>55174.580418369929</v>
      </c>
      <c r="F1283" s="367">
        <f t="shared" si="353"/>
        <v>56597.066340945923</v>
      </c>
      <c r="G1283" s="367">
        <f t="shared" si="353"/>
        <v>58290.988092711661</v>
      </c>
      <c r="H1283" s="367">
        <f t="shared" si="353"/>
        <v>59803.540220254123</v>
      </c>
      <c r="I1283" s="367">
        <f t="shared" si="353"/>
        <v>61249.438979061597</v>
      </c>
      <c r="J1283" s="367">
        <f t="shared" si="353"/>
        <v>63088.581261777159</v>
      </c>
      <c r="K1283" s="367">
        <f t="shared" si="353"/>
        <v>64977.012557669528</v>
      </c>
      <c r="L1283" s="367">
        <f t="shared" si="353"/>
        <v>66916.053812291793</v>
      </c>
      <c r="M1283" s="367">
        <f t="shared" si="353"/>
        <v>69596.312836270081</v>
      </c>
      <c r="N1283" s="367">
        <f t="shared" si="353"/>
        <v>71640.679399130808</v>
      </c>
      <c r="O1283" s="367">
        <f t="shared" si="353"/>
        <v>73739.834985876223</v>
      </c>
      <c r="P1283" s="367">
        <f t="shared" si="353"/>
        <v>75895.24794234641</v>
      </c>
      <c r="Q1283" s="367">
        <f t="shared" si="353"/>
        <v>78108.42596605001</v>
      </c>
    </row>
    <row r="1284" spans="1:17" ht="14.4">
      <c r="A1284" s="395" t="s">
        <v>331</v>
      </c>
      <c r="B1284" s="378">
        <f>+SUM(C1284:Q1284)</f>
        <v>11487.524395535713</v>
      </c>
      <c r="C1284" s="377">
        <f>+C1273</f>
        <v>1148.7524395535715</v>
      </c>
      <c r="D1284" s="377">
        <f t="shared" ref="D1284:Q1284" si="354">+D1273</f>
        <v>1148.7524395535715</v>
      </c>
      <c r="E1284" s="377">
        <f t="shared" si="354"/>
        <v>1148.7524395535715</v>
      </c>
      <c r="F1284" s="377">
        <f t="shared" si="354"/>
        <v>1148.7524395535715</v>
      </c>
      <c r="G1284" s="377">
        <f t="shared" si="354"/>
        <v>1148.7524395535715</v>
      </c>
      <c r="H1284" s="377">
        <f t="shared" si="354"/>
        <v>1148.7524395535715</v>
      </c>
      <c r="I1284" s="377">
        <f t="shared" si="354"/>
        <v>1148.7524395535715</v>
      </c>
      <c r="J1284" s="377">
        <f t="shared" si="354"/>
        <v>1148.7524395535715</v>
      </c>
      <c r="K1284" s="377">
        <f t="shared" si="354"/>
        <v>1148.7524395535715</v>
      </c>
      <c r="L1284" s="377">
        <f t="shared" si="354"/>
        <v>1148.7524395535715</v>
      </c>
      <c r="M1284" s="377">
        <f t="shared" si="354"/>
        <v>0</v>
      </c>
      <c r="N1284" s="377">
        <f t="shared" si="354"/>
        <v>0</v>
      </c>
      <c r="O1284" s="377">
        <f t="shared" si="354"/>
        <v>0</v>
      </c>
      <c r="P1284" s="377">
        <f t="shared" si="354"/>
        <v>0</v>
      </c>
      <c r="Q1284" s="377">
        <f t="shared" si="354"/>
        <v>0</v>
      </c>
    </row>
    <row r="1285" spans="1:17" ht="14.4">
      <c r="A1285" s="395" t="s">
        <v>332</v>
      </c>
      <c r="B1285" s="378">
        <f>+Baseline_NaturalGas!C1218</f>
        <v>0</v>
      </c>
      <c r="C1285" s="367">
        <f>+Baseline_NaturalGas!D1218</f>
        <v>0</v>
      </c>
      <c r="D1285" s="367">
        <f>+Baseline_NaturalGas!E1218</f>
        <v>0</v>
      </c>
      <c r="E1285" s="367">
        <f>+Baseline_NaturalGas!F1218</f>
        <v>0</v>
      </c>
      <c r="F1285" s="367">
        <f>+Baseline_NaturalGas!G1218</f>
        <v>0</v>
      </c>
      <c r="G1285" s="367">
        <f>+Baseline_NaturalGas!H1218</f>
        <v>0</v>
      </c>
      <c r="H1285" s="367">
        <f>+Baseline_NaturalGas!I1218</f>
        <v>0</v>
      </c>
      <c r="I1285" s="367">
        <f>+Baseline_NaturalGas!J1218</f>
        <v>0</v>
      </c>
      <c r="J1285" s="367">
        <f>+Baseline_NaturalGas!K1218</f>
        <v>0</v>
      </c>
      <c r="K1285" s="367">
        <f>+Baseline_NaturalGas!L1218</f>
        <v>0</v>
      </c>
      <c r="L1285" s="367">
        <f>+Baseline_NaturalGas!M1218</f>
        <v>0</v>
      </c>
      <c r="M1285" s="367">
        <f>+Baseline_NaturalGas!N1218</f>
        <v>0</v>
      </c>
      <c r="N1285" s="367">
        <f>+Baseline_NaturalGas!O1218</f>
        <v>0</v>
      </c>
      <c r="O1285" s="367">
        <f>+Baseline_NaturalGas!P1218</f>
        <v>0</v>
      </c>
      <c r="P1285" s="367">
        <f>+Baseline_NaturalGas!Q1218</f>
        <v>0</v>
      </c>
      <c r="Q1285" s="367">
        <f>+Baseline_NaturalGas!R1218</f>
        <v>0</v>
      </c>
    </row>
    <row r="1286" spans="1:17" ht="14.4">
      <c r="A1286" s="376"/>
      <c r="B1286" s="389"/>
      <c r="C1286" s="389"/>
      <c r="D1286" s="389"/>
      <c r="E1286" s="389"/>
      <c r="F1286" s="389"/>
      <c r="G1286" s="389"/>
      <c r="H1286" s="389"/>
      <c r="I1286" s="389"/>
      <c r="J1286" s="389"/>
      <c r="K1286" s="389"/>
      <c r="L1286" s="389"/>
      <c r="M1286" s="389"/>
      <c r="N1286" s="389"/>
      <c r="O1286" s="389"/>
      <c r="P1286" s="389"/>
      <c r="Q1286" s="389"/>
    </row>
    <row r="1287" spans="1:17" ht="14.4">
      <c r="A1287" s="366" t="s">
        <v>110</v>
      </c>
      <c r="B1287" s="378">
        <f>-Baseline_NaturalGas!$D$5</f>
        <v>-11487.524395535715</v>
      </c>
      <c r="C1287" s="367">
        <f>+C1283+C1284+C1285</f>
        <v>53153.097699101898</v>
      </c>
      <c r="D1287" s="367">
        <f t="shared" ref="D1287:Q1287" si="355">+D1283+D1284+D1285</f>
        <v>54830.633520317053</v>
      </c>
      <c r="E1287" s="367">
        <f t="shared" si="355"/>
        <v>56323.332857923502</v>
      </c>
      <c r="F1287" s="367">
        <f t="shared" si="355"/>
        <v>57745.818780499496</v>
      </c>
      <c r="G1287" s="367">
        <f t="shared" si="355"/>
        <v>59439.740532265234</v>
      </c>
      <c r="H1287" s="367">
        <f t="shared" si="355"/>
        <v>60952.292659807696</v>
      </c>
      <c r="I1287" s="367">
        <f t="shared" si="355"/>
        <v>62398.19141861517</v>
      </c>
      <c r="J1287" s="367">
        <f t="shared" si="355"/>
        <v>64237.333701330732</v>
      </c>
      <c r="K1287" s="367">
        <f t="shared" si="355"/>
        <v>66125.764997223101</v>
      </c>
      <c r="L1287" s="367">
        <f t="shared" si="355"/>
        <v>68064.806251845366</v>
      </c>
      <c r="M1287" s="367">
        <f t="shared" si="355"/>
        <v>69596.312836270081</v>
      </c>
      <c r="N1287" s="367">
        <f t="shared" si="355"/>
        <v>71640.679399130808</v>
      </c>
      <c r="O1287" s="367">
        <f t="shared" si="355"/>
        <v>73739.834985876223</v>
      </c>
      <c r="P1287" s="367">
        <f t="shared" si="355"/>
        <v>75895.24794234641</v>
      </c>
      <c r="Q1287" s="367">
        <f t="shared" si="355"/>
        <v>78108.42596605001</v>
      </c>
    </row>
    <row r="1288" spans="1:17" ht="15.6">
      <c r="A1288" s="366" t="s">
        <v>51</v>
      </c>
      <c r="B1288" s="132">
        <f>IRR(B1287:Q1287)</f>
        <v>4.6577534636780156</v>
      </c>
      <c r="C1288" s="390"/>
      <c r="D1288" s="390"/>
      <c r="E1288" s="390"/>
      <c r="F1288" s="390"/>
      <c r="G1288" s="390"/>
      <c r="H1288" s="390"/>
      <c r="I1288" s="390"/>
      <c r="J1288" s="390"/>
      <c r="K1288" s="390"/>
      <c r="L1288" s="390"/>
      <c r="M1288" s="390"/>
      <c r="N1288" s="390"/>
      <c r="O1288" s="390"/>
      <c r="P1288" s="390"/>
      <c r="Q1288" s="390"/>
    </row>
    <row r="1289" spans="1:17" ht="15.6">
      <c r="A1289" s="366" t="s">
        <v>267</v>
      </c>
      <c r="B1289" s="303">
        <f>NPV('Initial Data'!$C$21/100,B1287:Q1287)</f>
        <v>362592.09820361715</v>
      </c>
      <c r="C1289" s="373"/>
      <c r="D1289" s="373"/>
      <c r="E1289" s="373"/>
      <c r="F1289" s="373"/>
      <c r="G1289" s="373"/>
      <c r="H1289" s="373"/>
      <c r="I1289" s="373"/>
      <c r="J1289" s="373"/>
      <c r="K1289" s="373"/>
      <c r="L1289" s="373"/>
      <c r="M1289" s="373"/>
      <c r="N1289" s="373"/>
      <c r="O1289" s="373"/>
      <c r="P1289" s="373"/>
      <c r="Q1289" s="373"/>
    </row>
    <row r="1291" spans="1:17" ht="14.4">
      <c r="A1291" s="417" t="s">
        <v>349</v>
      </c>
      <c r="B1291" s="418"/>
      <c r="C1291" s="418"/>
      <c r="D1291" s="418"/>
      <c r="E1291" s="418"/>
      <c r="F1291" s="418"/>
      <c r="G1291" s="418"/>
      <c r="H1291" s="418"/>
      <c r="I1291" s="418"/>
      <c r="J1291" s="418"/>
      <c r="K1291" s="418"/>
      <c r="L1291" s="418"/>
      <c r="M1291" s="418"/>
      <c r="N1291" s="418"/>
      <c r="O1291" s="418"/>
      <c r="P1291" s="418"/>
      <c r="Q1291" s="418"/>
    </row>
    <row r="1292" spans="1:17" ht="14.4">
      <c r="A1292" s="371" t="s">
        <v>358</v>
      </c>
      <c r="B1292" s="372"/>
      <c r="C1292" s="372"/>
      <c r="D1292" s="372"/>
      <c r="E1292" s="372"/>
      <c r="F1292" s="372"/>
      <c r="G1292" s="372"/>
      <c r="H1292" s="372"/>
      <c r="I1292" s="372"/>
      <c r="J1292" s="372"/>
      <c r="K1292" s="372"/>
      <c r="L1292" s="372"/>
      <c r="M1292" s="372"/>
      <c r="N1292" s="372"/>
      <c r="O1292" s="372"/>
      <c r="P1292" s="372"/>
      <c r="Q1292" s="372"/>
    </row>
    <row r="1293" spans="1:17" ht="27">
      <c r="A1293" s="376"/>
      <c r="B1293" s="304" t="s">
        <v>35</v>
      </c>
      <c r="C1293" s="352" t="s">
        <v>407</v>
      </c>
      <c r="D1293" s="352" t="s">
        <v>408</v>
      </c>
      <c r="E1293" s="352" t="s">
        <v>409</v>
      </c>
      <c r="F1293" s="352" t="s">
        <v>410</v>
      </c>
      <c r="G1293" s="352" t="s">
        <v>411</v>
      </c>
      <c r="H1293" s="352" t="s">
        <v>412</v>
      </c>
      <c r="I1293" s="352" t="s">
        <v>413</v>
      </c>
      <c r="J1293" s="352" t="s">
        <v>414</v>
      </c>
      <c r="K1293" s="352" t="s">
        <v>415</v>
      </c>
      <c r="L1293" s="352" t="s">
        <v>416</v>
      </c>
      <c r="M1293" s="352" t="s">
        <v>417</v>
      </c>
      <c r="N1293" s="352" t="s">
        <v>418</v>
      </c>
      <c r="O1293" s="352" t="s">
        <v>419</v>
      </c>
      <c r="P1293" s="352" t="s">
        <v>420</v>
      </c>
      <c r="Q1293" s="352" t="s">
        <v>421</v>
      </c>
    </row>
    <row r="1294" spans="1:17" ht="14.4">
      <c r="A1294" s="363" t="s">
        <v>290</v>
      </c>
      <c r="B1294" s="365"/>
      <c r="C1294" s="367">
        <f>+Baseline_NaturalGas!D10</f>
        <v>219000</v>
      </c>
      <c r="D1294" s="367">
        <f>+Baseline_NaturalGas!E10</f>
        <v>219000</v>
      </c>
      <c r="E1294" s="367">
        <f>+Baseline_NaturalGas!F10</f>
        <v>219000</v>
      </c>
      <c r="F1294" s="367">
        <f>+Baseline_NaturalGas!G10</f>
        <v>219000</v>
      </c>
      <c r="G1294" s="367">
        <f>+Baseline_NaturalGas!H10</f>
        <v>219000</v>
      </c>
      <c r="H1294" s="367">
        <f>+Baseline_NaturalGas!I10</f>
        <v>219000</v>
      </c>
      <c r="I1294" s="367">
        <f>+Baseline_NaturalGas!J10</f>
        <v>219000</v>
      </c>
      <c r="J1294" s="367">
        <f>+Baseline_NaturalGas!K10</f>
        <v>219000</v>
      </c>
      <c r="K1294" s="367">
        <f>+Baseline_NaturalGas!L10</f>
        <v>219000</v>
      </c>
      <c r="L1294" s="367">
        <f>+Baseline_NaturalGas!M10</f>
        <v>219000</v>
      </c>
      <c r="M1294" s="367">
        <f>+Baseline_NaturalGas!N10</f>
        <v>219000</v>
      </c>
      <c r="N1294" s="367">
        <f>+Baseline_NaturalGas!O10</f>
        <v>219000</v>
      </c>
      <c r="O1294" s="367">
        <f>+Baseline_NaturalGas!P10</f>
        <v>219000</v>
      </c>
      <c r="P1294" s="367">
        <f>+Baseline_NaturalGas!Q10</f>
        <v>219000</v>
      </c>
      <c r="Q1294" s="367">
        <f>+Baseline_NaturalGas!R10</f>
        <v>219000</v>
      </c>
    </row>
    <row r="1295" spans="1:17" ht="14.4">
      <c r="A1295" s="364" t="s">
        <v>291</v>
      </c>
      <c r="B1295" s="365"/>
      <c r="C1295" s="367">
        <f>+Baseline_NaturalGas!D11</f>
        <v>70</v>
      </c>
      <c r="D1295" s="367">
        <f>+Baseline_NaturalGas!E11</f>
        <v>70</v>
      </c>
      <c r="E1295" s="367">
        <f>+Baseline_NaturalGas!F11</f>
        <v>70</v>
      </c>
      <c r="F1295" s="367">
        <f>+Baseline_NaturalGas!G11</f>
        <v>70</v>
      </c>
      <c r="G1295" s="367">
        <f>+Baseline_NaturalGas!H11</f>
        <v>70</v>
      </c>
      <c r="H1295" s="367">
        <f>+Baseline_NaturalGas!I11</f>
        <v>70</v>
      </c>
      <c r="I1295" s="367">
        <f>+Baseline_NaturalGas!J11</f>
        <v>70</v>
      </c>
      <c r="J1295" s="367">
        <f>+Baseline_NaturalGas!K11</f>
        <v>70</v>
      </c>
      <c r="K1295" s="367">
        <f>+Baseline_NaturalGas!L11</f>
        <v>70</v>
      </c>
      <c r="L1295" s="367">
        <f>+Baseline_NaturalGas!M11</f>
        <v>70</v>
      </c>
      <c r="M1295" s="367">
        <f>+Baseline_NaturalGas!N11</f>
        <v>70</v>
      </c>
      <c r="N1295" s="367">
        <f>+Baseline_NaturalGas!O11</f>
        <v>70</v>
      </c>
      <c r="O1295" s="367">
        <f>+Baseline_NaturalGas!P11</f>
        <v>70</v>
      </c>
      <c r="P1295" s="367">
        <f>+Baseline_NaturalGas!Q11</f>
        <v>70</v>
      </c>
      <c r="Q1295" s="367">
        <f>+Baseline_NaturalGas!R11</f>
        <v>70</v>
      </c>
    </row>
    <row r="1296" spans="1:17" ht="14.4">
      <c r="A1296" s="366" t="s">
        <v>292</v>
      </c>
      <c r="B1296" s="365"/>
      <c r="C1296" s="367">
        <f>+Baseline_NaturalGas!D12</f>
        <v>6.4285714285714288</v>
      </c>
      <c r="D1296" s="367">
        <f>+Baseline_NaturalGas!E12</f>
        <v>6.6008571428571425</v>
      </c>
      <c r="E1296" s="367">
        <f>+Baseline_NaturalGas!F12</f>
        <v>6.7777601142857131</v>
      </c>
      <c r="F1296" s="367">
        <f>+Baseline_NaturalGas!G12</f>
        <v>6.9594040853485701</v>
      </c>
      <c r="G1296" s="367">
        <f>+Baseline_NaturalGas!H12</f>
        <v>7.1459161148359112</v>
      </c>
      <c r="H1296" s="367">
        <f>+Baseline_NaturalGas!I12</f>
        <v>7.3374266667135135</v>
      </c>
      <c r="I1296" s="367">
        <f>+Baseline_NaturalGas!J12</f>
        <v>7.5340697013814353</v>
      </c>
      <c r="J1296" s="367">
        <f>+Baseline_NaturalGas!K12</f>
        <v>7.7359827693784569</v>
      </c>
      <c r="K1296" s="367">
        <f>+Baseline_NaturalGas!L12</f>
        <v>7.943307107597799</v>
      </c>
      <c r="L1296" s="367">
        <f>+Baseline_NaturalGas!M12</f>
        <v>8.1561877380814192</v>
      </c>
      <c r="M1296" s="367">
        <f>+Baseline_NaturalGas!N12</f>
        <v>8.3747735694620005</v>
      </c>
      <c r="N1296" s="367">
        <f>+Baseline_NaturalGas!O12</f>
        <v>8.5992175011235812</v>
      </c>
      <c r="O1296" s="367">
        <f>+Baseline_NaturalGas!P12</f>
        <v>8.8296765301536926</v>
      </c>
      <c r="P1296" s="367">
        <f>+Baseline_NaturalGas!Q12</f>
        <v>9.066311861161811</v>
      </c>
      <c r="Q1296" s="367">
        <f>+Baseline_NaturalGas!R12</f>
        <v>9.3092890190409463</v>
      </c>
    </row>
    <row r="1297" spans="1:17" ht="14.4">
      <c r="A1297" s="366" t="s">
        <v>293</v>
      </c>
      <c r="B1297" s="365"/>
      <c r="C1297" s="367">
        <f>+C1295*C1296</f>
        <v>450</v>
      </c>
      <c r="D1297" s="367">
        <f t="shared" ref="D1297:Q1297" si="356">+D1295*D1296</f>
        <v>462.06</v>
      </c>
      <c r="E1297" s="367">
        <f t="shared" si="356"/>
        <v>474.44320799999991</v>
      </c>
      <c r="F1297" s="367">
        <f t="shared" si="356"/>
        <v>487.15828597439992</v>
      </c>
      <c r="G1297" s="367">
        <f t="shared" si="356"/>
        <v>500.21412803851376</v>
      </c>
      <c r="H1297" s="367">
        <f t="shared" si="356"/>
        <v>513.61986666994596</v>
      </c>
      <c r="I1297" s="367">
        <f t="shared" si="356"/>
        <v>527.3848790967005</v>
      </c>
      <c r="J1297" s="367">
        <f t="shared" si="356"/>
        <v>541.51879385649192</v>
      </c>
      <c r="K1297" s="367">
        <f t="shared" si="356"/>
        <v>556.03149753184596</v>
      </c>
      <c r="L1297" s="367">
        <f t="shared" si="356"/>
        <v>570.9331416656994</v>
      </c>
      <c r="M1297" s="367">
        <f t="shared" si="356"/>
        <v>586.23414986234002</v>
      </c>
      <c r="N1297" s="367">
        <f t="shared" si="356"/>
        <v>601.94522507865065</v>
      </c>
      <c r="O1297" s="367">
        <f t="shared" si="356"/>
        <v>618.0773571107585</v>
      </c>
      <c r="P1297" s="367">
        <f t="shared" si="356"/>
        <v>634.64183028132675</v>
      </c>
      <c r="Q1297" s="367">
        <f t="shared" si="356"/>
        <v>651.65023133286627</v>
      </c>
    </row>
    <row r="1298" spans="1:17" ht="14.4">
      <c r="A1298" s="370"/>
      <c r="B1298" s="373"/>
      <c r="C1298" s="373"/>
      <c r="D1298" s="373"/>
      <c r="E1298" s="373"/>
      <c r="F1298" s="373"/>
      <c r="G1298" s="373"/>
      <c r="H1298" s="373"/>
      <c r="I1298" s="373"/>
      <c r="J1298" s="373"/>
      <c r="K1298" s="373"/>
      <c r="L1298" s="373"/>
      <c r="M1298" s="373"/>
      <c r="N1298" s="373"/>
      <c r="O1298" s="373"/>
      <c r="P1298" s="373"/>
      <c r="Q1298" s="373"/>
    </row>
    <row r="1299" spans="1:17" ht="14.4">
      <c r="A1299" s="366" t="s">
        <v>294</v>
      </c>
      <c r="B1299" s="378">
        <f>+SUM(C1299:Q1299)</f>
        <v>1790524.8581953994</v>
      </c>
      <c r="C1299" s="377">
        <f>C1294*C1297/1000*'Initial Data'!$C$34/'Initial Data'!$C$33</f>
        <v>98550</v>
      </c>
      <c r="D1299" s="377">
        <f>D1294*D1297/1000*'Initial Data'!$C$34/'Initial Data'!$C$33</f>
        <v>101191.14</v>
      </c>
      <c r="E1299" s="377">
        <f>E1294*E1297/1000*'Initial Data'!$C$34/'Initial Data'!$C$33</f>
        <v>103903.06255199999</v>
      </c>
      <c r="F1299" s="377">
        <f>F1294*F1297/1000*'Initial Data'!$C$34/'Initial Data'!$C$33</f>
        <v>106687.66462839357</v>
      </c>
      <c r="G1299" s="377">
        <f>G1294*G1297/1000*'Initial Data'!$C$34/'Initial Data'!$C$33</f>
        <v>109546.8940404345</v>
      </c>
      <c r="H1299" s="377">
        <f>H1294*H1297/1000*'Initial Data'!$C$34/'Initial Data'!$C$33</f>
        <v>112482.75080071818</v>
      </c>
      <c r="I1299" s="377">
        <f>I1294*I1297/1000*'Initial Data'!$C$34/'Initial Data'!$C$33</f>
        <v>115497.28852217742</v>
      </c>
      <c r="J1299" s="377">
        <f>J1294*J1297/1000*'Initial Data'!$C$34/'Initial Data'!$C$33</f>
        <v>118592.61585457173</v>
      </c>
      <c r="K1299" s="377">
        <f>K1294*K1297/1000*'Initial Data'!$C$34/'Initial Data'!$C$33</f>
        <v>121770.89795947427</v>
      </c>
      <c r="L1299" s="377">
        <f>L1294*L1297/1000*'Initial Data'!$C$34/'Initial Data'!$C$33</f>
        <v>125034.35802478818</v>
      </c>
      <c r="M1299" s="377">
        <f>M1294*M1297/1000*'Initial Data'!$C$34/'Initial Data'!$C$33</f>
        <v>128385.27881985246</v>
      </c>
      <c r="N1299" s="377">
        <f>N1294*N1297/1000*'Initial Data'!$C$34/'Initial Data'!$C$33</f>
        <v>131826.0042922245</v>
      </c>
      <c r="O1299" s="377">
        <f>O1294*O1297/1000*'Initial Data'!$C$34/'Initial Data'!$C$33</f>
        <v>135358.94120725611</v>
      </c>
      <c r="P1299" s="377">
        <f>P1294*P1297/1000*'Initial Data'!$C$34/'Initial Data'!$C$33</f>
        <v>138986.56083161055</v>
      </c>
      <c r="Q1299" s="377">
        <f>Q1294*Q1297/1000*'Initial Data'!$C$34/'Initial Data'!$C$33</f>
        <v>142711.40066189773</v>
      </c>
    </row>
    <row r="1300" spans="1:17" ht="14.4">
      <c r="A1300" s="370"/>
      <c r="B1300" s="373"/>
      <c r="C1300" s="373"/>
      <c r="D1300" s="373"/>
      <c r="E1300" s="373"/>
      <c r="F1300" s="373"/>
      <c r="G1300" s="373"/>
      <c r="H1300" s="373"/>
      <c r="I1300" s="373"/>
      <c r="J1300" s="373"/>
      <c r="K1300" s="373"/>
      <c r="L1300" s="373"/>
      <c r="M1300" s="373"/>
      <c r="N1300" s="373"/>
      <c r="O1300" s="373"/>
      <c r="P1300" s="373"/>
      <c r="Q1300" s="373"/>
    </row>
    <row r="1301" spans="1:17" ht="14.4">
      <c r="A1301" s="366" t="s">
        <v>295</v>
      </c>
      <c r="B1301" s="378">
        <f>+SUM(C1301:Q1301)</f>
        <v>1790524.8581953994</v>
      </c>
      <c r="C1301" s="367">
        <f>+C1299</f>
        <v>98550</v>
      </c>
      <c r="D1301" s="367">
        <f t="shared" ref="D1301:Q1301" si="357">+D1299</f>
        <v>101191.14</v>
      </c>
      <c r="E1301" s="367">
        <f t="shared" si="357"/>
        <v>103903.06255199999</v>
      </c>
      <c r="F1301" s="367">
        <f t="shared" si="357"/>
        <v>106687.66462839357</v>
      </c>
      <c r="G1301" s="367">
        <f t="shared" si="357"/>
        <v>109546.8940404345</v>
      </c>
      <c r="H1301" s="367">
        <f t="shared" si="357"/>
        <v>112482.75080071818</v>
      </c>
      <c r="I1301" s="367">
        <f t="shared" si="357"/>
        <v>115497.28852217742</v>
      </c>
      <c r="J1301" s="367">
        <f t="shared" si="357"/>
        <v>118592.61585457173</v>
      </c>
      <c r="K1301" s="367">
        <f t="shared" si="357"/>
        <v>121770.89795947427</v>
      </c>
      <c r="L1301" s="367">
        <f t="shared" si="357"/>
        <v>125034.35802478818</v>
      </c>
      <c r="M1301" s="367">
        <f t="shared" si="357"/>
        <v>128385.27881985246</v>
      </c>
      <c r="N1301" s="367">
        <f t="shared" si="357"/>
        <v>131826.0042922245</v>
      </c>
      <c r="O1301" s="367">
        <f t="shared" si="357"/>
        <v>135358.94120725611</v>
      </c>
      <c r="P1301" s="367">
        <f t="shared" si="357"/>
        <v>138986.56083161055</v>
      </c>
      <c r="Q1301" s="367">
        <f t="shared" si="357"/>
        <v>142711.40066189773</v>
      </c>
    </row>
    <row r="1302" spans="1:17" ht="14.4">
      <c r="A1302" s="370"/>
      <c r="B1302" s="374"/>
      <c r="C1302" s="374"/>
      <c r="D1302" s="374"/>
      <c r="E1302" s="374"/>
      <c r="F1302" s="374"/>
      <c r="G1302" s="374"/>
      <c r="H1302" s="374"/>
      <c r="I1302" s="374"/>
      <c r="J1302" s="374"/>
      <c r="K1302" s="374"/>
      <c r="L1302" s="374"/>
      <c r="M1302" s="374"/>
      <c r="N1302" s="374"/>
      <c r="O1302" s="374"/>
      <c r="P1302" s="374"/>
      <c r="Q1302" s="374"/>
    </row>
    <row r="1303" spans="1:17" ht="14.4">
      <c r="A1303" s="366" t="s">
        <v>68</v>
      </c>
      <c r="B1303" s="368"/>
      <c r="C1303" s="368"/>
      <c r="D1303" s="368"/>
      <c r="E1303" s="368"/>
      <c r="F1303" s="368"/>
      <c r="G1303" s="368"/>
      <c r="H1303" s="368"/>
      <c r="I1303" s="368"/>
      <c r="J1303" s="368"/>
      <c r="K1303" s="368"/>
      <c r="L1303" s="368"/>
      <c r="M1303" s="368"/>
      <c r="N1303" s="368"/>
      <c r="O1303" s="368"/>
      <c r="P1303" s="368"/>
      <c r="Q1303" s="368"/>
    </row>
    <row r="1304" spans="1:17" ht="14.4">
      <c r="A1304" s="366" t="s">
        <v>330</v>
      </c>
      <c r="B1304" s="378">
        <f>+SUM(C1304:Q1304)</f>
        <v>17405.991521183645</v>
      </c>
      <c r="C1304" s="367">
        <f>+Baseline_NaturalGas!D20</f>
        <v>958.02102749999995</v>
      </c>
      <c r="D1304" s="367">
        <f>+Baseline_NaturalGas!E20</f>
        <v>983.69599103699989</v>
      </c>
      <c r="E1304" s="367">
        <f>+Baseline_NaturalGas!F20</f>
        <v>1010.0590435967914</v>
      </c>
      <c r="F1304" s="367">
        <f>+Baseline_NaturalGas!G20</f>
        <v>1037.1286259651854</v>
      </c>
      <c r="G1304" s="367">
        <f>+Baseline_NaturalGas!H20</f>
        <v>1064.9236731410524</v>
      </c>
      <c r="H1304" s="367">
        <f>+Baseline_NaturalGas!I20</f>
        <v>1093.4636275812325</v>
      </c>
      <c r="I1304" s="367">
        <f>+Baseline_NaturalGas!J20</f>
        <v>1122.7684528004095</v>
      </c>
      <c r="J1304" s="367">
        <f>+Baseline_NaturalGas!K20</f>
        <v>1152.8586473354603</v>
      </c>
      <c r="K1304" s="367">
        <f>+Baseline_NaturalGas!L20</f>
        <v>1183.7552590840505</v>
      </c>
      <c r="L1304" s="367">
        <f>+Baseline_NaturalGas!M20</f>
        <v>1215.4799000275029</v>
      </c>
      <c r="M1304" s="367">
        <f>+Baseline_NaturalGas!N20</f>
        <v>1248.0547613482399</v>
      </c>
      <c r="N1304" s="367">
        <f>+Baseline_NaturalGas!O20</f>
        <v>1281.5026289523728</v>
      </c>
      <c r="O1304" s="367">
        <f>+Baseline_NaturalGas!P20</f>
        <v>1315.8468994082964</v>
      </c>
      <c r="P1304" s="367">
        <f>+Baseline_NaturalGas!Q20</f>
        <v>1351.1115963124387</v>
      </c>
      <c r="Q1304" s="367">
        <f>+Baseline_NaturalGas!R20</f>
        <v>1387.321387093612</v>
      </c>
    </row>
    <row r="1305" spans="1:17" ht="14.4">
      <c r="A1305" s="370"/>
      <c r="B1305" s="369"/>
      <c r="C1305" s="369"/>
      <c r="D1305" s="369"/>
      <c r="E1305" s="369"/>
      <c r="F1305" s="369"/>
      <c r="G1305" s="369"/>
      <c r="H1305" s="369"/>
      <c r="I1305" s="369"/>
      <c r="J1305" s="369"/>
      <c r="K1305" s="369"/>
      <c r="L1305" s="369"/>
      <c r="M1305" s="369"/>
      <c r="N1305" s="369"/>
      <c r="O1305" s="369"/>
      <c r="P1305" s="369"/>
      <c r="Q1305" s="369"/>
    </row>
    <row r="1306" spans="1:17" ht="14.4">
      <c r="A1306" s="366" t="s">
        <v>71</v>
      </c>
      <c r="B1306" s="379"/>
      <c r="C1306" s="379"/>
      <c r="D1306" s="379"/>
      <c r="E1306" s="379"/>
      <c r="F1306" s="379"/>
      <c r="G1306" s="379"/>
      <c r="H1306" s="379"/>
      <c r="I1306" s="379"/>
      <c r="J1306" s="379"/>
      <c r="K1306" s="379"/>
      <c r="L1306" s="379"/>
      <c r="M1306" s="379"/>
      <c r="N1306" s="379"/>
      <c r="O1306" s="379"/>
      <c r="P1306" s="379"/>
      <c r="Q1306" s="379"/>
    </row>
    <row r="1307" spans="1:17" ht="14.4">
      <c r="A1307" s="370"/>
      <c r="B1307" s="379"/>
      <c r="C1307" s="379"/>
      <c r="D1307" s="379"/>
      <c r="E1307" s="379"/>
      <c r="F1307" s="379"/>
      <c r="G1307" s="379"/>
      <c r="H1307" s="379"/>
      <c r="I1307" s="379"/>
      <c r="J1307" s="379"/>
      <c r="K1307" s="379"/>
      <c r="L1307" s="379"/>
      <c r="M1307" s="379"/>
      <c r="N1307" s="379"/>
      <c r="O1307" s="379"/>
      <c r="P1307" s="379"/>
      <c r="Q1307" s="379"/>
    </row>
    <row r="1308" spans="1:17" ht="14.4">
      <c r="A1308" s="366" t="s">
        <v>64</v>
      </c>
      <c r="B1308" s="373"/>
      <c r="C1308" s="367">
        <f>+Baseline_NaturalGas!D24</f>
        <v>1656.5089715892002</v>
      </c>
      <c r="D1308" s="367">
        <f>+Baseline_NaturalGas!E24</f>
        <v>1656.5089715892002</v>
      </c>
      <c r="E1308" s="367">
        <f>+Baseline_NaturalGas!F24</f>
        <v>1656.5089715892002</v>
      </c>
      <c r="F1308" s="367">
        <f>+Baseline_NaturalGas!G24</f>
        <v>1656.5089715892002</v>
      </c>
      <c r="G1308" s="367">
        <f>+Baseline_NaturalGas!H24</f>
        <v>1656.5089715892002</v>
      </c>
      <c r="H1308" s="367">
        <f>+Baseline_NaturalGas!I24</f>
        <v>1656.5089715892002</v>
      </c>
      <c r="I1308" s="367">
        <f>+Baseline_NaturalGas!J24</f>
        <v>1656.5089715892002</v>
      </c>
      <c r="J1308" s="367">
        <f>+Baseline_NaturalGas!K24</f>
        <v>1656.5089715892002</v>
      </c>
      <c r="K1308" s="367">
        <f>+Baseline_NaturalGas!L24</f>
        <v>1656.5089715892002</v>
      </c>
      <c r="L1308" s="367">
        <f>+Baseline_NaturalGas!M24</f>
        <v>1656.5089715892002</v>
      </c>
      <c r="M1308" s="367">
        <f>+Baseline_NaturalGas!N24</f>
        <v>1656.5089715892002</v>
      </c>
      <c r="N1308" s="367">
        <f>+Baseline_NaturalGas!O24</f>
        <v>1656.5089715892002</v>
      </c>
      <c r="O1308" s="367">
        <f>+Baseline_NaturalGas!P24</f>
        <v>1656.5089715892002</v>
      </c>
      <c r="P1308" s="367">
        <f>+Baseline_NaturalGas!Q24</f>
        <v>1656.5089715892002</v>
      </c>
      <c r="Q1308" s="367">
        <f>+Baseline_NaturalGas!R24</f>
        <v>1656.5089715892002</v>
      </c>
    </row>
    <row r="1309" spans="1:17" ht="14.4">
      <c r="A1309" s="366" t="s">
        <v>108</v>
      </c>
      <c r="B1309" s="387">
        <f>+Baseline_NaturalGas!C160</f>
        <v>0</v>
      </c>
      <c r="C1309" s="373"/>
      <c r="D1309" s="373"/>
      <c r="E1309" s="373"/>
      <c r="F1309" s="373"/>
      <c r="G1309" s="373"/>
      <c r="H1309" s="373"/>
      <c r="I1309" s="373"/>
      <c r="J1309" s="373"/>
      <c r="K1309" s="373"/>
      <c r="L1309" s="373"/>
      <c r="M1309" s="373"/>
      <c r="N1309" s="373"/>
      <c r="O1309" s="373"/>
      <c r="P1309" s="373"/>
      <c r="Q1309" s="373"/>
    </row>
    <row r="1310" spans="1:17" ht="14.4">
      <c r="A1310" s="366" t="s">
        <v>345</v>
      </c>
      <c r="B1310" s="373"/>
      <c r="C1310" s="367">
        <f>+Baseline_NaturalGas!D26</f>
        <v>1741816.7092883086</v>
      </c>
      <c r="D1310" s="367">
        <f>+Baseline_NaturalGas!E26</f>
        <v>1741816.7092883086</v>
      </c>
      <c r="E1310" s="367">
        <f>+Baseline_NaturalGas!F26</f>
        <v>1741816.7092883086</v>
      </c>
      <c r="F1310" s="367">
        <f>+Baseline_NaturalGas!G26</f>
        <v>1741816.7092883086</v>
      </c>
      <c r="G1310" s="367">
        <f>+Baseline_NaturalGas!H26</f>
        <v>1741816.7092883086</v>
      </c>
      <c r="H1310" s="367">
        <f>+Baseline_NaturalGas!I26</f>
        <v>1741816.7092883086</v>
      </c>
      <c r="I1310" s="367">
        <f>+Baseline_NaturalGas!J26</f>
        <v>1741816.7092883086</v>
      </c>
      <c r="J1310" s="367">
        <f>+Baseline_NaturalGas!K26</f>
        <v>1741816.7092883086</v>
      </c>
      <c r="K1310" s="367">
        <f>+Baseline_NaturalGas!L26</f>
        <v>1741816.7092883086</v>
      </c>
      <c r="L1310" s="367">
        <f>+Baseline_NaturalGas!M26</f>
        <v>1741816.7092883086</v>
      </c>
      <c r="M1310" s="367">
        <f>+Baseline_NaturalGas!N26</f>
        <v>1741816.7092883086</v>
      </c>
      <c r="N1310" s="367">
        <f>+Baseline_NaturalGas!O26</f>
        <v>1741816.7092883086</v>
      </c>
      <c r="O1310" s="367">
        <f>+Baseline_NaturalGas!P26</f>
        <v>1741816.7092883086</v>
      </c>
      <c r="P1310" s="367">
        <f>+Baseline_NaturalGas!Q26</f>
        <v>1741816.7092883086</v>
      </c>
      <c r="Q1310" s="367">
        <f>+Baseline_NaturalGas!R26</f>
        <v>1741816.7092883086</v>
      </c>
    </row>
    <row r="1311" spans="1:17" ht="14.4">
      <c r="A1311" s="366" t="s">
        <v>66</v>
      </c>
      <c r="B1311" s="373"/>
      <c r="C1311" s="367">
        <f>+Baseline_NaturalGas!D27</f>
        <v>5.6086944825694198</v>
      </c>
      <c r="D1311" s="367">
        <f>+Baseline_NaturalGas!E27</f>
        <v>5.5051083831058802</v>
      </c>
      <c r="E1311" s="367">
        <f>+Baseline_NaturalGas!F27</f>
        <v>5.61862622286578</v>
      </c>
      <c r="F1311" s="367">
        <f>+Baseline_NaturalGas!G27</f>
        <v>5.8406487933251103</v>
      </c>
      <c r="G1311" s="367">
        <f>+Baseline_NaturalGas!H27</f>
        <v>5.8453745748678001</v>
      </c>
      <c r="H1311" s="367">
        <f>+Baseline_NaturalGas!I27</f>
        <v>6.0672099673130804</v>
      </c>
      <c r="I1311" s="367">
        <f>+Baseline_NaturalGas!J27</f>
        <v>6.39755565092754</v>
      </c>
      <c r="J1311" s="367">
        <f>+Baseline_NaturalGas!K27</f>
        <v>6.39755565092754</v>
      </c>
      <c r="K1311" s="367">
        <f>+Baseline_NaturalGas!L27</f>
        <v>6.39755565092754</v>
      </c>
      <c r="L1311" s="367">
        <f>+Baseline_NaturalGas!M27</f>
        <v>6.39755565092754</v>
      </c>
      <c r="M1311" s="367">
        <f>+Baseline_NaturalGas!N27</f>
        <v>6.39755565092754</v>
      </c>
      <c r="N1311" s="367">
        <f>+Baseline_NaturalGas!O27</f>
        <v>6.39755565092754</v>
      </c>
      <c r="O1311" s="367">
        <f>+Baseline_NaturalGas!P27</f>
        <v>6.39755565092754</v>
      </c>
      <c r="P1311" s="367">
        <f>+Baseline_NaturalGas!Q27</f>
        <v>6.39755565092754</v>
      </c>
      <c r="Q1311" s="367">
        <f>+Baseline_NaturalGas!R27</f>
        <v>6.39755565092754</v>
      </c>
    </row>
    <row r="1312" spans="1:17" ht="14.4">
      <c r="A1312" s="370"/>
      <c r="B1312" s="379"/>
      <c r="C1312" s="379"/>
      <c r="D1312" s="379"/>
      <c r="E1312" s="379"/>
      <c r="F1312" s="379"/>
      <c r="G1312" s="379"/>
      <c r="H1312" s="379"/>
      <c r="I1312" s="379"/>
      <c r="J1312" s="379"/>
      <c r="K1312" s="379"/>
      <c r="L1312" s="379"/>
      <c r="M1312" s="379"/>
      <c r="N1312" s="379"/>
      <c r="O1312" s="379"/>
      <c r="P1312" s="379"/>
      <c r="Q1312" s="379"/>
    </row>
    <row r="1313" spans="1:17" ht="14.4">
      <c r="A1313" s="366" t="s">
        <v>102</v>
      </c>
      <c r="B1313" s="378">
        <f t="shared" ref="B1313" si="358">+SUM(C1313:Q1313)</f>
        <v>160358.02702356796</v>
      </c>
      <c r="C1313" s="375">
        <f>+C1310*C1311/1000</f>
        <v>9769.3177670325604</v>
      </c>
      <c r="D1313" s="375">
        <f t="shared" ref="D1313:Q1313" si="359">+D1310*D1311/1000</f>
        <v>9588.8897681369654</v>
      </c>
      <c r="E1313" s="375">
        <f t="shared" si="359"/>
        <v>9786.6170382330711</v>
      </c>
      <c r="F1313" s="375">
        <f t="shared" si="359"/>
        <v>10173.339661298274</v>
      </c>
      <c r="G1313" s="375">
        <f t="shared" si="359"/>
        <v>10181.571106553778</v>
      </c>
      <c r="H1313" s="375">
        <f t="shared" si="359"/>
        <v>10567.967699826495</v>
      </c>
      <c r="I1313" s="375">
        <f t="shared" si="359"/>
        <v>11143.36933138743</v>
      </c>
      <c r="J1313" s="375">
        <f t="shared" si="359"/>
        <v>11143.36933138743</v>
      </c>
      <c r="K1313" s="375">
        <f t="shared" si="359"/>
        <v>11143.36933138743</v>
      </c>
      <c r="L1313" s="375">
        <f t="shared" si="359"/>
        <v>11143.36933138743</v>
      </c>
      <c r="M1313" s="375">
        <f t="shared" si="359"/>
        <v>11143.36933138743</v>
      </c>
      <c r="N1313" s="375">
        <f t="shared" si="359"/>
        <v>11143.36933138743</v>
      </c>
      <c r="O1313" s="375">
        <f t="shared" si="359"/>
        <v>11143.36933138743</v>
      </c>
      <c r="P1313" s="375">
        <f t="shared" si="359"/>
        <v>11143.36933138743</v>
      </c>
      <c r="Q1313" s="375">
        <f t="shared" si="359"/>
        <v>11143.36933138743</v>
      </c>
    </row>
    <row r="1314" spans="1:17" ht="14.4">
      <c r="A1314" s="370"/>
      <c r="B1314" s="373"/>
      <c r="C1314" s="373"/>
      <c r="D1314" s="373"/>
      <c r="E1314" s="373"/>
      <c r="F1314" s="373"/>
      <c r="G1314" s="373"/>
      <c r="H1314" s="373"/>
      <c r="I1314" s="373"/>
      <c r="J1314" s="373"/>
      <c r="K1314" s="373"/>
      <c r="L1314" s="373"/>
      <c r="M1314" s="373"/>
      <c r="N1314" s="373"/>
      <c r="O1314" s="373"/>
      <c r="P1314" s="373"/>
      <c r="Q1314" s="373"/>
    </row>
    <row r="1315" spans="1:17" ht="14.4">
      <c r="A1315" s="370"/>
      <c r="B1315" s="379"/>
      <c r="C1315" s="379"/>
      <c r="D1315" s="379"/>
      <c r="E1315" s="379"/>
      <c r="F1315" s="379"/>
      <c r="G1315" s="379"/>
      <c r="H1315" s="379"/>
      <c r="I1315" s="379"/>
      <c r="J1315" s="379"/>
      <c r="K1315" s="379"/>
      <c r="L1315" s="379"/>
      <c r="M1315" s="379"/>
      <c r="N1315" s="379"/>
      <c r="O1315" s="379"/>
      <c r="P1315" s="379"/>
      <c r="Q1315" s="379"/>
    </row>
    <row r="1316" spans="1:17" ht="14.4">
      <c r="A1316" s="366" t="s">
        <v>101</v>
      </c>
      <c r="B1316" s="373"/>
      <c r="C1316" s="375">
        <f>+C1313+C1304</f>
        <v>10727.338794532559</v>
      </c>
      <c r="D1316" s="375">
        <f t="shared" ref="D1316:Q1316" si="360">+D1313+D1304</f>
        <v>10572.585759173966</v>
      </c>
      <c r="E1316" s="375">
        <f t="shared" si="360"/>
        <v>10796.676081829863</v>
      </c>
      <c r="F1316" s="375">
        <f t="shared" si="360"/>
        <v>11210.46828726346</v>
      </c>
      <c r="G1316" s="375">
        <f t="shared" si="360"/>
        <v>11246.494779694831</v>
      </c>
      <c r="H1316" s="375">
        <f t="shared" si="360"/>
        <v>11661.431327407727</v>
      </c>
      <c r="I1316" s="375">
        <f t="shared" si="360"/>
        <v>12266.13778418784</v>
      </c>
      <c r="J1316" s="375">
        <f t="shared" si="360"/>
        <v>12296.227978722891</v>
      </c>
      <c r="K1316" s="375">
        <f t="shared" si="360"/>
        <v>12327.124590471481</v>
      </c>
      <c r="L1316" s="375">
        <f t="shared" si="360"/>
        <v>12358.849231414933</v>
      </c>
      <c r="M1316" s="375">
        <f t="shared" si="360"/>
        <v>12391.42409273567</v>
      </c>
      <c r="N1316" s="375">
        <f t="shared" si="360"/>
        <v>12424.871960339802</v>
      </c>
      <c r="O1316" s="375">
        <f t="shared" si="360"/>
        <v>12459.216230795726</v>
      </c>
      <c r="P1316" s="375">
        <f t="shared" si="360"/>
        <v>12494.480927699869</v>
      </c>
      <c r="Q1316" s="375">
        <f t="shared" si="360"/>
        <v>12530.690718481042</v>
      </c>
    </row>
    <row r="1317" spans="1:17" ht="14.4">
      <c r="A1317" s="370"/>
      <c r="B1317" s="379"/>
      <c r="C1317" s="379"/>
      <c r="D1317" s="379"/>
      <c r="E1317" s="379"/>
      <c r="F1317" s="379"/>
      <c r="G1317" s="379"/>
      <c r="H1317" s="379"/>
      <c r="I1317" s="379"/>
      <c r="J1317" s="379"/>
      <c r="K1317" s="379"/>
      <c r="L1317" s="379"/>
      <c r="M1317" s="379"/>
      <c r="N1317" s="379"/>
      <c r="O1317" s="379"/>
      <c r="P1317" s="379"/>
      <c r="Q1317" s="379"/>
    </row>
    <row r="1318" spans="1:17" ht="14.4">
      <c r="A1318" s="366" t="s">
        <v>73</v>
      </c>
      <c r="B1318" s="378">
        <f>+SUM(C1318:Q1318)</f>
        <v>11487.524395535713</v>
      </c>
      <c r="C1318" s="367">
        <f>+Baseline_NaturalGas!$D$5/'Initial Data'!$C$19</f>
        <v>1148.7524395535715</v>
      </c>
      <c r="D1318" s="367">
        <f>+Baseline_NaturalGas!$D$5/'Initial Data'!$C$19</f>
        <v>1148.7524395535715</v>
      </c>
      <c r="E1318" s="367">
        <f>+Baseline_NaturalGas!$D$5/'Initial Data'!$C$19</f>
        <v>1148.7524395535715</v>
      </c>
      <c r="F1318" s="367">
        <f>+Baseline_NaturalGas!$D$5/'Initial Data'!$C$19</f>
        <v>1148.7524395535715</v>
      </c>
      <c r="G1318" s="367">
        <f>+Baseline_NaturalGas!$D$5/'Initial Data'!$C$19</f>
        <v>1148.7524395535715</v>
      </c>
      <c r="H1318" s="367">
        <f>+Baseline_NaturalGas!$D$5/'Initial Data'!$C$19</f>
        <v>1148.7524395535715</v>
      </c>
      <c r="I1318" s="367">
        <f>+Baseline_NaturalGas!$D$5/'Initial Data'!$C$19</f>
        <v>1148.7524395535715</v>
      </c>
      <c r="J1318" s="367">
        <f>+Baseline_NaturalGas!$D$5/'Initial Data'!$C$19</f>
        <v>1148.7524395535715</v>
      </c>
      <c r="K1318" s="367">
        <f>+Baseline_NaturalGas!$D$5/'Initial Data'!$C$19</f>
        <v>1148.7524395535715</v>
      </c>
      <c r="L1318" s="367">
        <f>+Baseline_NaturalGas!$D$5/'Initial Data'!$C$19</f>
        <v>1148.7524395535715</v>
      </c>
      <c r="M1318" s="367">
        <v>0</v>
      </c>
      <c r="N1318" s="367">
        <v>0</v>
      </c>
      <c r="O1318" s="367">
        <v>0</v>
      </c>
      <c r="P1318" s="367">
        <v>0</v>
      </c>
      <c r="Q1318" s="367">
        <v>0</v>
      </c>
    </row>
    <row r="1319" spans="1:17" ht="14.4">
      <c r="A1319" s="366" t="s">
        <v>74</v>
      </c>
      <c r="B1319" s="378">
        <f>+SUM(C1319:Q1319)</f>
        <v>11487.524395535713</v>
      </c>
      <c r="C1319" s="367">
        <f>SUM(C1318:C1318)</f>
        <v>1148.7524395535715</v>
      </c>
      <c r="D1319" s="367">
        <f t="shared" ref="D1319:Q1319" si="361">SUM(D1318:D1318)</f>
        <v>1148.7524395535715</v>
      </c>
      <c r="E1319" s="367">
        <f t="shared" si="361"/>
        <v>1148.7524395535715</v>
      </c>
      <c r="F1319" s="367">
        <f t="shared" si="361"/>
        <v>1148.7524395535715</v>
      </c>
      <c r="G1319" s="367">
        <f t="shared" si="361"/>
        <v>1148.7524395535715</v>
      </c>
      <c r="H1319" s="367">
        <f t="shared" si="361"/>
        <v>1148.7524395535715</v>
      </c>
      <c r="I1319" s="367">
        <f t="shared" si="361"/>
        <v>1148.7524395535715</v>
      </c>
      <c r="J1319" s="367">
        <f t="shared" si="361"/>
        <v>1148.7524395535715</v>
      </c>
      <c r="K1319" s="367">
        <f t="shared" si="361"/>
        <v>1148.7524395535715</v>
      </c>
      <c r="L1319" s="367">
        <f t="shared" si="361"/>
        <v>1148.7524395535715</v>
      </c>
      <c r="M1319" s="367">
        <f t="shared" si="361"/>
        <v>0</v>
      </c>
      <c r="N1319" s="367">
        <f t="shared" si="361"/>
        <v>0</v>
      </c>
      <c r="O1319" s="367">
        <f t="shared" si="361"/>
        <v>0</v>
      </c>
      <c r="P1319" s="367">
        <f t="shared" si="361"/>
        <v>0</v>
      </c>
      <c r="Q1319" s="367">
        <f t="shared" si="361"/>
        <v>0</v>
      </c>
    </row>
    <row r="1320" spans="1:17" ht="14.4">
      <c r="A1320" s="90"/>
      <c r="B1320" s="388"/>
      <c r="C1320" s="373"/>
      <c r="D1320" s="373"/>
      <c r="E1320" s="373"/>
      <c r="F1320" s="373"/>
      <c r="G1320" s="373"/>
      <c r="H1320" s="373"/>
      <c r="I1320" s="373"/>
      <c r="J1320" s="373"/>
      <c r="K1320" s="373"/>
      <c r="L1320" s="373"/>
      <c r="M1320" s="373"/>
      <c r="N1320" s="373"/>
      <c r="O1320" s="373"/>
      <c r="P1320" s="373"/>
      <c r="Q1320" s="373"/>
    </row>
    <row r="1321" spans="1:17" ht="14.4">
      <c r="A1321" s="366" t="s">
        <v>75</v>
      </c>
      <c r="B1321" s="378">
        <f>+SUM(C1321:Q1321)</f>
        <v>189251.54294028736</v>
      </c>
      <c r="C1321" s="367">
        <f>+C1316+C1319</f>
        <v>11876.09123408613</v>
      </c>
      <c r="D1321" s="367">
        <f t="shared" ref="D1321:Q1321" si="362">+D1316+D1319</f>
        <v>11721.338198727537</v>
      </c>
      <c r="E1321" s="367">
        <f t="shared" si="362"/>
        <v>11945.428521383434</v>
      </c>
      <c r="F1321" s="367">
        <f t="shared" si="362"/>
        <v>12359.220726817031</v>
      </c>
      <c r="G1321" s="367">
        <f t="shared" si="362"/>
        <v>12395.247219248402</v>
      </c>
      <c r="H1321" s="367">
        <f t="shared" si="362"/>
        <v>12810.183766961298</v>
      </c>
      <c r="I1321" s="367">
        <f t="shared" si="362"/>
        <v>13414.890223741411</v>
      </c>
      <c r="J1321" s="367">
        <f t="shared" si="362"/>
        <v>13444.980418276462</v>
      </c>
      <c r="K1321" s="367">
        <f t="shared" si="362"/>
        <v>13475.877030025053</v>
      </c>
      <c r="L1321" s="367">
        <f t="shared" si="362"/>
        <v>13507.601670968505</v>
      </c>
      <c r="M1321" s="367">
        <f t="shared" si="362"/>
        <v>12391.42409273567</v>
      </c>
      <c r="N1321" s="367">
        <f t="shared" si="362"/>
        <v>12424.871960339802</v>
      </c>
      <c r="O1321" s="367">
        <f t="shared" si="362"/>
        <v>12459.216230795726</v>
      </c>
      <c r="P1321" s="367">
        <f t="shared" si="362"/>
        <v>12494.480927699869</v>
      </c>
      <c r="Q1321" s="367">
        <f t="shared" si="362"/>
        <v>12530.690718481042</v>
      </c>
    </row>
    <row r="1322" spans="1:17">
      <c r="A1322" s="74"/>
    </row>
    <row r="1323" spans="1:17" ht="14.4">
      <c r="A1323" s="366" t="s">
        <v>76</v>
      </c>
      <c r="B1323" s="378">
        <f>+SUM(C1323:Q1323)</f>
        <v>1601273.315255112</v>
      </c>
      <c r="C1323" s="367">
        <f>+C1301-C1321</f>
        <v>86673.908765913875</v>
      </c>
      <c r="D1323" s="367">
        <f t="shared" ref="D1323:Q1323" si="363">+D1301-D1321</f>
        <v>89469.801801272464</v>
      </c>
      <c r="E1323" s="367">
        <f t="shared" si="363"/>
        <v>91957.634030616551</v>
      </c>
      <c r="F1323" s="367">
        <f t="shared" si="363"/>
        <v>94328.443901576538</v>
      </c>
      <c r="G1323" s="367">
        <f t="shared" si="363"/>
        <v>97151.646821186107</v>
      </c>
      <c r="H1323" s="367">
        <f t="shared" si="363"/>
        <v>99672.567033756874</v>
      </c>
      <c r="I1323" s="367">
        <f t="shared" si="363"/>
        <v>102082.398298436</v>
      </c>
      <c r="J1323" s="367">
        <f t="shared" si="363"/>
        <v>105147.63543629527</v>
      </c>
      <c r="K1323" s="367">
        <f t="shared" si="363"/>
        <v>108295.02092944922</v>
      </c>
      <c r="L1323" s="367">
        <f t="shared" si="363"/>
        <v>111526.75635381967</v>
      </c>
      <c r="M1323" s="367">
        <f t="shared" si="363"/>
        <v>115993.85472711679</v>
      </c>
      <c r="N1323" s="367">
        <f t="shared" si="363"/>
        <v>119401.1323318847</v>
      </c>
      <c r="O1323" s="367">
        <f t="shared" si="363"/>
        <v>122899.72497646039</v>
      </c>
      <c r="P1323" s="367">
        <f t="shared" si="363"/>
        <v>126492.07990391068</v>
      </c>
      <c r="Q1323" s="367">
        <f t="shared" si="363"/>
        <v>130180.70994341669</v>
      </c>
    </row>
    <row r="1324" spans="1:17" ht="14.4">
      <c r="A1324" s="369"/>
      <c r="B1324" s="373"/>
      <c r="C1324" s="373"/>
      <c r="D1324" s="373"/>
      <c r="E1324" s="373"/>
      <c r="F1324" s="373"/>
      <c r="G1324" s="373"/>
      <c r="H1324" s="373"/>
      <c r="I1324" s="373"/>
      <c r="J1324" s="373"/>
      <c r="K1324" s="373"/>
      <c r="L1324" s="373"/>
      <c r="M1324" s="373"/>
      <c r="N1324" s="373"/>
      <c r="O1324" s="373"/>
      <c r="P1324" s="373"/>
      <c r="Q1324" s="373"/>
    </row>
    <row r="1325" spans="1:17" ht="14.4">
      <c r="A1325" s="366" t="s">
        <v>222</v>
      </c>
      <c r="B1325" s="402">
        <f>+G15</f>
        <v>0.3</v>
      </c>
      <c r="C1325" s="367">
        <f>IF((+$B$1325*C1323)&lt;0,"0",(+$B$1325*C1323))</f>
        <v>26002.172629774162</v>
      </c>
      <c r="D1325" s="367">
        <f t="shared" ref="D1325:Q1325" si="364">IF((+$B$1325*D1323)&lt;0,"0",(+$B$1325*D1323))</f>
        <v>26840.94054038174</v>
      </c>
      <c r="E1325" s="367">
        <f t="shared" si="364"/>
        <v>27587.290209184965</v>
      </c>
      <c r="F1325" s="367">
        <f t="shared" si="364"/>
        <v>28298.533170472962</v>
      </c>
      <c r="G1325" s="367">
        <f t="shared" si="364"/>
        <v>29145.494046355831</v>
      </c>
      <c r="H1325" s="367">
        <f t="shared" si="364"/>
        <v>29901.770110127061</v>
      </c>
      <c r="I1325" s="367">
        <f t="shared" si="364"/>
        <v>30624.719489530798</v>
      </c>
      <c r="J1325" s="367">
        <f t="shared" si="364"/>
        <v>31544.290630888579</v>
      </c>
      <c r="K1325" s="367">
        <f t="shared" si="364"/>
        <v>32488.506278834764</v>
      </c>
      <c r="L1325" s="367">
        <f t="shared" si="364"/>
        <v>33458.026906145897</v>
      </c>
      <c r="M1325" s="367">
        <f t="shared" si="364"/>
        <v>34798.156418135033</v>
      </c>
      <c r="N1325" s="367">
        <f t="shared" si="364"/>
        <v>35820.339699565411</v>
      </c>
      <c r="O1325" s="367">
        <f t="shared" si="364"/>
        <v>36869.917492938119</v>
      </c>
      <c r="P1325" s="367">
        <f t="shared" si="364"/>
        <v>37947.623971173205</v>
      </c>
      <c r="Q1325" s="367">
        <f t="shared" si="364"/>
        <v>39054.212983025005</v>
      </c>
    </row>
    <row r="1326" spans="1:17" ht="14.4">
      <c r="A1326" s="366" t="s">
        <v>77</v>
      </c>
      <c r="B1326" s="378">
        <f>+SUM(C1326:Q1326)</f>
        <v>480381.99457653356</v>
      </c>
      <c r="C1326" s="367">
        <f>SUM(C1325:C1325)</f>
        <v>26002.172629774162</v>
      </c>
      <c r="D1326" s="367">
        <f t="shared" ref="D1326:Q1326" si="365">SUM(D1325:D1325)</f>
        <v>26840.94054038174</v>
      </c>
      <c r="E1326" s="367">
        <f t="shared" si="365"/>
        <v>27587.290209184965</v>
      </c>
      <c r="F1326" s="367">
        <f t="shared" si="365"/>
        <v>28298.533170472962</v>
      </c>
      <c r="G1326" s="367">
        <f t="shared" si="365"/>
        <v>29145.494046355831</v>
      </c>
      <c r="H1326" s="367">
        <f t="shared" si="365"/>
        <v>29901.770110127061</v>
      </c>
      <c r="I1326" s="367">
        <f t="shared" si="365"/>
        <v>30624.719489530798</v>
      </c>
      <c r="J1326" s="367">
        <f t="shared" si="365"/>
        <v>31544.290630888579</v>
      </c>
      <c r="K1326" s="367">
        <f t="shared" si="365"/>
        <v>32488.506278834764</v>
      </c>
      <c r="L1326" s="367">
        <f t="shared" si="365"/>
        <v>33458.026906145897</v>
      </c>
      <c r="M1326" s="367">
        <f t="shared" si="365"/>
        <v>34798.156418135033</v>
      </c>
      <c r="N1326" s="367">
        <f t="shared" si="365"/>
        <v>35820.339699565411</v>
      </c>
      <c r="O1326" s="367">
        <f t="shared" si="365"/>
        <v>36869.917492938119</v>
      </c>
      <c r="P1326" s="367">
        <f t="shared" si="365"/>
        <v>37947.623971173205</v>
      </c>
      <c r="Q1326" s="367">
        <f t="shared" si="365"/>
        <v>39054.212983025005</v>
      </c>
    </row>
    <row r="1327" spans="1:17" ht="14.4">
      <c r="A1327" s="369"/>
      <c r="B1327" s="373"/>
      <c r="C1327" s="373"/>
      <c r="D1327" s="373"/>
      <c r="E1327" s="373"/>
      <c r="F1327" s="373"/>
      <c r="G1327" s="373"/>
      <c r="H1327" s="373"/>
      <c r="I1327" s="373"/>
      <c r="J1327" s="373"/>
      <c r="K1327" s="373"/>
      <c r="L1327" s="373"/>
      <c r="M1327" s="373"/>
      <c r="N1327" s="373"/>
      <c r="O1327" s="373"/>
      <c r="P1327" s="373"/>
      <c r="Q1327" s="373"/>
    </row>
    <row r="1328" spans="1:17" ht="14.4">
      <c r="A1328" s="366" t="s">
        <v>78</v>
      </c>
      <c r="B1328" s="378">
        <f>+SUM(C1328:Q1328)</f>
        <v>1120891.3206785782</v>
      </c>
      <c r="C1328" s="367">
        <f>+C1323-C1326</f>
        <v>60671.736136139712</v>
      </c>
      <c r="D1328" s="367">
        <f t="shared" ref="D1328:Q1328" si="366">+D1323-D1326</f>
        <v>62628.861260890728</v>
      </c>
      <c r="E1328" s="367">
        <f t="shared" si="366"/>
        <v>64370.343821431583</v>
      </c>
      <c r="F1328" s="367">
        <f t="shared" si="366"/>
        <v>66029.910731103577</v>
      </c>
      <c r="G1328" s="367">
        <f t="shared" si="366"/>
        <v>68006.152774830276</v>
      </c>
      <c r="H1328" s="367">
        <f t="shared" si="366"/>
        <v>69770.796923629809</v>
      </c>
      <c r="I1328" s="367">
        <f t="shared" si="366"/>
        <v>71457.678808905213</v>
      </c>
      <c r="J1328" s="367">
        <f t="shared" si="366"/>
        <v>73603.344805406698</v>
      </c>
      <c r="K1328" s="367">
        <f t="shared" si="366"/>
        <v>75806.514650614467</v>
      </c>
      <c r="L1328" s="367">
        <f t="shared" si="366"/>
        <v>78068.729447673773</v>
      </c>
      <c r="M1328" s="367">
        <f t="shared" si="366"/>
        <v>81195.698308981751</v>
      </c>
      <c r="N1328" s="367">
        <f t="shared" si="366"/>
        <v>83580.792632319295</v>
      </c>
      <c r="O1328" s="367">
        <f t="shared" si="366"/>
        <v>86029.80748352228</v>
      </c>
      <c r="P1328" s="367">
        <f t="shared" si="366"/>
        <v>88544.455932737474</v>
      </c>
      <c r="Q1328" s="367">
        <f t="shared" si="366"/>
        <v>91126.496960391683</v>
      </c>
    </row>
    <row r="1329" spans="1:17" ht="14.4">
      <c r="A1329" s="395" t="s">
        <v>331</v>
      </c>
      <c r="B1329" s="378">
        <f>+SUM(C1329:Q1329)</f>
        <v>11487.524395535713</v>
      </c>
      <c r="C1329" s="377">
        <f>+C1318</f>
        <v>1148.7524395535715</v>
      </c>
      <c r="D1329" s="377">
        <f t="shared" ref="D1329:Q1329" si="367">+D1318</f>
        <v>1148.7524395535715</v>
      </c>
      <c r="E1329" s="377">
        <f t="shared" si="367"/>
        <v>1148.7524395535715</v>
      </c>
      <c r="F1329" s="377">
        <f t="shared" si="367"/>
        <v>1148.7524395535715</v>
      </c>
      <c r="G1329" s="377">
        <f t="shared" si="367"/>
        <v>1148.7524395535715</v>
      </c>
      <c r="H1329" s="377">
        <f t="shared" si="367"/>
        <v>1148.7524395535715</v>
      </c>
      <c r="I1329" s="377">
        <f t="shared" si="367"/>
        <v>1148.7524395535715</v>
      </c>
      <c r="J1329" s="377">
        <f t="shared" si="367"/>
        <v>1148.7524395535715</v>
      </c>
      <c r="K1329" s="377">
        <f t="shared" si="367"/>
        <v>1148.7524395535715</v>
      </c>
      <c r="L1329" s="377">
        <f t="shared" si="367"/>
        <v>1148.7524395535715</v>
      </c>
      <c r="M1329" s="377">
        <f t="shared" si="367"/>
        <v>0</v>
      </c>
      <c r="N1329" s="377">
        <f t="shared" si="367"/>
        <v>0</v>
      </c>
      <c r="O1329" s="377">
        <f t="shared" si="367"/>
        <v>0</v>
      </c>
      <c r="P1329" s="377">
        <f t="shared" si="367"/>
        <v>0</v>
      </c>
      <c r="Q1329" s="377">
        <f t="shared" si="367"/>
        <v>0</v>
      </c>
    </row>
    <row r="1330" spans="1:17" ht="14.4">
      <c r="A1330" s="395" t="s">
        <v>332</v>
      </c>
      <c r="B1330" s="378">
        <f>+Baseline_NaturalGas!C1263</f>
        <v>0</v>
      </c>
      <c r="C1330" s="367">
        <f>+Baseline_NaturalGas!D1263</f>
        <v>0</v>
      </c>
      <c r="D1330" s="367">
        <f>+Baseline_NaturalGas!E1263</f>
        <v>0</v>
      </c>
      <c r="E1330" s="367">
        <f>+Baseline_NaturalGas!F1263</f>
        <v>0</v>
      </c>
      <c r="F1330" s="367">
        <f>+Baseline_NaturalGas!G1263</f>
        <v>0</v>
      </c>
      <c r="G1330" s="367">
        <f>+Baseline_NaturalGas!H1263</f>
        <v>0</v>
      </c>
      <c r="H1330" s="367">
        <f>+Baseline_NaturalGas!I1263</f>
        <v>0</v>
      </c>
      <c r="I1330" s="367">
        <f>+Baseline_NaturalGas!J1263</f>
        <v>0</v>
      </c>
      <c r="J1330" s="367">
        <f>+Baseline_NaturalGas!K1263</f>
        <v>0</v>
      </c>
      <c r="K1330" s="367">
        <f>+Baseline_NaturalGas!L1263</f>
        <v>0</v>
      </c>
      <c r="L1330" s="367">
        <f>+Baseline_NaturalGas!M1263</f>
        <v>0</v>
      </c>
      <c r="M1330" s="367">
        <f>+Baseline_NaturalGas!N1263</f>
        <v>0</v>
      </c>
      <c r="N1330" s="367">
        <f>+Baseline_NaturalGas!O1263</f>
        <v>0</v>
      </c>
      <c r="O1330" s="367">
        <f>+Baseline_NaturalGas!P1263</f>
        <v>0</v>
      </c>
      <c r="P1330" s="367">
        <f>+Baseline_NaturalGas!Q1263</f>
        <v>0</v>
      </c>
      <c r="Q1330" s="367">
        <f>+Baseline_NaturalGas!R1263</f>
        <v>0</v>
      </c>
    </row>
    <row r="1331" spans="1:17" ht="14.4">
      <c r="A1331" s="376"/>
      <c r="B1331" s="389"/>
      <c r="C1331" s="389"/>
      <c r="D1331" s="389"/>
      <c r="E1331" s="389"/>
      <c r="F1331" s="389"/>
      <c r="G1331" s="389"/>
      <c r="H1331" s="389"/>
      <c r="I1331" s="389"/>
      <c r="J1331" s="389"/>
      <c r="K1331" s="389"/>
      <c r="L1331" s="389"/>
      <c r="M1331" s="389"/>
      <c r="N1331" s="389"/>
      <c r="O1331" s="389"/>
      <c r="P1331" s="389"/>
      <c r="Q1331" s="389"/>
    </row>
    <row r="1332" spans="1:17" ht="14.4">
      <c r="A1332" s="366" t="s">
        <v>110</v>
      </c>
      <c r="B1332" s="378">
        <f>-Baseline_NaturalGas!$D$5</f>
        <v>-11487.524395535715</v>
      </c>
      <c r="C1332" s="367">
        <f>+C1328+C1329+C1330</f>
        <v>61820.488575693285</v>
      </c>
      <c r="D1332" s="367">
        <f t="shared" ref="D1332:Q1332" si="368">+D1328+D1329+D1330</f>
        <v>63777.613700444301</v>
      </c>
      <c r="E1332" s="367">
        <f t="shared" si="368"/>
        <v>65519.096260985156</v>
      </c>
      <c r="F1332" s="367">
        <f t="shared" si="368"/>
        <v>67178.66317065715</v>
      </c>
      <c r="G1332" s="367">
        <f t="shared" si="368"/>
        <v>69154.905214383849</v>
      </c>
      <c r="H1332" s="367">
        <f t="shared" si="368"/>
        <v>70919.549363183382</v>
      </c>
      <c r="I1332" s="367">
        <f t="shared" si="368"/>
        <v>72606.431248458786</v>
      </c>
      <c r="J1332" s="367">
        <f t="shared" si="368"/>
        <v>74752.09724496027</v>
      </c>
      <c r="K1332" s="367">
        <f t="shared" si="368"/>
        <v>76955.267090168039</v>
      </c>
      <c r="L1332" s="367">
        <f t="shared" si="368"/>
        <v>79217.481887227346</v>
      </c>
      <c r="M1332" s="367">
        <f t="shared" si="368"/>
        <v>81195.698308981751</v>
      </c>
      <c r="N1332" s="367">
        <f t="shared" si="368"/>
        <v>83580.792632319295</v>
      </c>
      <c r="O1332" s="367">
        <f t="shared" si="368"/>
        <v>86029.80748352228</v>
      </c>
      <c r="P1332" s="367">
        <f t="shared" si="368"/>
        <v>88544.455932737474</v>
      </c>
      <c r="Q1332" s="367">
        <f t="shared" si="368"/>
        <v>91126.496960391683</v>
      </c>
    </row>
    <row r="1333" spans="1:17" ht="15.6">
      <c r="A1333" s="366" t="s">
        <v>51</v>
      </c>
      <c r="B1333" s="132">
        <f>IRR(B1332:Q1332)</f>
        <v>5.4124544552220737</v>
      </c>
      <c r="C1333" s="390"/>
      <c r="D1333" s="390"/>
      <c r="E1333" s="390"/>
      <c r="F1333" s="390"/>
      <c r="G1333" s="390"/>
      <c r="H1333" s="390"/>
      <c r="I1333" s="390"/>
      <c r="J1333" s="390"/>
      <c r="K1333" s="390"/>
      <c r="L1333" s="390"/>
      <c r="M1333" s="390"/>
      <c r="N1333" s="390"/>
      <c r="O1333" s="390"/>
      <c r="P1333" s="390"/>
      <c r="Q1333" s="390"/>
    </row>
    <row r="1334" spans="1:17" ht="15.6">
      <c r="A1334" s="366" t="s">
        <v>267</v>
      </c>
      <c r="B1334" s="303">
        <f>NPV('Initial Data'!$C$21/100,B1332:Q1332)</f>
        <v>423767.68851547403</v>
      </c>
    </row>
  </sheetData>
  <mergeCells count="38">
    <mergeCell ref="A116:Q116"/>
    <mergeCell ref="A3:F3"/>
    <mergeCell ref="A4:F4"/>
    <mergeCell ref="A31:Q31"/>
    <mergeCell ref="A71:Q71"/>
    <mergeCell ref="A76:Q76"/>
    <mergeCell ref="A386:Q386"/>
    <mergeCell ref="A121:Q121"/>
    <mergeCell ref="A161:Q161"/>
    <mergeCell ref="A166:Q166"/>
    <mergeCell ref="A206:Q206"/>
    <mergeCell ref="A211:Q211"/>
    <mergeCell ref="A251:Q251"/>
    <mergeCell ref="A256:Q256"/>
    <mergeCell ref="A296:Q296"/>
    <mergeCell ref="A301:Q301"/>
    <mergeCell ref="A341:Q341"/>
    <mergeCell ref="A346:Q346"/>
    <mergeCell ref="A656:Q656"/>
    <mergeCell ref="A391:Q391"/>
    <mergeCell ref="A431:Q431"/>
    <mergeCell ref="A436:Q436"/>
    <mergeCell ref="A476:Q476"/>
    <mergeCell ref="A481:Q481"/>
    <mergeCell ref="A521:Q521"/>
    <mergeCell ref="A526:Q526"/>
    <mergeCell ref="A566:Q566"/>
    <mergeCell ref="A571:Q571"/>
    <mergeCell ref="A611:Q611"/>
    <mergeCell ref="A616:Q616"/>
    <mergeCell ref="A796:Q796"/>
    <mergeCell ref="A836:Q836"/>
    <mergeCell ref="A661:Q661"/>
    <mergeCell ref="A701:Q701"/>
    <mergeCell ref="A706:Q706"/>
    <mergeCell ref="A746:Q746"/>
    <mergeCell ref="A751:Q751"/>
    <mergeCell ref="A791:Q791"/>
  </mergeCells>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dimension ref="A1:Q1190"/>
  <sheetViews>
    <sheetView zoomScale="70" zoomScaleNormal="70" workbookViewId="0">
      <selection activeCell="A2" sqref="A2"/>
    </sheetView>
  </sheetViews>
  <sheetFormatPr baseColWidth="10" defaultColWidth="11.44140625" defaultRowHeight="13.2"/>
  <cols>
    <col min="1" max="1" width="44.109375" style="354" customWidth="1"/>
    <col min="2" max="2" width="20.44140625" style="354" customWidth="1"/>
    <col min="3" max="3" width="15.33203125" style="354" bestFit="1" customWidth="1"/>
    <col min="4" max="5" width="14.44140625" style="354" bestFit="1" customWidth="1"/>
    <col min="6" max="7" width="17.109375" style="354" bestFit="1" customWidth="1"/>
    <col min="8" max="8" width="16.6640625" style="354" bestFit="1" customWidth="1"/>
    <col min="9" max="9" width="17.109375" style="354" bestFit="1" customWidth="1"/>
    <col min="10" max="10" width="16.6640625" style="354" bestFit="1" customWidth="1"/>
    <col min="11" max="15" width="17.109375" style="354" bestFit="1" customWidth="1"/>
    <col min="16" max="17" width="17" style="354" bestFit="1" customWidth="1"/>
    <col min="18" max="16384" width="11.44140625" style="354"/>
  </cols>
  <sheetData>
    <row r="1" spans="1:10">
      <c r="A1" s="355" t="s">
        <v>405</v>
      </c>
    </row>
    <row r="3" spans="1:10" ht="14.4">
      <c r="A3" s="512" t="s">
        <v>405</v>
      </c>
      <c r="B3" s="513"/>
      <c r="C3" s="513"/>
      <c r="D3" s="513"/>
      <c r="E3" s="513"/>
      <c r="F3" s="514"/>
    </row>
    <row r="4" spans="1:10" ht="14.4">
      <c r="A4" s="515"/>
      <c r="B4" s="516"/>
      <c r="C4" s="516"/>
      <c r="D4" s="516"/>
      <c r="E4" s="516"/>
      <c r="F4" s="517"/>
    </row>
    <row r="5" spans="1:10" ht="14.4">
      <c r="A5" s="359" t="s">
        <v>359</v>
      </c>
      <c r="B5" s="403"/>
      <c r="C5" s="403"/>
      <c r="D5" s="403"/>
      <c r="E5" s="403"/>
      <c r="F5" s="403"/>
    </row>
    <row r="6" spans="1:10" ht="14.4">
      <c r="C6" s="403" t="s">
        <v>424</v>
      </c>
      <c r="D6" s="403" t="s">
        <v>406</v>
      </c>
      <c r="F6" s="403"/>
    </row>
    <row r="7" spans="1:10" ht="15.6">
      <c r="A7" s="356"/>
      <c r="B7" s="354" t="s">
        <v>428</v>
      </c>
      <c r="C7" s="131" t="s">
        <v>51</v>
      </c>
      <c r="D7" s="131" t="s">
        <v>51</v>
      </c>
      <c r="E7" s="354" t="s">
        <v>425</v>
      </c>
      <c r="F7" s="403"/>
      <c r="G7" s="358"/>
    </row>
    <row r="8" spans="1:10" ht="15.6">
      <c r="A8" s="359" t="s">
        <v>437</v>
      </c>
      <c r="B8" s="360">
        <v>2.5250246041753419</v>
      </c>
      <c r="C8" s="428">
        <f>B63</f>
        <v>0.74647071318718872</v>
      </c>
      <c r="D8" s="428">
        <f>'WHRS_Project Scenario'!C47</f>
        <v>0.74631049628791313</v>
      </c>
      <c r="E8" s="428">
        <f>('WHRS_Project Scenario'!$C$48-'BreakEven Analysis'!B64)/'WHRS_Project Scenario'!$C$48</f>
        <v>7.2155599556090189E-2</v>
      </c>
      <c r="F8" s="124"/>
    </row>
    <row r="9" spans="1:10" ht="15.6">
      <c r="A9" s="359" t="s">
        <v>438</v>
      </c>
      <c r="B9" s="360">
        <v>65.887124187147421</v>
      </c>
      <c r="C9" s="428">
        <f>B110</f>
        <v>0.74603761144093084</v>
      </c>
      <c r="D9" s="428">
        <f>D8</f>
        <v>0.74631049628791313</v>
      </c>
      <c r="E9" s="428">
        <f>('WHRS_Project Scenario'!$C$48-'BreakEven Analysis'!B111)/'WHRS_Project Scenario'!$C$48</f>
        <v>0.73349840499740071</v>
      </c>
      <c r="G9" s="419" t="s">
        <v>422</v>
      </c>
      <c r="H9" s="354" t="s">
        <v>427</v>
      </c>
    </row>
    <row r="10" spans="1:10" ht="15.6">
      <c r="A10" s="359" t="s">
        <v>375</v>
      </c>
      <c r="B10" s="360">
        <v>6.6463562527602464</v>
      </c>
      <c r="C10" s="428">
        <f>B154</f>
        <v>0.74631093427144513</v>
      </c>
      <c r="D10" s="428">
        <f>D9</f>
        <v>0.74631049628791313</v>
      </c>
      <c r="E10" s="428">
        <f>('WHRS_Project Scenario'!$C$48-'BreakEven Analysis'!B155)/'WHRS_Project Scenario'!$C$48</f>
        <v>0.70106850275699706</v>
      </c>
      <c r="F10" s="403"/>
      <c r="G10" s="354" t="s">
        <v>429</v>
      </c>
      <c r="H10" s="354" t="s">
        <v>423</v>
      </c>
      <c r="I10" s="354" t="s">
        <v>253</v>
      </c>
      <c r="J10" s="354" t="s">
        <v>425</v>
      </c>
    </row>
    <row r="11" spans="1:10" ht="15.6">
      <c r="A11" s="359" t="s">
        <v>370</v>
      </c>
      <c r="B11" s="360">
        <f>(1-13.22%)*-1</f>
        <v>-0.86780000000000002</v>
      </c>
      <c r="C11" s="428">
        <v>0.12081523864456051</v>
      </c>
      <c r="D11" s="428">
        <v>0.12096407338530861</v>
      </c>
      <c r="E11" s="428">
        <v>0.76278138371755211</v>
      </c>
      <c r="F11" s="403"/>
      <c r="G11" s="360">
        <v>1</v>
      </c>
      <c r="H11" s="428">
        <f>Baseline_NaturalGas!$C$51</f>
        <v>2.3930274200338046</v>
      </c>
      <c r="I11" s="428">
        <f>'WHRS_Project Scenario'!$C$47</f>
        <v>0.74631049628791313</v>
      </c>
      <c r="J11" s="428">
        <f>('WHRS_Project Scenario'!$C$48-Baseline_NaturalGas!$C$52)/'WHRS_Project Scenario'!$C$48</f>
        <v>-1.6734902395364928E-2</v>
      </c>
    </row>
    <row r="12" spans="1:10" ht="15.6">
      <c r="A12" s="359" t="s">
        <v>372</v>
      </c>
      <c r="B12" s="360">
        <f>(1-49.38%)*-1</f>
        <v>-0.50619999999999998</v>
      </c>
      <c r="C12" s="428">
        <v>0.13429069604538252</v>
      </c>
      <c r="D12" s="428">
        <v>0.13159269663736539</v>
      </c>
      <c r="E12" s="428">
        <v>0.65206838518534138</v>
      </c>
      <c r="F12" s="403"/>
      <c r="G12" s="360">
        <v>1</v>
      </c>
      <c r="H12" s="428">
        <f>Baseline_NaturalGas!$C$51</f>
        <v>2.3930274200338046</v>
      </c>
      <c r="I12" s="428">
        <f>'WHRS_Project Scenario'!$C$47</f>
        <v>0.74631049628791313</v>
      </c>
      <c r="J12" s="428">
        <f>('WHRS_Project Scenario'!$C$48-Baseline_NaturalGas!$C$52)/'WHRS_Project Scenario'!$C$48</f>
        <v>-1.6734902395364928E-2</v>
      </c>
    </row>
    <row r="13" spans="1:10" ht="15.6">
      <c r="A13" s="359" t="s">
        <v>373</v>
      </c>
      <c r="B13" s="360">
        <f>(1-13.23%)*-1</f>
        <v>-0.86770000000000003</v>
      </c>
      <c r="C13" s="428">
        <v>0.12118310743333049</v>
      </c>
      <c r="D13" s="428">
        <v>0.12106547839293409</v>
      </c>
      <c r="E13" s="428">
        <v>0.68839510577557772</v>
      </c>
      <c r="F13" s="403"/>
      <c r="G13" s="360">
        <v>1</v>
      </c>
      <c r="H13" s="428">
        <f>Baseline_NaturalGas!$C$51</f>
        <v>2.3930274200338046</v>
      </c>
      <c r="I13" s="428">
        <f>'WHRS_Project Scenario'!$C$47</f>
        <v>0.74631049628791313</v>
      </c>
      <c r="J13" s="428">
        <f>('WHRS_Project Scenario'!$C$48-Baseline_NaturalGas!$C$52)/'WHRS_Project Scenario'!$C$48</f>
        <v>-1.6734902395364928E-2</v>
      </c>
    </row>
    <row r="14" spans="1:10" ht="15.6">
      <c r="A14" s="333" t="s">
        <v>224</v>
      </c>
      <c r="B14" s="360">
        <v>0.42849999999999999</v>
      </c>
      <c r="C14" s="428">
        <v>1.259988926331007E-3</v>
      </c>
      <c r="D14" s="428">
        <v>3.4959870762660256E-4</v>
      </c>
      <c r="E14" s="428">
        <v>0.73953770925124651</v>
      </c>
      <c r="F14" s="403"/>
      <c r="G14" s="360">
        <v>1</v>
      </c>
      <c r="H14" s="428">
        <f>Baseline_NaturalGas!$C$51</f>
        <v>2.3930274200338046</v>
      </c>
      <c r="I14" s="428">
        <f>'WHRS_Project Scenario'!$C$47</f>
        <v>0.74631049628791313</v>
      </c>
      <c r="J14" s="428">
        <f>('WHRS_Project Scenario'!$C$48-Baseline_NaturalGas!$C$52)/'WHRS_Project Scenario'!$C$48</f>
        <v>-1.6734902395364928E-2</v>
      </c>
    </row>
    <row r="15" spans="1:10" ht="14.4">
      <c r="C15" s="403"/>
      <c r="D15" s="403"/>
      <c r="E15" s="403"/>
      <c r="F15" s="403"/>
      <c r="G15" s="356"/>
    </row>
    <row r="16" spans="1:10" ht="14.4" customHeight="1">
      <c r="A16" s="518" t="s">
        <v>439</v>
      </c>
      <c r="B16" s="518"/>
      <c r="C16" s="518"/>
      <c r="D16" s="518"/>
      <c r="E16" s="518"/>
      <c r="F16" s="518"/>
      <c r="G16" s="518"/>
      <c r="H16" s="518"/>
      <c r="I16" s="518"/>
      <c r="J16" s="518"/>
    </row>
    <row r="17" spans="1:17" ht="14.4" customHeight="1">
      <c r="A17" s="518"/>
      <c r="B17" s="518"/>
      <c r="C17" s="518"/>
      <c r="D17" s="518"/>
      <c r="E17" s="518"/>
      <c r="F17" s="518"/>
      <c r="G17" s="518"/>
      <c r="H17" s="518"/>
      <c r="I17" s="518"/>
      <c r="J17" s="518"/>
    </row>
    <row r="18" spans="1:17" ht="14.4" customHeight="1">
      <c r="A18" s="518"/>
      <c r="B18" s="518"/>
      <c r="C18" s="518"/>
      <c r="D18" s="518"/>
      <c r="E18" s="518"/>
      <c r="F18" s="518"/>
      <c r="G18" s="518"/>
      <c r="H18" s="518"/>
      <c r="I18" s="518"/>
      <c r="J18" s="518"/>
    </row>
    <row r="19" spans="1:17" ht="14.4" customHeight="1">
      <c r="A19" s="518"/>
      <c r="B19" s="518"/>
      <c r="C19" s="518"/>
      <c r="D19" s="518"/>
      <c r="E19" s="518"/>
      <c r="F19" s="518"/>
      <c r="G19" s="518"/>
      <c r="H19" s="518"/>
      <c r="I19" s="518"/>
      <c r="J19" s="518"/>
    </row>
    <row r="20" spans="1:17" ht="14.4" customHeight="1">
      <c r="A20" s="518"/>
      <c r="B20" s="518"/>
      <c r="C20" s="518"/>
      <c r="D20" s="518"/>
      <c r="E20" s="518"/>
      <c r="F20" s="518"/>
      <c r="G20" s="518"/>
      <c r="H20" s="518"/>
      <c r="I20" s="518"/>
      <c r="J20" s="518"/>
    </row>
    <row r="21" spans="1:17" ht="14.4">
      <c r="A21" s="399"/>
      <c r="B21" s="400"/>
      <c r="C21" s="400"/>
      <c r="D21" s="400"/>
      <c r="E21" s="400"/>
      <c r="F21" s="400"/>
      <c r="G21" s="400"/>
    </row>
    <row r="22" spans="1:17" ht="14.4">
      <c r="A22" s="508" t="s">
        <v>329</v>
      </c>
      <c r="B22" s="509"/>
      <c r="C22" s="509"/>
      <c r="D22" s="509"/>
      <c r="E22" s="509"/>
      <c r="F22" s="509"/>
      <c r="G22" s="509"/>
      <c r="H22" s="509"/>
      <c r="I22" s="509"/>
      <c r="J22" s="509"/>
      <c r="K22" s="509"/>
      <c r="L22" s="509"/>
      <c r="M22" s="509"/>
      <c r="N22" s="509"/>
      <c r="O22" s="509"/>
      <c r="P22" s="509"/>
      <c r="Q22" s="509"/>
    </row>
    <row r="23" spans="1:17" ht="27">
      <c r="A23" s="376"/>
      <c r="B23" s="304" t="s">
        <v>35</v>
      </c>
      <c r="C23" s="352" t="s">
        <v>407</v>
      </c>
      <c r="D23" s="352" t="s">
        <v>408</v>
      </c>
      <c r="E23" s="352" t="s">
        <v>409</v>
      </c>
      <c r="F23" s="352" t="s">
        <v>410</v>
      </c>
      <c r="G23" s="352" t="s">
        <v>411</v>
      </c>
      <c r="H23" s="352" t="s">
        <v>412</v>
      </c>
      <c r="I23" s="352" t="s">
        <v>413</v>
      </c>
      <c r="J23" s="352" t="s">
        <v>414</v>
      </c>
      <c r="K23" s="352" t="s">
        <v>415</v>
      </c>
      <c r="L23" s="352" t="s">
        <v>416</v>
      </c>
      <c r="M23" s="352" t="s">
        <v>417</v>
      </c>
      <c r="N23" s="352" t="s">
        <v>418</v>
      </c>
      <c r="O23" s="352" t="s">
        <v>419</v>
      </c>
      <c r="P23" s="352" t="s">
        <v>420</v>
      </c>
      <c r="Q23" s="352" t="s">
        <v>421</v>
      </c>
    </row>
    <row r="24" spans="1:17" ht="14.4">
      <c r="A24" s="363" t="s">
        <v>290</v>
      </c>
      <c r="B24" s="365"/>
      <c r="C24" s="367">
        <f>+Baseline_NaturalGas!D10</f>
        <v>219000</v>
      </c>
      <c r="D24" s="367">
        <f>+Baseline_NaturalGas!E10</f>
        <v>219000</v>
      </c>
      <c r="E24" s="367">
        <f>+Baseline_NaturalGas!F10</f>
        <v>219000</v>
      </c>
      <c r="F24" s="367">
        <f>+Baseline_NaturalGas!G10</f>
        <v>219000</v>
      </c>
      <c r="G24" s="367">
        <f>+Baseline_NaturalGas!H10</f>
        <v>219000</v>
      </c>
      <c r="H24" s="367">
        <f>+Baseline_NaturalGas!I10</f>
        <v>219000</v>
      </c>
      <c r="I24" s="367">
        <f>+Baseline_NaturalGas!J10</f>
        <v>219000</v>
      </c>
      <c r="J24" s="367">
        <f>+Baseline_NaturalGas!K10</f>
        <v>219000</v>
      </c>
      <c r="K24" s="367">
        <f>+Baseline_NaturalGas!L10</f>
        <v>219000</v>
      </c>
      <c r="L24" s="367">
        <f>+Baseline_NaturalGas!M10</f>
        <v>219000</v>
      </c>
      <c r="M24" s="367">
        <f>+Baseline_NaturalGas!N10</f>
        <v>219000</v>
      </c>
      <c r="N24" s="367">
        <f>+Baseline_NaturalGas!O10</f>
        <v>219000</v>
      </c>
      <c r="O24" s="367">
        <f>+Baseline_NaturalGas!P10</f>
        <v>219000</v>
      </c>
      <c r="P24" s="367">
        <f>+Baseline_NaturalGas!Q10</f>
        <v>219000</v>
      </c>
      <c r="Q24" s="367">
        <f>+Baseline_NaturalGas!R10</f>
        <v>219000</v>
      </c>
    </row>
    <row r="25" spans="1:17" ht="14.4">
      <c r="A25" s="364" t="s">
        <v>291</v>
      </c>
      <c r="B25" s="365"/>
      <c r="C25" s="367">
        <f>+Baseline_NaturalGas!D11</f>
        <v>70</v>
      </c>
      <c r="D25" s="367">
        <f>+Baseline_NaturalGas!E11</f>
        <v>70</v>
      </c>
      <c r="E25" s="367">
        <f>+Baseline_NaturalGas!F11</f>
        <v>70</v>
      </c>
      <c r="F25" s="367">
        <f>+Baseline_NaturalGas!G11</f>
        <v>70</v>
      </c>
      <c r="G25" s="367">
        <f>+Baseline_NaturalGas!H11</f>
        <v>70</v>
      </c>
      <c r="H25" s="367">
        <f>+Baseline_NaturalGas!I11</f>
        <v>70</v>
      </c>
      <c r="I25" s="367">
        <f>+Baseline_NaturalGas!J11</f>
        <v>70</v>
      </c>
      <c r="J25" s="367">
        <f>+Baseline_NaturalGas!K11</f>
        <v>70</v>
      </c>
      <c r="K25" s="367">
        <f>+Baseline_NaturalGas!L11</f>
        <v>70</v>
      </c>
      <c r="L25" s="367">
        <f>+Baseline_NaturalGas!M11</f>
        <v>70</v>
      </c>
      <c r="M25" s="367">
        <f>+Baseline_NaturalGas!N11</f>
        <v>70</v>
      </c>
      <c r="N25" s="367">
        <f>+Baseline_NaturalGas!O11</f>
        <v>70</v>
      </c>
      <c r="O25" s="367">
        <f>+Baseline_NaturalGas!P11</f>
        <v>70</v>
      </c>
      <c r="P25" s="367">
        <f>+Baseline_NaturalGas!Q11</f>
        <v>70</v>
      </c>
      <c r="Q25" s="367">
        <f>+Baseline_NaturalGas!R11</f>
        <v>70</v>
      </c>
    </row>
    <row r="26" spans="1:17" ht="14.4">
      <c r="A26" s="366" t="s">
        <v>292</v>
      </c>
      <c r="B26" s="365"/>
      <c r="C26" s="375">
        <f>+Baseline_NaturalGas!D12</f>
        <v>6.4285714285714288</v>
      </c>
      <c r="D26" s="375">
        <f>+Baseline_NaturalGas!E12</f>
        <v>6.6008571428571425</v>
      </c>
      <c r="E26" s="375">
        <f>+Baseline_NaturalGas!F12</f>
        <v>6.7777601142857131</v>
      </c>
      <c r="F26" s="375">
        <f>+Baseline_NaturalGas!G12</f>
        <v>6.9594040853485701</v>
      </c>
      <c r="G26" s="375">
        <f>+Baseline_NaturalGas!H12</f>
        <v>7.1459161148359112</v>
      </c>
      <c r="H26" s="375">
        <f>+Baseline_NaturalGas!I12</f>
        <v>7.3374266667135135</v>
      </c>
      <c r="I26" s="375">
        <f>+Baseline_NaturalGas!J12</f>
        <v>7.5340697013814353</v>
      </c>
      <c r="J26" s="375">
        <f>+Baseline_NaturalGas!K12</f>
        <v>7.7359827693784569</v>
      </c>
      <c r="K26" s="375">
        <f>+Baseline_NaturalGas!L12</f>
        <v>7.943307107597799</v>
      </c>
      <c r="L26" s="375">
        <f>+Baseline_NaturalGas!M12</f>
        <v>8.1561877380814192</v>
      </c>
      <c r="M26" s="375">
        <f>+Baseline_NaturalGas!N12</f>
        <v>8.3747735694620005</v>
      </c>
      <c r="N26" s="375">
        <f>+Baseline_NaturalGas!O12</f>
        <v>8.5992175011235812</v>
      </c>
      <c r="O26" s="375">
        <f>+Baseline_NaturalGas!P12</f>
        <v>8.8296765301536926</v>
      </c>
      <c r="P26" s="375">
        <f>+Baseline_NaturalGas!Q12</f>
        <v>9.066311861161811</v>
      </c>
      <c r="Q26" s="375">
        <f>+Baseline_NaturalGas!R12</f>
        <v>9.3092890190409463</v>
      </c>
    </row>
    <row r="27" spans="1:17" ht="14.4">
      <c r="A27" s="366" t="s">
        <v>293</v>
      </c>
      <c r="B27" s="365"/>
      <c r="C27" s="367">
        <f>+Baseline_NaturalGas!D13</f>
        <v>450</v>
      </c>
      <c r="D27" s="367">
        <f>+Baseline_NaturalGas!E13</f>
        <v>462.06</v>
      </c>
      <c r="E27" s="367">
        <f>+Baseline_NaturalGas!F13</f>
        <v>474.44320799999991</v>
      </c>
      <c r="F27" s="367">
        <f>+Baseline_NaturalGas!G13</f>
        <v>487.15828597439992</v>
      </c>
      <c r="G27" s="367">
        <f>+Baseline_NaturalGas!H13</f>
        <v>500.21412803851376</v>
      </c>
      <c r="H27" s="367">
        <f>+Baseline_NaturalGas!I13</f>
        <v>513.61986666994596</v>
      </c>
      <c r="I27" s="367">
        <f>+Baseline_NaturalGas!J13</f>
        <v>527.3848790967005</v>
      </c>
      <c r="J27" s="367">
        <f>+Baseline_NaturalGas!K13</f>
        <v>541.51879385649192</v>
      </c>
      <c r="K27" s="367">
        <f>+Baseline_NaturalGas!L13</f>
        <v>556.03149753184596</v>
      </c>
      <c r="L27" s="367">
        <f>+Baseline_NaturalGas!M13</f>
        <v>570.9331416656994</v>
      </c>
      <c r="M27" s="367">
        <f>+Baseline_NaturalGas!N13</f>
        <v>586.23414986234002</v>
      </c>
      <c r="N27" s="367">
        <f>+Baseline_NaturalGas!O13</f>
        <v>601.94522507865065</v>
      </c>
      <c r="O27" s="367">
        <f>+Baseline_NaturalGas!P13</f>
        <v>618.0773571107585</v>
      </c>
      <c r="P27" s="367">
        <f>+Baseline_NaturalGas!Q13</f>
        <v>634.64183028132675</v>
      </c>
      <c r="Q27" s="367">
        <f>+Baseline_NaturalGas!R13</f>
        <v>651.65023133286627</v>
      </c>
    </row>
    <row r="28" spans="1:17" ht="14.4">
      <c r="A28" s="370"/>
      <c r="B28" s="373"/>
      <c r="C28" s="373"/>
      <c r="D28" s="373"/>
      <c r="E28" s="373"/>
      <c r="F28" s="373"/>
      <c r="G28" s="373"/>
      <c r="H28" s="373"/>
      <c r="I28" s="373"/>
      <c r="J28" s="373"/>
      <c r="K28" s="373"/>
      <c r="L28" s="373"/>
      <c r="M28" s="373"/>
      <c r="N28" s="373"/>
      <c r="O28" s="373"/>
      <c r="P28" s="373"/>
      <c r="Q28" s="373"/>
    </row>
    <row r="29" spans="1:17" ht="14.4">
      <c r="A29" s="366" t="s">
        <v>294</v>
      </c>
      <c r="B29" s="378">
        <f>+SUM(C29:Q29)</f>
        <v>1790524.8581953994</v>
      </c>
      <c r="C29" s="367">
        <f>C24*C27/1000*'Initial Data'!$C$34/'Initial Data'!$C$33</f>
        <v>98550</v>
      </c>
      <c r="D29" s="367">
        <f>D24*D27/1000*'Initial Data'!$C$34/'Initial Data'!$C$33</f>
        <v>101191.14</v>
      </c>
      <c r="E29" s="367">
        <f>E24*E27/1000*'Initial Data'!$C$34/'Initial Data'!$C$33</f>
        <v>103903.06255199999</v>
      </c>
      <c r="F29" s="367">
        <f>F24*F27/1000*'Initial Data'!$C$34/'Initial Data'!$C$33</f>
        <v>106687.66462839357</v>
      </c>
      <c r="G29" s="367">
        <f>G24*G27/1000*'Initial Data'!$C$34/'Initial Data'!$C$33</f>
        <v>109546.8940404345</v>
      </c>
      <c r="H29" s="367">
        <f>H24*H27/1000*'Initial Data'!$C$34/'Initial Data'!$C$33</f>
        <v>112482.75080071818</v>
      </c>
      <c r="I29" s="367">
        <f>I24*I27/1000*'Initial Data'!$C$34/'Initial Data'!$C$33</f>
        <v>115497.28852217742</v>
      </c>
      <c r="J29" s="367">
        <f>J24*J27/1000*'Initial Data'!$C$34/'Initial Data'!$C$33</f>
        <v>118592.61585457173</v>
      </c>
      <c r="K29" s="367">
        <f>K24*K27/1000*'Initial Data'!$C$34/'Initial Data'!$C$33</f>
        <v>121770.89795947427</v>
      </c>
      <c r="L29" s="367">
        <f>L24*L27/1000*'Initial Data'!$C$34/'Initial Data'!$C$33</f>
        <v>125034.35802478818</v>
      </c>
      <c r="M29" s="367">
        <f>M24*M27/1000*'Initial Data'!$C$34/'Initial Data'!$C$33</f>
        <v>128385.27881985246</v>
      </c>
      <c r="N29" s="367">
        <f>N24*N27/1000*'Initial Data'!$C$34/'Initial Data'!$C$33</f>
        <v>131826.0042922245</v>
      </c>
      <c r="O29" s="367">
        <f>O24*O27/1000*'Initial Data'!$C$34/'Initial Data'!$C$33</f>
        <v>135358.94120725611</v>
      </c>
      <c r="P29" s="367">
        <f>P24*P27/1000*'Initial Data'!$C$34/'Initial Data'!$C$33</f>
        <v>138986.56083161055</v>
      </c>
      <c r="Q29" s="367">
        <f>Q24*Q27/1000*'Initial Data'!$C$34/'Initial Data'!$C$33</f>
        <v>142711.40066189773</v>
      </c>
    </row>
    <row r="30" spans="1:17" ht="14.4">
      <c r="A30" s="370"/>
      <c r="B30" s="373"/>
      <c r="C30" s="373"/>
      <c r="D30" s="373"/>
      <c r="E30" s="373"/>
      <c r="F30" s="373"/>
      <c r="G30" s="373"/>
      <c r="H30" s="373"/>
      <c r="I30" s="373"/>
      <c r="J30" s="373"/>
      <c r="K30" s="373"/>
      <c r="L30" s="373"/>
      <c r="M30" s="373"/>
      <c r="N30" s="373"/>
      <c r="O30" s="373"/>
      <c r="P30" s="373"/>
      <c r="Q30" s="373"/>
    </row>
    <row r="31" spans="1:17" ht="14.4">
      <c r="A31" s="366" t="s">
        <v>295</v>
      </c>
      <c r="B31" s="378">
        <f>+SUM(C31:Q31)</f>
        <v>1790524.8581953994</v>
      </c>
      <c r="C31" s="367">
        <f>+C29</f>
        <v>98550</v>
      </c>
      <c r="D31" s="367">
        <f t="shared" ref="D31:Q31" si="0">+D29</f>
        <v>101191.14</v>
      </c>
      <c r="E31" s="367">
        <f t="shared" si="0"/>
        <v>103903.06255199999</v>
      </c>
      <c r="F31" s="367">
        <f t="shared" si="0"/>
        <v>106687.66462839357</v>
      </c>
      <c r="G31" s="367">
        <f t="shared" si="0"/>
        <v>109546.8940404345</v>
      </c>
      <c r="H31" s="367">
        <f t="shared" si="0"/>
        <v>112482.75080071818</v>
      </c>
      <c r="I31" s="367">
        <f t="shared" si="0"/>
        <v>115497.28852217742</v>
      </c>
      <c r="J31" s="367">
        <f t="shared" si="0"/>
        <v>118592.61585457173</v>
      </c>
      <c r="K31" s="367">
        <f t="shared" si="0"/>
        <v>121770.89795947427</v>
      </c>
      <c r="L31" s="367">
        <f t="shared" si="0"/>
        <v>125034.35802478818</v>
      </c>
      <c r="M31" s="367">
        <f t="shared" si="0"/>
        <v>128385.27881985246</v>
      </c>
      <c r="N31" s="367">
        <f t="shared" si="0"/>
        <v>131826.0042922245</v>
      </c>
      <c r="O31" s="367">
        <f t="shared" si="0"/>
        <v>135358.94120725611</v>
      </c>
      <c r="P31" s="367">
        <f t="shared" si="0"/>
        <v>138986.56083161055</v>
      </c>
      <c r="Q31" s="367">
        <f t="shared" si="0"/>
        <v>142711.40066189773</v>
      </c>
    </row>
    <row r="32" spans="1:17" ht="14.4">
      <c r="A32" s="370"/>
      <c r="B32" s="374"/>
      <c r="C32" s="374"/>
      <c r="D32" s="374"/>
      <c r="E32" s="374"/>
      <c r="F32" s="374"/>
      <c r="G32" s="374"/>
      <c r="H32" s="374"/>
      <c r="I32" s="374"/>
      <c r="J32" s="374"/>
      <c r="K32" s="374"/>
      <c r="L32" s="374"/>
      <c r="M32" s="374"/>
      <c r="N32" s="374"/>
      <c r="O32" s="374"/>
      <c r="P32" s="374"/>
      <c r="Q32" s="374"/>
    </row>
    <row r="33" spans="1:17" ht="14.4">
      <c r="A33" s="366" t="s">
        <v>68</v>
      </c>
      <c r="B33" s="368"/>
      <c r="C33" s="368"/>
      <c r="D33" s="368"/>
      <c r="E33" s="368"/>
      <c r="F33" s="368"/>
      <c r="G33" s="368"/>
      <c r="H33" s="368"/>
      <c r="I33" s="368"/>
      <c r="J33" s="368"/>
      <c r="K33" s="368"/>
      <c r="L33" s="368"/>
      <c r="M33" s="368"/>
      <c r="N33" s="368"/>
      <c r="O33" s="368"/>
      <c r="P33" s="368"/>
      <c r="Q33" s="368"/>
    </row>
    <row r="34" spans="1:17" ht="14.4">
      <c r="A34" s="366" t="s">
        <v>330</v>
      </c>
      <c r="B34" s="378">
        <f>+SUM(C34:Q34)</f>
        <v>17405.991521183645</v>
      </c>
      <c r="C34" s="367">
        <f>+Baseline_NaturalGas!D20</f>
        <v>958.02102749999995</v>
      </c>
      <c r="D34" s="367">
        <f>+Baseline_NaturalGas!E20</f>
        <v>983.69599103699989</v>
      </c>
      <c r="E34" s="367">
        <f>+Baseline_NaturalGas!F20</f>
        <v>1010.0590435967914</v>
      </c>
      <c r="F34" s="367">
        <f>+Baseline_NaturalGas!G20</f>
        <v>1037.1286259651854</v>
      </c>
      <c r="G34" s="367">
        <f>+Baseline_NaturalGas!H20</f>
        <v>1064.9236731410524</v>
      </c>
      <c r="H34" s="367">
        <f>+Baseline_NaturalGas!I20</f>
        <v>1093.4636275812325</v>
      </c>
      <c r="I34" s="367">
        <f>+Baseline_NaturalGas!J20</f>
        <v>1122.7684528004095</v>
      </c>
      <c r="J34" s="367">
        <f>+Baseline_NaturalGas!K20</f>
        <v>1152.8586473354603</v>
      </c>
      <c r="K34" s="367">
        <f>+Baseline_NaturalGas!L20</f>
        <v>1183.7552590840505</v>
      </c>
      <c r="L34" s="367">
        <f>+Baseline_NaturalGas!M20</f>
        <v>1215.4799000275029</v>
      </c>
      <c r="M34" s="367">
        <f>+Baseline_NaturalGas!N20</f>
        <v>1248.0547613482399</v>
      </c>
      <c r="N34" s="367">
        <f>+Baseline_NaturalGas!O20</f>
        <v>1281.5026289523728</v>
      </c>
      <c r="O34" s="367">
        <f>+Baseline_NaturalGas!P20</f>
        <v>1315.8468994082964</v>
      </c>
      <c r="P34" s="367">
        <f>+Baseline_NaturalGas!Q20</f>
        <v>1351.1115963124387</v>
      </c>
      <c r="Q34" s="367">
        <f>+Baseline_NaturalGas!R20</f>
        <v>1387.321387093612</v>
      </c>
    </row>
    <row r="35" spans="1:17" ht="14.4">
      <c r="A35" s="370"/>
      <c r="B35" s="369"/>
      <c r="C35" s="369"/>
      <c r="D35" s="369"/>
      <c r="E35" s="369"/>
      <c r="F35" s="369"/>
      <c r="G35" s="369"/>
      <c r="H35" s="369"/>
      <c r="I35" s="369"/>
      <c r="J35" s="369"/>
      <c r="K35" s="369"/>
      <c r="L35" s="369"/>
      <c r="M35" s="369"/>
      <c r="N35" s="369"/>
      <c r="O35" s="369"/>
      <c r="P35" s="369"/>
      <c r="Q35" s="369"/>
    </row>
    <row r="36" spans="1:17" ht="14.4">
      <c r="A36" s="366" t="s">
        <v>71</v>
      </c>
      <c r="B36" s="379"/>
      <c r="C36" s="379"/>
      <c r="D36" s="379"/>
      <c r="E36" s="379"/>
      <c r="F36" s="379"/>
      <c r="G36" s="379"/>
      <c r="H36" s="379"/>
      <c r="I36" s="379"/>
      <c r="J36" s="379"/>
      <c r="K36" s="379"/>
      <c r="L36" s="379"/>
      <c r="M36" s="379"/>
      <c r="N36" s="379"/>
      <c r="O36" s="379"/>
      <c r="P36" s="379"/>
      <c r="Q36" s="379"/>
    </row>
    <row r="37" spans="1:17" ht="14.4">
      <c r="A37" s="370"/>
      <c r="B37" s="379"/>
      <c r="C37" s="379"/>
      <c r="D37" s="379"/>
      <c r="E37" s="379"/>
      <c r="F37" s="379"/>
      <c r="G37" s="379"/>
      <c r="H37" s="379"/>
      <c r="I37" s="379"/>
      <c r="J37" s="379"/>
      <c r="K37" s="379"/>
      <c r="L37" s="379"/>
      <c r="M37" s="379"/>
      <c r="N37" s="379"/>
      <c r="O37" s="379"/>
      <c r="P37" s="379"/>
      <c r="Q37" s="379"/>
    </row>
    <row r="38" spans="1:17" ht="14.4">
      <c r="A38" s="366" t="s">
        <v>64</v>
      </c>
      <c r="B38" s="373"/>
      <c r="C38" s="367">
        <f>+Baseline_NaturalGas!D24</f>
        <v>1656.5089715892002</v>
      </c>
      <c r="D38" s="367">
        <f>+Baseline_NaturalGas!E24</f>
        <v>1656.5089715892002</v>
      </c>
      <c r="E38" s="367">
        <f>+Baseline_NaturalGas!F24</f>
        <v>1656.5089715892002</v>
      </c>
      <c r="F38" s="367">
        <f>+Baseline_NaturalGas!G24</f>
        <v>1656.5089715892002</v>
      </c>
      <c r="G38" s="367">
        <f>+Baseline_NaturalGas!H24</f>
        <v>1656.5089715892002</v>
      </c>
      <c r="H38" s="367">
        <f>+Baseline_NaturalGas!I24</f>
        <v>1656.5089715892002</v>
      </c>
      <c r="I38" s="367">
        <f>+Baseline_NaturalGas!J24</f>
        <v>1656.5089715892002</v>
      </c>
      <c r="J38" s="367">
        <f>+Baseline_NaturalGas!K24</f>
        <v>1656.5089715892002</v>
      </c>
      <c r="K38" s="367">
        <f>+Baseline_NaturalGas!L24</f>
        <v>1656.5089715892002</v>
      </c>
      <c r="L38" s="367">
        <f>+Baseline_NaturalGas!M24</f>
        <v>1656.5089715892002</v>
      </c>
      <c r="M38" s="367">
        <f>+Baseline_NaturalGas!N24</f>
        <v>1656.5089715892002</v>
      </c>
      <c r="N38" s="367">
        <f>+Baseline_NaturalGas!O24</f>
        <v>1656.5089715892002</v>
      </c>
      <c r="O38" s="367">
        <f>+Baseline_NaturalGas!P24</f>
        <v>1656.5089715892002</v>
      </c>
      <c r="P38" s="367">
        <f>+Baseline_NaturalGas!Q24</f>
        <v>1656.5089715892002</v>
      </c>
      <c r="Q38" s="367">
        <f>+Baseline_NaturalGas!R24</f>
        <v>1656.5089715892002</v>
      </c>
    </row>
    <row r="39" spans="1:17" ht="14.4">
      <c r="A39" s="366" t="s">
        <v>108</v>
      </c>
      <c r="B39" s="387">
        <f>+Baseline_NaturalGas!C25</f>
        <v>0.90200000000000002</v>
      </c>
      <c r="C39" s="373"/>
      <c r="D39" s="373"/>
      <c r="E39" s="373"/>
      <c r="F39" s="373"/>
      <c r="G39" s="373"/>
      <c r="H39" s="373"/>
      <c r="I39" s="373"/>
      <c r="J39" s="373"/>
      <c r="K39" s="373"/>
      <c r="L39" s="373"/>
      <c r="M39" s="373"/>
      <c r="N39" s="373"/>
      <c r="O39" s="373"/>
      <c r="P39" s="373"/>
      <c r="Q39" s="373"/>
    </row>
    <row r="40" spans="1:17" ht="14.4">
      <c r="A40" s="366" t="s">
        <v>346</v>
      </c>
      <c r="B40" s="373"/>
      <c r="C40" s="367">
        <f>+Baseline_NaturalGas!D26</f>
        <v>1741816.7092883086</v>
      </c>
      <c r="D40" s="367">
        <f>+Baseline_NaturalGas!E26</f>
        <v>1741816.7092883086</v>
      </c>
      <c r="E40" s="367">
        <f>+Baseline_NaturalGas!F26</f>
        <v>1741816.7092883086</v>
      </c>
      <c r="F40" s="367">
        <f>+Baseline_NaturalGas!G26</f>
        <v>1741816.7092883086</v>
      </c>
      <c r="G40" s="367">
        <f>+Baseline_NaturalGas!H26</f>
        <v>1741816.7092883086</v>
      </c>
      <c r="H40" s="367">
        <f>+Baseline_NaturalGas!I26</f>
        <v>1741816.7092883086</v>
      </c>
      <c r="I40" s="367">
        <f>+Baseline_NaturalGas!J26</f>
        <v>1741816.7092883086</v>
      </c>
      <c r="J40" s="367">
        <f>+Baseline_NaturalGas!K26</f>
        <v>1741816.7092883086</v>
      </c>
      <c r="K40" s="367">
        <f>+Baseline_NaturalGas!L26</f>
        <v>1741816.7092883086</v>
      </c>
      <c r="L40" s="367">
        <f>+Baseline_NaturalGas!M26</f>
        <v>1741816.7092883086</v>
      </c>
      <c r="M40" s="367">
        <f>+Baseline_NaturalGas!N26</f>
        <v>1741816.7092883086</v>
      </c>
      <c r="N40" s="367">
        <f>+Baseline_NaturalGas!O26</f>
        <v>1741816.7092883086</v>
      </c>
      <c r="O40" s="367">
        <f>+Baseline_NaturalGas!P26</f>
        <v>1741816.7092883086</v>
      </c>
      <c r="P40" s="367">
        <f>+Baseline_NaturalGas!Q26</f>
        <v>1741816.7092883086</v>
      </c>
      <c r="Q40" s="367">
        <f>+Baseline_NaturalGas!R26</f>
        <v>1741816.7092883086</v>
      </c>
    </row>
    <row r="41" spans="1:17" ht="14.4">
      <c r="A41" s="366" t="s">
        <v>66</v>
      </c>
      <c r="B41" s="373"/>
      <c r="C41" s="375">
        <f>+Baseline_NaturalGas!D27</f>
        <v>5.6086944825694198</v>
      </c>
      <c r="D41" s="375">
        <f>+Baseline_NaturalGas!E27</f>
        <v>5.5051083831058802</v>
      </c>
      <c r="E41" s="375">
        <f>+Baseline_NaturalGas!F27</f>
        <v>5.61862622286578</v>
      </c>
      <c r="F41" s="375">
        <f>+Baseline_NaturalGas!G27</f>
        <v>5.8406487933251103</v>
      </c>
      <c r="G41" s="375">
        <f>+Baseline_NaturalGas!H27</f>
        <v>5.8453745748678001</v>
      </c>
      <c r="H41" s="375">
        <f>+Baseline_NaturalGas!I27</f>
        <v>6.0672099673130804</v>
      </c>
      <c r="I41" s="375">
        <f>+Baseline_NaturalGas!J27</f>
        <v>6.39755565092754</v>
      </c>
      <c r="J41" s="375">
        <f>+Baseline_NaturalGas!K27</f>
        <v>6.39755565092754</v>
      </c>
      <c r="K41" s="375">
        <f>+Baseline_NaturalGas!L27</f>
        <v>6.39755565092754</v>
      </c>
      <c r="L41" s="375">
        <f>+Baseline_NaturalGas!M27</f>
        <v>6.39755565092754</v>
      </c>
      <c r="M41" s="375">
        <f>+Baseline_NaturalGas!N27</f>
        <v>6.39755565092754</v>
      </c>
      <c r="N41" s="375">
        <f>+Baseline_NaturalGas!O27</f>
        <v>6.39755565092754</v>
      </c>
      <c r="O41" s="375">
        <f>+Baseline_NaturalGas!P27</f>
        <v>6.39755565092754</v>
      </c>
      <c r="P41" s="375">
        <f>+Baseline_NaturalGas!Q27</f>
        <v>6.39755565092754</v>
      </c>
      <c r="Q41" s="375">
        <f>+Baseline_NaturalGas!R27</f>
        <v>6.39755565092754</v>
      </c>
    </row>
    <row r="42" spans="1:17" ht="14.4">
      <c r="A42" s="370"/>
      <c r="B42" s="379"/>
      <c r="C42" s="379"/>
      <c r="D42" s="379"/>
      <c r="E42" s="379"/>
      <c r="F42" s="379"/>
      <c r="G42" s="379"/>
      <c r="H42" s="379"/>
      <c r="I42" s="379"/>
      <c r="J42" s="379"/>
      <c r="K42" s="379"/>
      <c r="L42" s="379"/>
      <c r="M42" s="379"/>
      <c r="N42" s="379"/>
      <c r="O42" s="379"/>
      <c r="P42" s="379"/>
      <c r="Q42" s="379"/>
    </row>
    <row r="43" spans="1:17" ht="14.4">
      <c r="A43" s="366" t="s">
        <v>102</v>
      </c>
      <c r="B43" s="378">
        <f t="shared" ref="B43" si="1">+SUM(C43:Q43)</f>
        <v>160358.02702356796</v>
      </c>
      <c r="C43" s="375">
        <f>+C40*C41/1000</f>
        <v>9769.3177670325604</v>
      </c>
      <c r="D43" s="375">
        <f>+D40*D41/1000</f>
        <v>9588.8897681369654</v>
      </c>
      <c r="E43" s="375">
        <f t="shared" ref="E43:Q43" si="2">+E40*E41/1000</f>
        <v>9786.6170382330711</v>
      </c>
      <c r="F43" s="375">
        <f t="shared" si="2"/>
        <v>10173.339661298274</v>
      </c>
      <c r="G43" s="375">
        <f t="shared" si="2"/>
        <v>10181.571106553778</v>
      </c>
      <c r="H43" s="375">
        <f t="shared" si="2"/>
        <v>10567.967699826495</v>
      </c>
      <c r="I43" s="375">
        <f t="shared" si="2"/>
        <v>11143.36933138743</v>
      </c>
      <c r="J43" s="375">
        <f t="shared" si="2"/>
        <v>11143.36933138743</v>
      </c>
      <c r="K43" s="375">
        <f t="shared" si="2"/>
        <v>11143.36933138743</v>
      </c>
      <c r="L43" s="375">
        <f t="shared" si="2"/>
        <v>11143.36933138743</v>
      </c>
      <c r="M43" s="375">
        <f t="shared" si="2"/>
        <v>11143.36933138743</v>
      </c>
      <c r="N43" s="375">
        <f t="shared" si="2"/>
        <v>11143.36933138743</v>
      </c>
      <c r="O43" s="375">
        <f t="shared" si="2"/>
        <v>11143.36933138743</v>
      </c>
      <c r="P43" s="375">
        <f t="shared" si="2"/>
        <v>11143.36933138743</v>
      </c>
      <c r="Q43" s="375">
        <f t="shared" si="2"/>
        <v>11143.36933138743</v>
      </c>
    </row>
    <row r="44" spans="1:17" ht="14.4">
      <c r="A44" s="370"/>
      <c r="B44" s="373"/>
      <c r="C44" s="373"/>
      <c r="D44" s="373"/>
      <c r="E44" s="373"/>
      <c r="F44" s="373"/>
      <c r="G44" s="373"/>
      <c r="H44" s="373"/>
      <c r="I44" s="373"/>
      <c r="J44" s="373"/>
      <c r="K44" s="373"/>
      <c r="L44" s="373"/>
      <c r="M44" s="373"/>
      <c r="N44" s="373"/>
      <c r="O44" s="373"/>
      <c r="P44" s="373"/>
      <c r="Q44" s="373"/>
    </row>
    <row r="45" spans="1:17" ht="14.4">
      <c r="A45" s="370"/>
      <c r="B45" s="379"/>
      <c r="C45" s="379"/>
      <c r="D45" s="379"/>
      <c r="E45" s="379"/>
      <c r="F45" s="379"/>
      <c r="G45" s="379"/>
      <c r="H45" s="379"/>
      <c r="I45" s="379"/>
      <c r="J45" s="379"/>
      <c r="K45" s="379"/>
      <c r="L45" s="379"/>
      <c r="M45" s="379"/>
      <c r="N45" s="379"/>
      <c r="O45" s="379"/>
      <c r="P45" s="379"/>
      <c r="Q45" s="379"/>
    </row>
    <row r="46" spans="1:17" ht="14.4">
      <c r="A46" s="366" t="s">
        <v>101</v>
      </c>
      <c r="B46" s="373"/>
      <c r="C46" s="375">
        <f>+C43+C34</f>
        <v>10727.338794532559</v>
      </c>
      <c r="D46" s="375">
        <f t="shared" ref="D46:Q46" si="3">+D43+D34</f>
        <v>10572.585759173966</v>
      </c>
      <c r="E46" s="375">
        <f t="shared" si="3"/>
        <v>10796.676081829863</v>
      </c>
      <c r="F46" s="375">
        <f t="shared" si="3"/>
        <v>11210.46828726346</v>
      </c>
      <c r="G46" s="375">
        <f t="shared" si="3"/>
        <v>11246.494779694831</v>
      </c>
      <c r="H46" s="375">
        <f t="shared" si="3"/>
        <v>11661.431327407727</v>
      </c>
      <c r="I46" s="375">
        <f t="shared" si="3"/>
        <v>12266.13778418784</v>
      </c>
      <c r="J46" s="375">
        <f t="shared" si="3"/>
        <v>12296.227978722891</v>
      </c>
      <c r="K46" s="375">
        <f t="shared" si="3"/>
        <v>12327.124590471481</v>
      </c>
      <c r="L46" s="375">
        <f t="shared" si="3"/>
        <v>12358.849231414933</v>
      </c>
      <c r="M46" s="375">
        <f t="shared" si="3"/>
        <v>12391.42409273567</v>
      </c>
      <c r="N46" s="375">
        <f t="shared" si="3"/>
        <v>12424.871960339802</v>
      </c>
      <c r="O46" s="375">
        <f t="shared" si="3"/>
        <v>12459.216230795726</v>
      </c>
      <c r="P46" s="375">
        <f t="shared" si="3"/>
        <v>12494.480927699869</v>
      </c>
      <c r="Q46" s="375">
        <f t="shared" si="3"/>
        <v>12530.690718481042</v>
      </c>
    </row>
    <row r="47" spans="1:17" ht="14.4">
      <c r="A47" s="370"/>
      <c r="B47" s="379"/>
      <c r="C47" s="379"/>
      <c r="D47" s="379"/>
      <c r="E47" s="379"/>
      <c r="F47" s="379"/>
      <c r="G47" s="379"/>
      <c r="H47" s="379"/>
      <c r="I47" s="379"/>
      <c r="J47" s="379"/>
      <c r="K47" s="379"/>
      <c r="L47" s="379"/>
      <c r="M47" s="379"/>
      <c r="N47" s="379"/>
      <c r="O47" s="379"/>
      <c r="P47" s="379"/>
      <c r="Q47" s="379"/>
    </row>
    <row r="48" spans="1:17" ht="14.4">
      <c r="A48" s="366" t="s">
        <v>73</v>
      </c>
      <c r="B48" s="378">
        <f>+SUM(C48:Q48)</f>
        <v>40493.806135327875</v>
      </c>
      <c r="C48" s="381">
        <f>+Baseline_NaturalGas!$D$5*(1+$B$8)/'Initial Data'!$C$19</f>
        <v>4049.3806135327868</v>
      </c>
      <c r="D48" s="381">
        <f>+Baseline_NaturalGas!$D$5*(1+$B$8)/'Initial Data'!$C$19</f>
        <v>4049.3806135327868</v>
      </c>
      <c r="E48" s="381">
        <f>+Baseline_NaturalGas!$D$5*(1+$B$8)/'Initial Data'!$C$19</f>
        <v>4049.3806135327868</v>
      </c>
      <c r="F48" s="381">
        <f>+Baseline_NaturalGas!$D$5*(1+$B$8)/'Initial Data'!$C$19</f>
        <v>4049.3806135327868</v>
      </c>
      <c r="G48" s="381">
        <f>+Baseline_NaturalGas!$D$5*(1+$B$8)/'Initial Data'!$C$19</f>
        <v>4049.3806135327868</v>
      </c>
      <c r="H48" s="381">
        <f>+Baseline_NaturalGas!$D$5*(1+$B$8)/'Initial Data'!$C$19</f>
        <v>4049.3806135327868</v>
      </c>
      <c r="I48" s="381">
        <f>+Baseline_NaturalGas!$D$5*(1+$B$8)/'Initial Data'!$C$19</f>
        <v>4049.3806135327868</v>
      </c>
      <c r="J48" s="381">
        <f>+Baseline_NaturalGas!$D$5*(1+$B$8)/'Initial Data'!$C$19</f>
        <v>4049.3806135327868</v>
      </c>
      <c r="K48" s="381">
        <f>+Baseline_NaturalGas!$D$5*(1+$B$8)/'Initial Data'!$C$19</f>
        <v>4049.3806135327868</v>
      </c>
      <c r="L48" s="381">
        <f>+Baseline_NaturalGas!$D$5*(1+$B$8)/'Initial Data'!$C$19</f>
        <v>4049.3806135327868</v>
      </c>
      <c r="M48" s="381">
        <v>0</v>
      </c>
      <c r="N48" s="381">
        <v>0</v>
      </c>
      <c r="O48" s="381">
        <v>0</v>
      </c>
      <c r="P48" s="381">
        <v>0</v>
      </c>
      <c r="Q48" s="381">
        <v>0</v>
      </c>
    </row>
    <row r="49" spans="1:17" ht="14.4">
      <c r="A49" s="366" t="s">
        <v>74</v>
      </c>
      <c r="B49" s="378">
        <f>+SUM(C49:Q49)</f>
        <v>40493.806135327875</v>
      </c>
      <c r="C49" s="367">
        <f>SUM(C48:C48)</f>
        <v>4049.3806135327868</v>
      </c>
      <c r="D49" s="367">
        <f t="shared" ref="D49:Q49" si="4">SUM(D48:D48)</f>
        <v>4049.3806135327868</v>
      </c>
      <c r="E49" s="367">
        <f t="shared" si="4"/>
        <v>4049.3806135327868</v>
      </c>
      <c r="F49" s="367">
        <f t="shared" si="4"/>
        <v>4049.3806135327868</v>
      </c>
      <c r="G49" s="367">
        <f t="shared" si="4"/>
        <v>4049.3806135327868</v>
      </c>
      <c r="H49" s="367">
        <f t="shared" si="4"/>
        <v>4049.3806135327868</v>
      </c>
      <c r="I49" s="367">
        <f t="shared" si="4"/>
        <v>4049.3806135327868</v>
      </c>
      <c r="J49" s="367">
        <f t="shared" si="4"/>
        <v>4049.3806135327868</v>
      </c>
      <c r="K49" s="367">
        <f t="shared" si="4"/>
        <v>4049.3806135327868</v>
      </c>
      <c r="L49" s="367">
        <f t="shared" si="4"/>
        <v>4049.3806135327868</v>
      </c>
      <c r="M49" s="367">
        <f t="shared" si="4"/>
        <v>0</v>
      </c>
      <c r="N49" s="367">
        <f t="shared" si="4"/>
        <v>0</v>
      </c>
      <c r="O49" s="367">
        <f t="shared" si="4"/>
        <v>0</v>
      </c>
      <c r="P49" s="367">
        <f t="shared" si="4"/>
        <v>0</v>
      </c>
      <c r="Q49" s="367">
        <f t="shared" si="4"/>
        <v>0</v>
      </c>
    </row>
    <row r="50" spans="1:17" ht="14.4">
      <c r="A50" s="90"/>
      <c r="B50" s="388"/>
      <c r="C50" s="373"/>
      <c r="D50" s="373"/>
      <c r="E50" s="373"/>
      <c r="F50" s="373"/>
      <c r="G50" s="373"/>
      <c r="H50" s="373"/>
      <c r="I50" s="373"/>
      <c r="J50" s="373"/>
      <c r="K50" s="373"/>
      <c r="L50" s="373"/>
      <c r="M50" s="373"/>
      <c r="N50" s="373"/>
      <c r="O50" s="373"/>
      <c r="P50" s="373"/>
      <c r="Q50" s="373"/>
    </row>
    <row r="51" spans="1:17" ht="14.4">
      <c r="A51" s="366" t="s">
        <v>75</v>
      </c>
      <c r="B51" s="378">
        <f>+SUM(C51:Q51)</f>
        <v>218257.82468007953</v>
      </c>
      <c r="C51" s="367">
        <f>+C46+C49</f>
        <v>14776.719408065346</v>
      </c>
      <c r="D51" s="367">
        <f t="shared" ref="D51:Q51" si="5">+D46+D49</f>
        <v>14621.966372706753</v>
      </c>
      <c r="E51" s="367">
        <f t="shared" si="5"/>
        <v>14846.056695362649</v>
      </c>
      <c r="F51" s="367">
        <f t="shared" si="5"/>
        <v>15259.848900796247</v>
      </c>
      <c r="G51" s="367">
        <f t="shared" si="5"/>
        <v>15295.875393227618</v>
      </c>
      <c r="H51" s="367">
        <f t="shared" si="5"/>
        <v>15710.811940940514</v>
      </c>
      <c r="I51" s="367">
        <f t="shared" si="5"/>
        <v>16315.518397720627</v>
      </c>
      <c r="J51" s="367">
        <f t="shared" si="5"/>
        <v>16345.608592255678</v>
      </c>
      <c r="K51" s="367">
        <f t="shared" si="5"/>
        <v>16376.505204004268</v>
      </c>
      <c r="L51" s="367">
        <f t="shared" si="5"/>
        <v>16408.22984494772</v>
      </c>
      <c r="M51" s="367">
        <f t="shared" si="5"/>
        <v>12391.42409273567</v>
      </c>
      <c r="N51" s="367">
        <f t="shared" si="5"/>
        <v>12424.871960339802</v>
      </c>
      <c r="O51" s="367">
        <f t="shared" si="5"/>
        <v>12459.216230795726</v>
      </c>
      <c r="P51" s="367">
        <f t="shared" si="5"/>
        <v>12494.480927699869</v>
      </c>
      <c r="Q51" s="367">
        <f t="shared" si="5"/>
        <v>12530.690718481042</v>
      </c>
    </row>
    <row r="52" spans="1:17">
      <c r="A52" s="74"/>
    </row>
    <row r="53" spans="1:17" ht="14.4">
      <c r="A53" s="366" t="s">
        <v>76</v>
      </c>
      <c r="B53" s="378">
        <f>+SUM(C53:Q53)</f>
        <v>1572267.0335153199</v>
      </c>
      <c r="C53" s="367">
        <f>+C31-C51</f>
        <v>83773.280591934657</v>
      </c>
      <c r="D53" s="367">
        <f t="shared" ref="D53:Q53" si="6">+D31-D51</f>
        <v>86569.173627293247</v>
      </c>
      <c r="E53" s="367">
        <f t="shared" si="6"/>
        <v>89057.005856637334</v>
      </c>
      <c r="F53" s="367">
        <f t="shared" si="6"/>
        <v>91427.815727597321</v>
      </c>
      <c r="G53" s="367">
        <f t="shared" si="6"/>
        <v>94251.018647206889</v>
      </c>
      <c r="H53" s="367">
        <f t="shared" si="6"/>
        <v>96771.938859777656</v>
      </c>
      <c r="I53" s="367">
        <f t="shared" si="6"/>
        <v>99181.770124456787</v>
      </c>
      <c r="J53" s="367">
        <f t="shared" si="6"/>
        <v>102247.00726231605</v>
      </c>
      <c r="K53" s="367">
        <f t="shared" si="6"/>
        <v>105394.39275547001</v>
      </c>
      <c r="L53" s="367">
        <f t="shared" si="6"/>
        <v>108626.12817984045</v>
      </c>
      <c r="M53" s="367">
        <f t="shared" si="6"/>
        <v>115993.85472711679</v>
      </c>
      <c r="N53" s="367">
        <f t="shared" si="6"/>
        <v>119401.1323318847</v>
      </c>
      <c r="O53" s="367">
        <f t="shared" si="6"/>
        <v>122899.72497646039</v>
      </c>
      <c r="P53" s="367">
        <f t="shared" si="6"/>
        <v>126492.07990391068</v>
      </c>
      <c r="Q53" s="367">
        <f t="shared" si="6"/>
        <v>130180.70994341669</v>
      </c>
    </row>
    <row r="54" spans="1:17" ht="14.4">
      <c r="A54" s="369"/>
      <c r="B54" s="373"/>
      <c r="C54" s="373"/>
      <c r="D54" s="373"/>
      <c r="E54" s="373"/>
      <c r="F54" s="373"/>
      <c r="G54" s="373"/>
      <c r="H54" s="373"/>
      <c r="I54" s="373"/>
      <c r="J54" s="373"/>
      <c r="K54" s="373"/>
      <c r="L54" s="373"/>
      <c r="M54" s="373"/>
      <c r="N54" s="373"/>
      <c r="O54" s="373"/>
      <c r="P54" s="373"/>
      <c r="Q54" s="373"/>
    </row>
    <row r="55" spans="1:17" ht="14.4">
      <c r="A55" s="366" t="s">
        <v>222</v>
      </c>
      <c r="B55" s="380">
        <f>+Baseline_NaturalGas!C43</f>
        <v>0.7</v>
      </c>
      <c r="C55" s="367">
        <f>IF((+$B$55*C53)&lt;0,"0",(+$B$55*C53))</f>
        <v>58641.296414354256</v>
      </c>
      <c r="D55" s="367">
        <f t="shared" ref="D55:Q55" si="7">IF((+$B$55*D53)&lt;0,"0",(+$B$55*D53))</f>
        <v>60598.421539105271</v>
      </c>
      <c r="E55" s="367">
        <f t="shared" si="7"/>
        <v>62339.904099646126</v>
      </c>
      <c r="F55" s="367">
        <f t="shared" si="7"/>
        <v>63999.47100931812</v>
      </c>
      <c r="G55" s="367">
        <f t="shared" si="7"/>
        <v>65975.713053044819</v>
      </c>
      <c r="H55" s="367">
        <f t="shared" si="7"/>
        <v>67740.357201844352</v>
      </c>
      <c r="I55" s="367">
        <f t="shared" si="7"/>
        <v>69427.239087119742</v>
      </c>
      <c r="J55" s="367">
        <f t="shared" si="7"/>
        <v>71572.905083621226</v>
      </c>
      <c r="K55" s="367">
        <f t="shared" si="7"/>
        <v>73776.074928828995</v>
      </c>
      <c r="L55" s="367">
        <f t="shared" si="7"/>
        <v>76038.289725888317</v>
      </c>
      <c r="M55" s="367">
        <f t="shared" si="7"/>
        <v>81195.698308981751</v>
      </c>
      <c r="N55" s="367">
        <f t="shared" si="7"/>
        <v>83580.792632319281</v>
      </c>
      <c r="O55" s="367">
        <f t="shared" si="7"/>
        <v>86029.807483522265</v>
      </c>
      <c r="P55" s="367">
        <f t="shared" si="7"/>
        <v>88544.455932737474</v>
      </c>
      <c r="Q55" s="367">
        <f t="shared" si="7"/>
        <v>91126.496960391683</v>
      </c>
    </row>
    <row r="56" spans="1:17" ht="14.4">
      <c r="A56" s="366" t="s">
        <v>77</v>
      </c>
      <c r="B56" s="378">
        <f>+SUM(C56:Q56)</f>
        <v>1100586.9234607236</v>
      </c>
      <c r="C56" s="367">
        <f>SUM(C55:C55)</f>
        <v>58641.296414354256</v>
      </c>
      <c r="D56" s="367">
        <f t="shared" ref="D56:Q56" si="8">SUM(D55:D55)</f>
        <v>60598.421539105271</v>
      </c>
      <c r="E56" s="367">
        <f t="shared" si="8"/>
        <v>62339.904099646126</v>
      </c>
      <c r="F56" s="367">
        <f t="shared" si="8"/>
        <v>63999.47100931812</v>
      </c>
      <c r="G56" s="367">
        <f t="shared" si="8"/>
        <v>65975.713053044819</v>
      </c>
      <c r="H56" s="367">
        <f t="shared" si="8"/>
        <v>67740.357201844352</v>
      </c>
      <c r="I56" s="367">
        <f t="shared" si="8"/>
        <v>69427.239087119742</v>
      </c>
      <c r="J56" s="367">
        <f t="shared" si="8"/>
        <v>71572.905083621226</v>
      </c>
      <c r="K56" s="367">
        <f t="shared" si="8"/>
        <v>73776.074928828995</v>
      </c>
      <c r="L56" s="367">
        <f t="shared" si="8"/>
        <v>76038.289725888317</v>
      </c>
      <c r="M56" s="367">
        <f t="shared" si="8"/>
        <v>81195.698308981751</v>
      </c>
      <c r="N56" s="367">
        <f t="shared" si="8"/>
        <v>83580.792632319281</v>
      </c>
      <c r="O56" s="367">
        <f t="shared" si="8"/>
        <v>86029.807483522265</v>
      </c>
      <c r="P56" s="367">
        <f t="shared" si="8"/>
        <v>88544.455932737474</v>
      </c>
      <c r="Q56" s="367">
        <f t="shared" si="8"/>
        <v>91126.496960391683</v>
      </c>
    </row>
    <row r="57" spans="1:17" ht="14.4">
      <c r="A57" s="369"/>
      <c r="B57" s="373"/>
      <c r="C57" s="373"/>
      <c r="D57" s="373"/>
      <c r="E57" s="373"/>
      <c r="F57" s="373"/>
      <c r="G57" s="373"/>
      <c r="H57" s="373"/>
      <c r="I57" s="373"/>
      <c r="J57" s="373"/>
      <c r="K57" s="373"/>
      <c r="L57" s="373"/>
      <c r="M57" s="373"/>
      <c r="N57" s="373"/>
      <c r="O57" s="373"/>
      <c r="P57" s="373"/>
      <c r="Q57" s="373"/>
    </row>
    <row r="58" spans="1:17" ht="14.4">
      <c r="A58" s="366" t="s">
        <v>78</v>
      </c>
      <c r="B58" s="378">
        <f>+SUM(C58:Q58)</f>
        <v>471680.11005459598</v>
      </c>
      <c r="C58" s="367">
        <f>+C53-C56</f>
        <v>25131.984177580402</v>
      </c>
      <c r="D58" s="367">
        <f t="shared" ref="D58:Q58" si="9">+D53-D56</f>
        <v>25970.752088187975</v>
      </c>
      <c r="E58" s="367">
        <f t="shared" si="9"/>
        <v>26717.101756991207</v>
      </c>
      <c r="F58" s="367">
        <f t="shared" si="9"/>
        <v>27428.344718279201</v>
      </c>
      <c r="G58" s="367">
        <f t="shared" si="9"/>
        <v>28275.30559416207</v>
      </c>
      <c r="H58" s="367">
        <f t="shared" si="9"/>
        <v>29031.581657933304</v>
      </c>
      <c r="I58" s="367">
        <f t="shared" si="9"/>
        <v>29754.531037337045</v>
      </c>
      <c r="J58" s="367">
        <f t="shared" si="9"/>
        <v>30674.102178694826</v>
      </c>
      <c r="K58" s="367">
        <f t="shared" si="9"/>
        <v>31618.31782664101</v>
      </c>
      <c r="L58" s="367">
        <f t="shared" si="9"/>
        <v>32587.838453952136</v>
      </c>
      <c r="M58" s="367">
        <f t="shared" si="9"/>
        <v>34798.15641813504</v>
      </c>
      <c r="N58" s="367">
        <f t="shared" si="9"/>
        <v>35820.339699565418</v>
      </c>
      <c r="O58" s="367">
        <f t="shared" si="9"/>
        <v>36869.917492938126</v>
      </c>
      <c r="P58" s="367">
        <f t="shared" si="9"/>
        <v>37947.623971173205</v>
      </c>
      <c r="Q58" s="367">
        <f t="shared" si="9"/>
        <v>39054.212983025005</v>
      </c>
    </row>
    <row r="59" spans="1:17" ht="14.4">
      <c r="A59" s="395" t="s">
        <v>331</v>
      </c>
      <c r="B59" s="378">
        <f>+SUM(C59:Q59)</f>
        <v>40493.806135327875</v>
      </c>
      <c r="C59" s="381">
        <f>+C48</f>
        <v>4049.3806135327868</v>
      </c>
      <c r="D59" s="381">
        <f t="shared" ref="D59:Q59" si="10">+D48</f>
        <v>4049.3806135327868</v>
      </c>
      <c r="E59" s="381">
        <f t="shared" si="10"/>
        <v>4049.3806135327868</v>
      </c>
      <c r="F59" s="381">
        <f t="shared" si="10"/>
        <v>4049.3806135327868</v>
      </c>
      <c r="G59" s="381">
        <f t="shared" si="10"/>
        <v>4049.3806135327868</v>
      </c>
      <c r="H59" s="381">
        <f t="shared" si="10"/>
        <v>4049.3806135327868</v>
      </c>
      <c r="I59" s="381">
        <f t="shared" si="10"/>
        <v>4049.3806135327868</v>
      </c>
      <c r="J59" s="381">
        <f t="shared" si="10"/>
        <v>4049.3806135327868</v>
      </c>
      <c r="K59" s="381">
        <f t="shared" si="10"/>
        <v>4049.3806135327868</v>
      </c>
      <c r="L59" s="381">
        <f t="shared" si="10"/>
        <v>4049.3806135327868</v>
      </c>
      <c r="M59" s="381">
        <f t="shared" si="10"/>
        <v>0</v>
      </c>
      <c r="N59" s="381">
        <f t="shared" si="10"/>
        <v>0</v>
      </c>
      <c r="O59" s="381">
        <f t="shared" si="10"/>
        <v>0</v>
      </c>
      <c r="P59" s="381">
        <f t="shared" si="10"/>
        <v>0</v>
      </c>
      <c r="Q59" s="381">
        <f t="shared" si="10"/>
        <v>0</v>
      </c>
    </row>
    <row r="60" spans="1:17" ht="14.4">
      <c r="A60" s="395" t="s">
        <v>332</v>
      </c>
      <c r="B60" s="378">
        <f>+Baseline_NaturalGas!C48</f>
        <v>0</v>
      </c>
      <c r="C60" s="367">
        <f>+Baseline_NaturalGas!D48</f>
        <v>0</v>
      </c>
      <c r="D60" s="367">
        <f>+Baseline_NaturalGas!E48</f>
        <v>0</v>
      </c>
      <c r="E60" s="367">
        <f>+Baseline_NaturalGas!F48</f>
        <v>0</v>
      </c>
      <c r="F60" s="367">
        <f>+Baseline_NaturalGas!G48</f>
        <v>0</v>
      </c>
      <c r="G60" s="367">
        <f>+Baseline_NaturalGas!H48</f>
        <v>0</v>
      </c>
      <c r="H60" s="367">
        <f>+Baseline_NaturalGas!I48</f>
        <v>0</v>
      </c>
      <c r="I60" s="367">
        <f>+Baseline_NaturalGas!J48</f>
        <v>0</v>
      </c>
      <c r="J60" s="367">
        <f>+Baseline_NaturalGas!K48</f>
        <v>0</v>
      </c>
      <c r="K60" s="367">
        <f>+Baseline_NaturalGas!L48</f>
        <v>0</v>
      </c>
      <c r="L60" s="367">
        <f>+Baseline_NaturalGas!M48</f>
        <v>0</v>
      </c>
      <c r="M60" s="367">
        <f>+Baseline_NaturalGas!N48</f>
        <v>0</v>
      </c>
      <c r="N60" s="367">
        <f>+Baseline_NaturalGas!O48</f>
        <v>0</v>
      </c>
      <c r="O60" s="367">
        <f>+Baseline_NaturalGas!P48</f>
        <v>0</v>
      </c>
      <c r="P60" s="367">
        <f>+Baseline_NaturalGas!Q48</f>
        <v>0</v>
      </c>
      <c r="Q60" s="367">
        <f>+Baseline_NaturalGas!R48</f>
        <v>0</v>
      </c>
    </row>
    <row r="61" spans="1:17" ht="14.4">
      <c r="A61" s="510"/>
      <c r="B61" s="511"/>
      <c r="C61" s="511"/>
      <c r="D61" s="511"/>
      <c r="E61" s="511"/>
      <c r="F61" s="511"/>
      <c r="G61" s="511"/>
      <c r="H61" s="511"/>
      <c r="I61" s="511"/>
      <c r="J61" s="511"/>
      <c r="K61" s="511"/>
      <c r="L61" s="511"/>
      <c r="M61" s="511"/>
      <c r="N61" s="511"/>
      <c r="O61" s="511"/>
      <c r="P61" s="511"/>
      <c r="Q61" s="511"/>
    </row>
    <row r="62" spans="1:17" ht="14.4">
      <c r="A62" s="366" t="s">
        <v>110</v>
      </c>
      <c r="B62" s="381">
        <f>-Baseline_NaturalGas!D5*(1+B8)</f>
        <v>-40493.806135327868</v>
      </c>
      <c r="C62" s="367">
        <f>+C58+C59+C60</f>
        <v>29181.364791113188</v>
      </c>
      <c r="D62" s="367">
        <f t="shared" ref="D62:Q62" si="11">+D58+D59+D60</f>
        <v>30020.132701720762</v>
      </c>
      <c r="E62" s="367">
        <f t="shared" si="11"/>
        <v>30766.482370523994</v>
      </c>
      <c r="F62" s="367">
        <f t="shared" si="11"/>
        <v>31477.725331811987</v>
      </c>
      <c r="G62" s="367">
        <f t="shared" si="11"/>
        <v>32324.686207694856</v>
      </c>
      <c r="H62" s="367">
        <f t="shared" si="11"/>
        <v>33080.962271466095</v>
      </c>
      <c r="I62" s="367">
        <f t="shared" si="11"/>
        <v>33803.911650869835</v>
      </c>
      <c r="J62" s="367">
        <f t="shared" si="11"/>
        <v>34723.482792227616</v>
      </c>
      <c r="K62" s="367">
        <f t="shared" si="11"/>
        <v>35667.698440173801</v>
      </c>
      <c r="L62" s="367">
        <f t="shared" si="11"/>
        <v>36637.219067484926</v>
      </c>
      <c r="M62" s="367">
        <f t="shared" si="11"/>
        <v>34798.15641813504</v>
      </c>
      <c r="N62" s="367">
        <f t="shared" si="11"/>
        <v>35820.339699565418</v>
      </c>
      <c r="O62" s="367">
        <f t="shared" si="11"/>
        <v>36869.917492938126</v>
      </c>
      <c r="P62" s="367">
        <f t="shared" si="11"/>
        <v>37947.623971173205</v>
      </c>
      <c r="Q62" s="367">
        <f t="shared" si="11"/>
        <v>39054.212983025005</v>
      </c>
    </row>
    <row r="63" spans="1:17" ht="15.6">
      <c r="A63" s="366" t="s">
        <v>51</v>
      </c>
      <c r="B63" s="132">
        <f>IRR(B62:Q62)</f>
        <v>0.74647071318718872</v>
      </c>
      <c r="C63" s="390"/>
      <c r="D63" s="390"/>
      <c r="E63" s="390"/>
      <c r="F63" s="390"/>
      <c r="G63" s="390"/>
      <c r="H63" s="390"/>
      <c r="I63" s="390"/>
      <c r="J63" s="390"/>
      <c r="K63" s="390"/>
      <c r="L63" s="390"/>
      <c r="M63" s="390"/>
      <c r="N63" s="390"/>
      <c r="O63" s="390"/>
      <c r="P63" s="390"/>
      <c r="Q63" s="390"/>
    </row>
    <row r="64" spans="1:17" ht="15.6">
      <c r="A64" s="366" t="s">
        <v>267</v>
      </c>
      <c r="B64" s="303">
        <f>NPV('Initial Data'!C21/100,B62:Q62)</f>
        <v>163410.10899486815</v>
      </c>
      <c r="C64" s="373"/>
      <c r="D64" s="373"/>
      <c r="E64" s="373"/>
      <c r="F64" s="373"/>
      <c r="G64" s="373"/>
      <c r="H64" s="373"/>
      <c r="I64" s="373"/>
      <c r="J64" s="373"/>
      <c r="K64" s="373"/>
      <c r="L64" s="373"/>
      <c r="M64" s="373"/>
      <c r="N64" s="373"/>
      <c r="O64" s="373"/>
      <c r="P64" s="373"/>
      <c r="Q64" s="373"/>
    </row>
    <row r="65" spans="1:17" ht="14.4">
      <c r="A65" s="373"/>
      <c r="B65" s="373"/>
      <c r="C65" s="373"/>
      <c r="D65" s="373"/>
      <c r="E65" s="373"/>
      <c r="F65" s="373"/>
      <c r="G65" s="373"/>
      <c r="H65" s="373"/>
      <c r="I65" s="373"/>
      <c r="J65" s="373"/>
      <c r="K65" s="373"/>
      <c r="L65" s="373"/>
      <c r="M65" s="373"/>
      <c r="N65" s="373"/>
      <c r="O65" s="373"/>
      <c r="P65" s="373"/>
      <c r="Q65" s="373"/>
    </row>
    <row r="66" spans="1:17" ht="14.4">
      <c r="A66" s="373"/>
      <c r="B66" s="373"/>
      <c r="C66" s="373"/>
      <c r="D66" s="373"/>
      <c r="E66" s="373"/>
      <c r="F66" s="373"/>
      <c r="G66" s="373"/>
      <c r="H66" s="373"/>
      <c r="I66" s="373"/>
      <c r="J66" s="373"/>
      <c r="K66" s="373"/>
      <c r="L66" s="373"/>
      <c r="M66" s="373"/>
      <c r="N66" s="373"/>
      <c r="O66" s="373"/>
      <c r="P66" s="373"/>
      <c r="Q66" s="373"/>
    </row>
    <row r="67" spans="1:17" ht="14.4">
      <c r="A67" s="373"/>
      <c r="B67" s="373"/>
      <c r="C67" s="373"/>
      <c r="D67" s="373"/>
      <c r="E67" s="373"/>
      <c r="F67" s="373"/>
      <c r="G67" s="373"/>
      <c r="H67" s="373"/>
      <c r="I67" s="373"/>
      <c r="J67" s="373"/>
      <c r="K67" s="373"/>
      <c r="L67" s="373"/>
      <c r="M67" s="373"/>
      <c r="N67" s="373"/>
      <c r="O67" s="373"/>
      <c r="P67" s="373"/>
      <c r="Q67" s="373"/>
    </row>
    <row r="68" spans="1:17" ht="14.4">
      <c r="A68" s="369"/>
      <c r="B68" s="373"/>
      <c r="C68" s="373"/>
      <c r="D68" s="373"/>
      <c r="E68" s="373"/>
      <c r="F68" s="373"/>
      <c r="G68" s="373"/>
      <c r="H68" s="373"/>
      <c r="I68" s="373"/>
      <c r="J68" s="373"/>
      <c r="K68" s="373"/>
      <c r="L68" s="373"/>
      <c r="M68" s="373"/>
      <c r="N68" s="373"/>
      <c r="O68" s="373"/>
      <c r="P68" s="373"/>
      <c r="Q68" s="373"/>
    </row>
    <row r="69" spans="1:17" ht="14.4">
      <c r="A69" s="508" t="s">
        <v>335</v>
      </c>
      <c r="B69" s="509"/>
      <c r="C69" s="509"/>
      <c r="D69" s="509"/>
      <c r="E69" s="509"/>
      <c r="F69" s="509"/>
      <c r="G69" s="509"/>
      <c r="H69" s="509"/>
      <c r="I69" s="509"/>
      <c r="J69" s="509"/>
      <c r="K69" s="509"/>
      <c r="L69" s="509"/>
      <c r="M69" s="509"/>
      <c r="N69" s="509"/>
      <c r="O69" s="509"/>
      <c r="P69" s="509"/>
      <c r="Q69" s="509"/>
    </row>
    <row r="70" spans="1:17" ht="27">
      <c r="A70" s="376"/>
      <c r="B70" s="304" t="s">
        <v>35</v>
      </c>
      <c r="C70" s="352" t="s">
        <v>407</v>
      </c>
      <c r="D70" s="352" t="s">
        <v>408</v>
      </c>
      <c r="E70" s="352" t="s">
        <v>409</v>
      </c>
      <c r="F70" s="352" t="s">
        <v>410</v>
      </c>
      <c r="G70" s="352" t="s">
        <v>411</v>
      </c>
      <c r="H70" s="352" t="s">
        <v>412</v>
      </c>
      <c r="I70" s="352" t="s">
        <v>413</v>
      </c>
      <c r="J70" s="352" t="s">
        <v>414</v>
      </c>
      <c r="K70" s="352" t="s">
        <v>415</v>
      </c>
      <c r="L70" s="352" t="s">
        <v>416</v>
      </c>
      <c r="M70" s="352" t="s">
        <v>417</v>
      </c>
      <c r="N70" s="352" t="s">
        <v>418</v>
      </c>
      <c r="O70" s="352" t="s">
        <v>419</v>
      </c>
      <c r="P70" s="352" t="s">
        <v>420</v>
      </c>
      <c r="Q70" s="352" t="s">
        <v>421</v>
      </c>
    </row>
    <row r="71" spans="1:17" ht="14.4">
      <c r="A71" s="363" t="s">
        <v>290</v>
      </c>
      <c r="B71" s="365"/>
      <c r="C71" s="367">
        <f>+Baseline_NaturalGas!D10</f>
        <v>219000</v>
      </c>
      <c r="D71" s="367">
        <f>+Baseline_NaturalGas!E10</f>
        <v>219000</v>
      </c>
      <c r="E71" s="367">
        <f>+Baseline_NaturalGas!F10</f>
        <v>219000</v>
      </c>
      <c r="F71" s="367">
        <f>+Baseline_NaturalGas!G10</f>
        <v>219000</v>
      </c>
      <c r="G71" s="367">
        <f>+Baseline_NaturalGas!H10</f>
        <v>219000</v>
      </c>
      <c r="H71" s="367">
        <f>+Baseline_NaturalGas!I10</f>
        <v>219000</v>
      </c>
      <c r="I71" s="367">
        <f>+Baseline_NaturalGas!J10</f>
        <v>219000</v>
      </c>
      <c r="J71" s="367">
        <f>+Baseline_NaturalGas!K10</f>
        <v>219000</v>
      </c>
      <c r="K71" s="367">
        <f>+Baseline_NaturalGas!L10</f>
        <v>219000</v>
      </c>
      <c r="L71" s="367">
        <f>+Baseline_NaturalGas!M10</f>
        <v>219000</v>
      </c>
      <c r="M71" s="367">
        <f>+Baseline_NaturalGas!N10</f>
        <v>219000</v>
      </c>
      <c r="N71" s="367">
        <f>+Baseline_NaturalGas!O10</f>
        <v>219000</v>
      </c>
      <c r="O71" s="367">
        <f>+Baseline_NaturalGas!P10</f>
        <v>219000</v>
      </c>
      <c r="P71" s="367">
        <f>+Baseline_NaturalGas!Q10</f>
        <v>219000</v>
      </c>
      <c r="Q71" s="367">
        <f>+Baseline_NaturalGas!R10</f>
        <v>219000</v>
      </c>
    </row>
    <row r="72" spans="1:17" ht="14.4">
      <c r="A72" s="364" t="s">
        <v>291</v>
      </c>
      <c r="B72" s="365"/>
      <c r="C72" s="367">
        <f>+Baseline_NaturalGas!D11</f>
        <v>70</v>
      </c>
      <c r="D72" s="367">
        <f>+Baseline_NaturalGas!E11</f>
        <v>70</v>
      </c>
      <c r="E72" s="367">
        <f>+Baseline_NaturalGas!F11</f>
        <v>70</v>
      </c>
      <c r="F72" s="367">
        <f>+Baseline_NaturalGas!G11</f>
        <v>70</v>
      </c>
      <c r="G72" s="367">
        <f>+Baseline_NaturalGas!H11</f>
        <v>70</v>
      </c>
      <c r="H72" s="367">
        <f>+Baseline_NaturalGas!I11</f>
        <v>70</v>
      </c>
      <c r="I72" s="367">
        <f>+Baseline_NaturalGas!J11</f>
        <v>70</v>
      </c>
      <c r="J72" s="367">
        <f>+Baseline_NaturalGas!K11</f>
        <v>70</v>
      </c>
      <c r="K72" s="367">
        <f>+Baseline_NaturalGas!L11</f>
        <v>70</v>
      </c>
      <c r="L72" s="367">
        <f>+Baseline_NaturalGas!M11</f>
        <v>70</v>
      </c>
      <c r="M72" s="367">
        <f>+Baseline_NaturalGas!N11</f>
        <v>70</v>
      </c>
      <c r="N72" s="367">
        <f>+Baseline_NaturalGas!O11</f>
        <v>70</v>
      </c>
      <c r="O72" s="367">
        <f>+Baseline_NaturalGas!P11</f>
        <v>70</v>
      </c>
      <c r="P72" s="367">
        <f>+Baseline_NaturalGas!Q11</f>
        <v>70</v>
      </c>
      <c r="Q72" s="367">
        <f>+Baseline_NaturalGas!R11</f>
        <v>70</v>
      </c>
    </row>
    <row r="73" spans="1:17" ht="14.4">
      <c r="A73" s="366" t="s">
        <v>292</v>
      </c>
      <c r="B73" s="365"/>
      <c r="C73" s="375">
        <f>+Baseline_NaturalGas!D12</f>
        <v>6.4285714285714288</v>
      </c>
      <c r="D73" s="375">
        <f>+Baseline_NaturalGas!E12</f>
        <v>6.6008571428571425</v>
      </c>
      <c r="E73" s="375">
        <f>+Baseline_NaturalGas!F12</f>
        <v>6.7777601142857131</v>
      </c>
      <c r="F73" s="375">
        <f>+Baseline_NaturalGas!G12</f>
        <v>6.9594040853485701</v>
      </c>
      <c r="G73" s="375">
        <f>+Baseline_NaturalGas!H12</f>
        <v>7.1459161148359112</v>
      </c>
      <c r="H73" s="375">
        <f>+Baseline_NaturalGas!I12</f>
        <v>7.3374266667135135</v>
      </c>
      <c r="I73" s="375">
        <f>+Baseline_NaturalGas!J12</f>
        <v>7.5340697013814353</v>
      </c>
      <c r="J73" s="375">
        <f>+Baseline_NaturalGas!K12</f>
        <v>7.7359827693784569</v>
      </c>
      <c r="K73" s="375">
        <f>+Baseline_NaturalGas!L12</f>
        <v>7.943307107597799</v>
      </c>
      <c r="L73" s="375">
        <f>+Baseline_NaturalGas!M12</f>
        <v>8.1561877380814192</v>
      </c>
      <c r="M73" s="375">
        <f>+Baseline_NaturalGas!N12</f>
        <v>8.3747735694620005</v>
      </c>
      <c r="N73" s="375">
        <f>+Baseline_NaturalGas!O12</f>
        <v>8.5992175011235812</v>
      </c>
      <c r="O73" s="375">
        <f>+Baseline_NaturalGas!P12</f>
        <v>8.8296765301536926</v>
      </c>
      <c r="P73" s="375">
        <f>+Baseline_NaturalGas!Q12</f>
        <v>9.066311861161811</v>
      </c>
      <c r="Q73" s="375">
        <f>+Baseline_NaturalGas!R12</f>
        <v>9.3092890190409463</v>
      </c>
    </row>
    <row r="74" spans="1:17" ht="14.4">
      <c r="A74" s="366" t="s">
        <v>293</v>
      </c>
      <c r="B74" s="365"/>
      <c r="C74" s="367">
        <f>+Baseline_NaturalGas!D13</f>
        <v>450</v>
      </c>
      <c r="D74" s="367">
        <f>+Baseline_NaturalGas!E13</f>
        <v>462.06</v>
      </c>
      <c r="E74" s="367">
        <f>+Baseline_NaturalGas!F13</f>
        <v>474.44320799999991</v>
      </c>
      <c r="F74" s="367">
        <f>+Baseline_NaturalGas!G13</f>
        <v>487.15828597439992</v>
      </c>
      <c r="G74" s="367">
        <f>+Baseline_NaturalGas!H13</f>
        <v>500.21412803851376</v>
      </c>
      <c r="H74" s="367">
        <f>+Baseline_NaturalGas!I13</f>
        <v>513.61986666994596</v>
      </c>
      <c r="I74" s="367">
        <f>+Baseline_NaturalGas!J13</f>
        <v>527.3848790967005</v>
      </c>
      <c r="J74" s="367">
        <f>+Baseline_NaturalGas!K13</f>
        <v>541.51879385649192</v>
      </c>
      <c r="K74" s="367">
        <f>+Baseline_NaturalGas!L13</f>
        <v>556.03149753184596</v>
      </c>
      <c r="L74" s="367">
        <f>+Baseline_NaturalGas!M13</f>
        <v>570.9331416656994</v>
      </c>
      <c r="M74" s="367">
        <f>+Baseline_NaturalGas!N13</f>
        <v>586.23414986234002</v>
      </c>
      <c r="N74" s="367">
        <f>+Baseline_NaturalGas!O13</f>
        <v>601.94522507865065</v>
      </c>
      <c r="O74" s="367">
        <f>+Baseline_NaturalGas!P13</f>
        <v>618.0773571107585</v>
      </c>
      <c r="P74" s="367">
        <f>+Baseline_NaturalGas!Q13</f>
        <v>634.64183028132675</v>
      </c>
      <c r="Q74" s="367">
        <f>+Baseline_NaturalGas!R13</f>
        <v>651.65023133286627</v>
      </c>
    </row>
    <row r="75" spans="1:17" ht="14.4">
      <c r="A75" s="370"/>
      <c r="B75" s="373"/>
      <c r="C75" s="373"/>
      <c r="D75" s="373"/>
      <c r="E75" s="373"/>
      <c r="F75" s="373"/>
      <c r="G75" s="373"/>
      <c r="H75" s="373"/>
      <c r="I75" s="373"/>
      <c r="J75" s="373"/>
      <c r="K75" s="373"/>
      <c r="L75" s="373"/>
      <c r="M75" s="373"/>
      <c r="N75" s="373"/>
      <c r="O75" s="373"/>
      <c r="P75" s="373"/>
      <c r="Q75" s="373"/>
    </row>
    <row r="76" spans="1:17" ht="14.4">
      <c r="A76" s="366" t="s">
        <v>294</v>
      </c>
      <c r="B76" s="378">
        <f>+SUM(C76:Q76)</f>
        <v>1790524.8581953994</v>
      </c>
      <c r="C76" s="367">
        <f>C71*C74/1000*'Initial Data'!$C$34/'Initial Data'!$C$33</f>
        <v>98550</v>
      </c>
      <c r="D76" s="367">
        <f>D71*D74/1000*'Initial Data'!$C$34/'Initial Data'!$C$33</f>
        <v>101191.14</v>
      </c>
      <c r="E76" s="367">
        <f>E71*E74/1000*'Initial Data'!$C$34/'Initial Data'!$C$33</f>
        <v>103903.06255199999</v>
      </c>
      <c r="F76" s="367">
        <f>F71*F74/1000*'Initial Data'!$C$34/'Initial Data'!$C$33</f>
        <v>106687.66462839357</v>
      </c>
      <c r="G76" s="367">
        <f>G71*G74/1000*'Initial Data'!$C$34/'Initial Data'!$C$33</f>
        <v>109546.8940404345</v>
      </c>
      <c r="H76" s="367">
        <f>H71*H74/1000*'Initial Data'!$C$34/'Initial Data'!$C$33</f>
        <v>112482.75080071818</v>
      </c>
      <c r="I76" s="367">
        <f>I71*I74/1000*'Initial Data'!$C$34/'Initial Data'!$C$33</f>
        <v>115497.28852217742</v>
      </c>
      <c r="J76" s="367">
        <f>J71*J74/1000*'Initial Data'!$C$34/'Initial Data'!$C$33</f>
        <v>118592.61585457173</v>
      </c>
      <c r="K76" s="367">
        <f>K71*K74/1000*'Initial Data'!$C$34/'Initial Data'!$C$33</f>
        <v>121770.89795947427</v>
      </c>
      <c r="L76" s="367">
        <f>L71*L74/1000*'Initial Data'!$C$34/'Initial Data'!$C$33</f>
        <v>125034.35802478818</v>
      </c>
      <c r="M76" s="367">
        <f>M71*M74/1000*'Initial Data'!$C$34/'Initial Data'!$C$33</f>
        <v>128385.27881985246</v>
      </c>
      <c r="N76" s="367">
        <f>N71*N74/1000*'Initial Data'!$C$34/'Initial Data'!$C$33</f>
        <v>131826.0042922245</v>
      </c>
      <c r="O76" s="367">
        <f>O71*O74/1000*'Initial Data'!$C$34/'Initial Data'!$C$33</f>
        <v>135358.94120725611</v>
      </c>
      <c r="P76" s="367">
        <f>P71*P74/1000*'Initial Data'!$C$34/'Initial Data'!$C$33</f>
        <v>138986.56083161055</v>
      </c>
      <c r="Q76" s="367">
        <f>Q71*Q74/1000*'Initial Data'!$C$34/'Initial Data'!$C$33</f>
        <v>142711.40066189773</v>
      </c>
    </row>
    <row r="77" spans="1:17" ht="14.4">
      <c r="A77" s="370"/>
      <c r="B77" s="373"/>
      <c r="C77" s="373"/>
      <c r="D77" s="373"/>
      <c r="E77" s="373"/>
      <c r="F77" s="373"/>
      <c r="G77" s="373"/>
      <c r="H77" s="373"/>
      <c r="I77" s="373"/>
      <c r="J77" s="373"/>
      <c r="K77" s="373"/>
      <c r="L77" s="373"/>
      <c r="M77" s="373"/>
      <c r="N77" s="373"/>
      <c r="O77" s="373"/>
      <c r="P77" s="373"/>
      <c r="Q77" s="373"/>
    </row>
    <row r="78" spans="1:17" ht="14.4">
      <c r="A78" s="366" t="s">
        <v>295</v>
      </c>
      <c r="B78" s="378">
        <f>+SUM(C78:Q78)</f>
        <v>1790524.8581953994</v>
      </c>
      <c r="C78" s="367">
        <f>+C76</f>
        <v>98550</v>
      </c>
      <c r="D78" s="367">
        <f t="shared" ref="D78:Q78" si="12">+D76</f>
        <v>101191.14</v>
      </c>
      <c r="E78" s="367">
        <f t="shared" si="12"/>
        <v>103903.06255199999</v>
      </c>
      <c r="F78" s="367">
        <f t="shared" si="12"/>
        <v>106687.66462839357</v>
      </c>
      <c r="G78" s="367">
        <f t="shared" si="12"/>
        <v>109546.8940404345</v>
      </c>
      <c r="H78" s="367">
        <f t="shared" si="12"/>
        <v>112482.75080071818</v>
      </c>
      <c r="I78" s="367">
        <f t="shared" si="12"/>
        <v>115497.28852217742</v>
      </c>
      <c r="J78" s="367">
        <f t="shared" si="12"/>
        <v>118592.61585457173</v>
      </c>
      <c r="K78" s="367">
        <f t="shared" si="12"/>
        <v>121770.89795947427</v>
      </c>
      <c r="L78" s="367">
        <f t="shared" si="12"/>
        <v>125034.35802478818</v>
      </c>
      <c r="M78" s="367">
        <f t="shared" si="12"/>
        <v>128385.27881985246</v>
      </c>
      <c r="N78" s="367">
        <f t="shared" si="12"/>
        <v>131826.0042922245</v>
      </c>
      <c r="O78" s="367">
        <f t="shared" si="12"/>
        <v>135358.94120725611</v>
      </c>
      <c r="P78" s="367">
        <f t="shared" si="12"/>
        <v>138986.56083161055</v>
      </c>
      <c r="Q78" s="367">
        <f t="shared" si="12"/>
        <v>142711.40066189773</v>
      </c>
    </row>
    <row r="79" spans="1:17" ht="14.4">
      <c r="A79" s="370"/>
      <c r="B79" s="374"/>
      <c r="C79" s="374"/>
      <c r="D79" s="374"/>
      <c r="E79" s="374"/>
      <c r="F79" s="374"/>
      <c r="G79" s="374"/>
      <c r="H79" s="374"/>
      <c r="I79" s="374"/>
      <c r="J79" s="374"/>
      <c r="K79" s="374"/>
      <c r="L79" s="374"/>
      <c r="M79" s="374"/>
      <c r="N79" s="374"/>
      <c r="O79" s="374"/>
      <c r="P79" s="374"/>
      <c r="Q79" s="374"/>
    </row>
    <row r="80" spans="1:17" ht="14.4">
      <c r="A80" s="366" t="s">
        <v>68</v>
      </c>
      <c r="B80" s="368"/>
      <c r="C80" s="368"/>
      <c r="D80" s="368"/>
      <c r="E80" s="368"/>
      <c r="F80" s="368"/>
      <c r="G80" s="368"/>
      <c r="H80" s="368"/>
      <c r="I80" s="368"/>
      <c r="J80" s="368"/>
      <c r="K80" s="368"/>
      <c r="L80" s="368"/>
      <c r="M80" s="368"/>
      <c r="N80" s="368"/>
      <c r="O80" s="368"/>
      <c r="P80" s="368"/>
      <c r="Q80" s="368"/>
    </row>
    <row r="81" spans="1:17" ht="14.4">
      <c r="A81" s="366" t="s">
        <v>330</v>
      </c>
      <c r="B81" s="378">
        <f>+SUM(C81:Q81)</f>
        <v>1164236.7164778456</v>
      </c>
      <c r="C81" s="381">
        <f>+Baseline_NaturalGas!D20*(1+$B$9)</f>
        <v>64079.271440291071</v>
      </c>
      <c r="D81" s="381">
        <f>+Baseline_NaturalGas!E20*(1+$B$9)</f>
        <v>65796.595914890873</v>
      </c>
      <c r="E81" s="381">
        <f>+Baseline_NaturalGas!F20*(1+$B$9)</f>
        <v>67559.944685409937</v>
      </c>
      <c r="F81" s="381">
        <f>+Baseline_NaturalGas!G20*(1+$B$9)</f>
        <v>69370.551202978924</v>
      </c>
      <c r="G81" s="381">
        <f>+Baseline_NaturalGas!H20*(1+$B$9)</f>
        <v>71229.681975218758</v>
      </c>
      <c r="H81" s="381">
        <f>+Baseline_NaturalGas!I20*(1+$B$9)</f>
        <v>73138.637452154609</v>
      </c>
      <c r="I81" s="381">
        <f>+Baseline_NaturalGas!J20*(1+$B$9)</f>
        <v>75098.752935872355</v>
      </c>
      <c r="J81" s="381">
        <f>+Baseline_NaturalGas!K20*(1+$B$9)</f>
        <v>77111.399514553734</v>
      </c>
      <c r="K81" s="381">
        <f>+Baseline_NaturalGas!L20*(1+$B$9)</f>
        <v>79177.985021543762</v>
      </c>
      <c r="L81" s="381">
        <f>+Baseline_NaturalGas!M20*(1+$B$9)</f>
        <v>81299.955020121124</v>
      </c>
      <c r="M81" s="381">
        <f>+Baseline_NaturalGas!N20*(1+$B$9)</f>
        <v>83478.793814660356</v>
      </c>
      <c r="N81" s="381">
        <f>+Baseline_NaturalGas!O20*(1+$B$9)</f>
        <v>85716.025488893254</v>
      </c>
      <c r="O81" s="381">
        <f>+Baseline_NaturalGas!P20*(1+$B$9)</f>
        <v>88013.214971995607</v>
      </c>
      <c r="P81" s="381">
        <f>+Baseline_NaturalGas!Q20*(1+$B$9)</f>
        <v>90371.969133245075</v>
      </c>
      <c r="Q81" s="381">
        <f>+Baseline_NaturalGas!R20*(1+$B$9)</f>
        <v>92793.937906016043</v>
      </c>
    </row>
    <row r="82" spans="1:17" ht="14.4">
      <c r="A82" s="370"/>
      <c r="B82" s="369"/>
      <c r="C82" s="369"/>
      <c r="D82" s="369"/>
      <c r="E82" s="369"/>
      <c r="F82" s="369"/>
      <c r="G82" s="369"/>
      <c r="H82" s="369"/>
      <c r="I82" s="369"/>
      <c r="J82" s="369"/>
      <c r="K82" s="369"/>
      <c r="L82" s="369"/>
      <c r="M82" s="369"/>
      <c r="N82" s="369"/>
      <c r="O82" s="369"/>
      <c r="P82" s="369"/>
      <c r="Q82" s="369"/>
    </row>
    <row r="83" spans="1:17" ht="14.4">
      <c r="A83" s="366" t="s">
        <v>71</v>
      </c>
      <c r="B83" s="379"/>
      <c r="C83" s="379"/>
      <c r="D83" s="379"/>
      <c r="E83" s="379"/>
      <c r="F83" s="379"/>
      <c r="G83" s="379"/>
      <c r="H83" s="379"/>
      <c r="I83" s="379"/>
      <c r="J83" s="379"/>
      <c r="K83" s="379"/>
      <c r="L83" s="379"/>
      <c r="M83" s="379"/>
      <c r="N83" s="379"/>
      <c r="O83" s="379"/>
      <c r="P83" s="379"/>
      <c r="Q83" s="379"/>
    </row>
    <row r="84" spans="1:17" ht="14.4">
      <c r="A84" s="370"/>
      <c r="B84" s="379"/>
      <c r="C84" s="379"/>
      <c r="D84" s="379"/>
      <c r="E84" s="379"/>
      <c r="F84" s="379"/>
      <c r="G84" s="379"/>
      <c r="H84" s="379"/>
      <c r="I84" s="379"/>
      <c r="J84" s="379"/>
      <c r="K84" s="379"/>
      <c r="L84" s="379"/>
      <c r="M84" s="379"/>
      <c r="N84" s="379"/>
      <c r="O84" s="379"/>
      <c r="P84" s="379"/>
      <c r="Q84" s="379"/>
    </row>
    <row r="85" spans="1:17" ht="14.4">
      <c r="A85" s="366" t="s">
        <v>64</v>
      </c>
      <c r="B85" s="373"/>
      <c r="C85" s="367">
        <f>+Baseline_NaturalGas!D24</f>
        <v>1656.5089715892002</v>
      </c>
      <c r="D85" s="367">
        <f>+Baseline_NaturalGas!E24</f>
        <v>1656.5089715892002</v>
      </c>
      <c r="E85" s="367">
        <f>+Baseline_NaturalGas!F24</f>
        <v>1656.5089715892002</v>
      </c>
      <c r="F85" s="367">
        <f>+Baseline_NaturalGas!G24</f>
        <v>1656.5089715892002</v>
      </c>
      <c r="G85" s="367">
        <f>+Baseline_NaturalGas!H24</f>
        <v>1656.5089715892002</v>
      </c>
      <c r="H85" s="367">
        <f>+Baseline_NaturalGas!I24</f>
        <v>1656.5089715892002</v>
      </c>
      <c r="I85" s="367">
        <f>+Baseline_NaturalGas!J24</f>
        <v>1656.5089715892002</v>
      </c>
      <c r="J85" s="367">
        <f>+Baseline_NaturalGas!K24</f>
        <v>1656.5089715892002</v>
      </c>
      <c r="K85" s="367">
        <f>+Baseline_NaturalGas!L24</f>
        <v>1656.5089715892002</v>
      </c>
      <c r="L85" s="367">
        <f>+Baseline_NaturalGas!M24</f>
        <v>1656.5089715892002</v>
      </c>
      <c r="M85" s="367">
        <f>+Baseline_NaturalGas!N24</f>
        <v>1656.5089715892002</v>
      </c>
      <c r="N85" s="367">
        <f>+Baseline_NaturalGas!O24</f>
        <v>1656.5089715892002</v>
      </c>
      <c r="O85" s="367">
        <f>+Baseline_NaturalGas!P24</f>
        <v>1656.5089715892002</v>
      </c>
      <c r="P85" s="367">
        <f>+Baseline_NaturalGas!Q24</f>
        <v>1656.5089715892002</v>
      </c>
      <c r="Q85" s="367">
        <f>+Baseline_NaturalGas!R24</f>
        <v>1656.5089715892002</v>
      </c>
    </row>
    <row r="86" spans="1:17" ht="14.4">
      <c r="A86" s="366" t="s">
        <v>108</v>
      </c>
      <c r="B86" s="387">
        <f>+Baseline_NaturalGas!C25</f>
        <v>0.90200000000000002</v>
      </c>
      <c r="C86" s="373"/>
      <c r="D86" s="373"/>
      <c r="E86" s="373"/>
      <c r="F86" s="373"/>
      <c r="G86" s="373"/>
      <c r="H86" s="373"/>
      <c r="I86" s="373"/>
      <c r="J86" s="373"/>
      <c r="K86" s="373"/>
      <c r="L86" s="373"/>
      <c r="M86" s="373"/>
      <c r="N86" s="373"/>
      <c r="O86" s="373"/>
      <c r="P86" s="373"/>
      <c r="Q86" s="373"/>
    </row>
    <row r="87" spans="1:17" ht="14.4">
      <c r="A87" s="366" t="s">
        <v>346</v>
      </c>
      <c r="B87" s="373"/>
      <c r="C87" s="367">
        <f>+Baseline_NaturalGas!D26</f>
        <v>1741816.7092883086</v>
      </c>
      <c r="D87" s="367">
        <f>+Baseline_NaturalGas!E26</f>
        <v>1741816.7092883086</v>
      </c>
      <c r="E87" s="367">
        <f>+Baseline_NaturalGas!F26</f>
        <v>1741816.7092883086</v>
      </c>
      <c r="F87" s="367">
        <f>+Baseline_NaturalGas!G26</f>
        <v>1741816.7092883086</v>
      </c>
      <c r="G87" s="367">
        <f>+Baseline_NaturalGas!H26</f>
        <v>1741816.7092883086</v>
      </c>
      <c r="H87" s="367">
        <f>+Baseline_NaturalGas!I26</f>
        <v>1741816.7092883086</v>
      </c>
      <c r="I87" s="367">
        <f>+Baseline_NaturalGas!J26</f>
        <v>1741816.7092883086</v>
      </c>
      <c r="J87" s="367">
        <f>+Baseline_NaturalGas!K26</f>
        <v>1741816.7092883086</v>
      </c>
      <c r="K87" s="367">
        <f>+Baseline_NaturalGas!L26</f>
        <v>1741816.7092883086</v>
      </c>
      <c r="L87" s="367">
        <f>+Baseline_NaturalGas!M26</f>
        <v>1741816.7092883086</v>
      </c>
      <c r="M87" s="367">
        <f>+Baseline_NaturalGas!N26</f>
        <v>1741816.7092883086</v>
      </c>
      <c r="N87" s="367">
        <f>+Baseline_NaturalGas!O26</f>
        <v>1741816.7092883086</v>
      </c>
      <c r="O87" s="367">
        <f>+Baseline_NaturalGas!P26</f>
        <v>1741816.7092883086</v>
      </c>
      <c r="P87" s="367">
        <f>+Baseline_NaturalGas!Q26</f>
        <v>1741816.7092883086</v>
      </c>
      <c r="Q87" s="367">
        <f>+Baseline_NaturalGas!R26</f>
        <v>1741816.7092883086</v>
      </c>
    </row>
    <row r="88" spans="1:17" ht="14.4">
      <c r="A88" s="366" t="s">
        <v>66</v>
      </c>
      <c r="B88" s="373"/>
      <c r="C88" s="367">
        <f>+Baseline_NaturalGas!D27</f>
        <v>5.6086944825694198</v>
      </c>
      <c r="D88" s="367">
        <f>+Baseline_NaturalGas!E27</f>
        <v>5.5051083831058802</v>
      </c>
      <c r="E88" s="367">
        <f>+Baseline_NaturalGas!F27</f>
        <v>5.61862622286578</v>
      </c>
      <c r="F88" s="367">
        <f>+Baseline_NaturalGas!G27</f>
        <v>5.8406487933251103</v>
      </c>
      <c r="G88" s="367">
        <f>+Baseline_NaturalGas!H27</f>
        <v>5.8453745748678001</v>
      </c>
      <c r="H88" s="367">
        <f>+Baseline_NaturalGas!I27</f>
        <v>6.0672099673130804</v>
      </c>
      <c r="I88" s="367">
        <f>+Baseline_NaturalGas!J27</f>
        <v>6.39755565092754</v>
      </c>
      <c r="J88" s="367">
        <f>+Baseline_NaturalGas!K27</f>
        <v>6.39755565092754</v>
      </c>
      <c r="K88" s="367">
        <f>+Baseline_NaturalGas!L27</f>
        <v>6.39755565092754</v>
      </c>
      <c r="L88" s="367">
        <f>+Baseline_NaturalGas!M27</f>
        <v>6.39755565092754</v>
      </c>
      <c r="M88" s="367">
        <f>+Baseline_NaturalGas!N27</f>
        <v>6.39755565092754</v>
      </c>
      <c r="N88" s="367">
        <f>+Baseline_NaturalGas!O27</f>
        <v>6.39755565092754</v>
      </c>
      <c r="O88" s="367">
        <f>+Baseline_NaturalGas!P27</f>
        <v>6.39755565092754</v>
      </c>
      <c r="P88" s="367">
        <f>+Baseline_NaturalGas!Q27</f>
        <v>6.39755565092754</v>
      </c>
      <c r="Q88" s="367">
        <f>+Baseline_NaturalGas!R27</f>
        <v>6.39755565092754</v>
      </c>
    </row>
    <row r="89" spans="1:17" ht="14.4">
      <c r="A89" s="370"/>
      <c r="B89" s="379"/>
      <c r="C89" s="379"/>
      <c r="D89" s="379"/>
      <c r="E89" s="379"/>
      <c r="F89" s="379"/>
      <c r="G89" s="379"/>
      <c r="H89" s="379"/>
      <c r="I89" s="379"/>
      <c r="J89" s="379"/>
      <c r="K89" s="379"/>
      <c r="L89" s="379"/>
      <c r="M89" s="379"/>
      <c r="N89" s="379"/>
      <c r="O89" s="379"/>
      <c r="P89" s="379"/>
      <c r="Q89" s="379"/>
    </row>
    <row r="90" spans="1:17" ht="14.4">
      <c r="A90" s="366" t="s">
        <v>102</v>
      </c>
      <c r="B90" s="378">
        <f t="shared" ref="B90" si="13">+SUM(C90:Q90)</f>
        <v>160358.02702356796</v>
      </c>
      <c r="C90" s="375">
        <f>+C87*C88/1000</f>
        <v>9769.3177670325604</v>
      </c>
      <c r="D90" s="375">
        <f>+D87*D88/1000</f>
        <v>9588.8897681369654</v>
      </c>
      <c r="E90" s="375">
        <f t="shared" ref="E90:Q90" si="14">+E87*E88/1000</f>
        <v>9786.6170382330711</v>
      </c>
      <c r="F90" s="375">
        <f t="shared" si="14"/>
        <v>10173.339661298274</v>
      </c>
      <c r="G90" s="375">
        <f t="shared" si="14"/>
        <v>10181.571106553778</v>
      </c>
      <c r="H90" s="375">
        <f t="shared" si="14"/>
        <v>10567.967699826495</v>
      </c>
      <c r="I90" s="375">
        <f t="shared" si="14"/>
        <v>11143.36933138743</v>
      </c>
      <c r="J90" s="375">
        <f t="shared" si="14"/>
        <v>11143.36933138743</v>
      </c>
      <c r="K90" s="375">
        <f t="shared" si="14"/>
        <v>11143.36933138743</v>
      </c>
      <c r="L90" s="375">
        <f t="shared" si="14"/>
        <v>11143.36933138743</v>
      </c>
      <c r="M90" s="375">
        <f t="shared" si="14"/>
        <v>11143.36933138743</v>
      </c>
      <c r="N90" s="375">
        <f t="shared" si="14"/>
        <v>11143.36933138743</v>
      </c>
      <c r="O90" s="375">
        <f t="shared" si="14"/>
        <v>11143.36933138743</v>
      </c>
      <c r="P90" s="375">
        <f t="shared" si="14"/>
        <v>11143.36933138743</v>
      </c>
      <c r="Q90" s="375">
        <f t="shared" si="14"/>
        <v>11143.36933138743</v>
      </c>
    </row>
    <row r="91" spans="1:17" ht="14.4">
      <c r="A91" s="370"/>
      <c r="B91" s="373"/>
      <c r="C91" s="373"/>
      <c r="D91" s="373"/>
      <c r="E91" s="373"/>
      <c r="F91" s="373"/>
      <c r="G91" s="373"/>
      <c r="H91" s="373"/>
      <c r="I91" s="373"/>
      <c r="J91" s="373"/>
      <c r="K91" s="373"/>
      <c r="L91" s="373"/>
      <c r="M91" s="373"/>
      <c r="N91" s="373"/>
      <c r="O91" s="373"/>
      <c r="P91" s="373"/>
      <c r="Q91" s="373"/>
    </row>
    <row r="92" spans="1:17" ht="14.4">
      <c r="A92" s="370"/>
      <c r="B92" s="379"/>
      <c r="C92" s="379"/>
      <c r="D92" s="379"/>
      <c r="E92" s="379"/>
      <c r="F92" s="379"/>
      <c r="G92" s="379"/>
      <c r="H92" s="379"/>
      <c r="I92" s="379"/>
      <c r="J92" s="379"/>
      <c r="K92" s="379"/>
      <c r="L92" s="379"/>
      <c r="M92" s="379"/>
      <c r="N92" s="379"/>
      <c r="O92" s="379"/>
      <c r="P92" s="379"/>
      <c r="Q92" s="379"/>
    </row>
    <row r="93" spans="1:17" ht="14.4">
      <c r="A93" s="366" t="s">
        <v>101</v>
      </c>
      <c r="B93" s="373"/>
      <c r="C93" s="375">
        <f>+C90+C81</f>
        <v>73848.589207323632</v>
      </c>
      <c r="D93" s="375">
        <f t="shared" ref="D93:Q93" si="15">+D90+D81</f>
        <v>75385.485683027844</v>
      </c>
      <c r="E93" s="375">
        <f t="shared" si="15"/>
        <v>77346.561723643012</v>
      </c>
      <c r="F93" s="375">
        <f t="shared" si="15"/>
        <v>79543.8908642772</v>
      </c>
      <c r="G93" s="375">
        <f t="shared" si="15"/>
        <v>81411.253081772535</v>
      </c>
      <c r="H93" s="375">
        <f t="shared" si="15"/>
        <v>83706.605151981101</v>
      </c>
      <c r="I93" s="375">
        <f t="shared" si="15"/>
        <v>86242.12226725978</v>
      </c>
      <c r="J93" s="375">
        <f t="shared" si="15"/>
        <v>88254.768845941158</v>
      </c>
      <c r="K93" s="375">
        <f t="shared" si="15"/>
        <v>90321.354352931186</v>
      </c>
      <c r="L93" s="375">
        <f t="shared" si="15"/>
        <v>92443.324351508549</v>
      </c>
      <c r="M93" s="375">
        <f t="shared" si="15"/>
        <v>94622.16314604778</v>
      </c>
      <c r="N93" s="375">
        <f t="shared" si="15"/>
        <v>96859.394820280679</v>
      </c>
      <c r="O93" s="375">
        <f t="shared" si="15"/>
        <v>99156.584303383032</v>
      </c>
      <c r="P93" s="375">
        <f t="shared" si="15"/>
        <v>101515.3384646325</v>
      </c>
      <c r="Q93" s="375">
        <f t="shared" si="15"/>
        <v>103937.30723740347</v>
      </c>
    </row>
    <row r="94" spans="1:17" ht="14.4">
      <c r="A94" s="370"/>
      <c r="B94" s="379"/>
      <c r="C94" s="379"/>
      <c r="D94" s="379"/>
      <c r="E94" s="379"/>
      <c r="F94" s="379"/>
      <c r="G94" s="379"/>
      <c r="H94" s="379"/>
      <c r="I94" s="379"/>
      <c r="J94" s="379"/>
      <c r="K94" s="379"/>
      <c r="L94" s="379"/>
      <c r="M94" s="379"/>
      <c r="N94" s="379"/>
      <c r="O94" s="379"/>
      <c r="P94" s="379"/>
      <c r="Q94" s="379"/>
    </row>
    <row r="95" spans="1:17" ht="14.4">
      <c r="A95" s="366" t="s">
        <v>73</v>
      </c>
      <c r="B95" s="378">
        <f>+SUM(C95:Q95)</f>
        <v>11487.524395535713</v>
      </c>
      <c r="C95" s="367">
        <f>+Baseline_NaturalGas!$D$5/'Initial Data'!$C$19</f>
        <v>1148.7524395535715</v>
      </c>
      <c r="D95" s="367">
        <f>+Baseline_NaturalGas!$D$5/'Initial Data'!$C$19</f>
        <v>1148.7524395535715</v>
      </c>
      <c r="E95" s="367">
        <f>+Baseline_NaturalGas!$D$5/'Initial Data'!$C$19</f>
        <v>1148.7524395535715</v>
      </c>
      <c r="F95" s="367">
        <f>+Baseline_NaturalGas!$D$5/'Initial Data'!$C$19</f>
        <v>1148.7524395535715</v>
      </c>
      <c r="G95" s="367">
        <f>+Baseline_NaturalGas!$D$5/'Initial Data'!$C$19</f>
        <v>1148.7524395535715</v>
      </c>
      <c r="H95" s="367">
        <f>+Baseline_NaturalGas!$D$5/'Initial Data'!$C$19</f>
        <v>1148.7524395535715</v>
      </c>
      <c r="I95" s="367">
        <f>+Baseline_NaturalGas!$D$5/'Initial Data'!$C$19</f>
        <v>1148.7524395535715</v>
      </c>
      <c r="J95" s="367">
        <f>+Baseline_NaturalGas!$D$5/'Initial Data'!$C$19</f>
        <v>1148.7524395535715</v>
      </c>
      <c r="K95" s="367">
        <f>+Baseline_NaturalGas!$D$5/'Initial Data'!$C$19</f>
        <v>1148.7524395535715</v>
      </c>
      <c r="L95" s="367">
        <f>+Baseline_NaturalGas!$D$5/'Initial Data'!$C$19</f>
        <v>1148.7524395535715</v>
      </c>
      <c r="M95" s="367">
        <v>0</v>
      </c>
      <c r="N95" s="367">
        <v>0</v>
      </c>
      <c r="O95" s="367">
        <v>0</v>
      </c>
      <c r="P95" s="367">
        <v>0</v>
      </c>
      <c r="Q95" s="367">
        <v>0</v>
      </c>
    </row>
    <row r="96" spans="1:17" ht="14.4">
      <c r="A96" s="366" t="s">
        <v>74</v>
      </c>
      <c r="B96" s="378">
        <f>+SUM(C96:Q96)</f>
        <v>11487.524395535713</v>
      </c>
      <c r="C96" s="367">
        <f>SUM(C95:C95)</f>
        <v>1148.7524395535715</v>
      </c>
      <c r="D96" s="367">
        <f t="shared" ref="D96" si="16">SUM(D95:D95)</f>
        <v>1148.7524395535715</v>
      </c>
      <c r="E96" s="367">
        <f t="shared" ref="E96" si="17">SUM(E95:E95)</f>
        <v>1148.7524395535715</v>
      </c>
      <c r="F96" s="367">
        <f t="shared" ref="F96" si="18">SUM(F95:F95)</f>
        <v>1148.7524395535715</v>
      </c>
      <c r="G96" s="367">
        <f t="shared" ref="G96" si="19">SUM(G95:G95)</f>
        <v>1148.7524395535715</v>
      </c>
      <c r="H96" s="367">
        <f t="shared" ref="H96" si="20">SUM(H95:H95)</f>
        <v>1148.7524395535715</v>
      </c>
      <c r="I96" s="367">
        <f t="shared" ref="I96" si="21">SUM(I95:I95)</f>
        <v>1148.7524395535715</v>
      </c>
      <c r="J96" s="367">
        <f t="shared" ref="J96" si="22">SUM(J95:J95)</f>
        <v>1148.7524395535715</v>
      </c>
      <c r="K96" s="367">
        <f t="shared" ref="K96" si="23">SUM(K95:K95)</f>
        <v>1148.7524395535715</v>
      </c>
      <c r="L96" s="367">
        <f t="shared" ref="L96" si="24">SUM(L95:L95)</f>
        <v>1148.7524395535715</v>
      </c>
      <c r="M96" s="367">
        <f t="shared" ref="M96" si="25">SUM(M95:M95)</f>
        <v>0</v>
      </c>
      <c r="N96" s="367">
        <f t="shared" ref="N96" si="26">SUM(N95:N95)</f>
        <v>0</v>
      </c>
      <c r="O96" s="367">
        <f t="shared" ref="O96" si="27">SUM(O95:O95)</f>
        <v>0</v>
      </c>
      <c r="P96" s="367">
        <f t="shared" ref="P96" si="28">SUM(P95:P95)</f>
        <v>0</v>
      </c>
      <c r="Q96" s="367">
        <f t="shared" ref="Q96" si="29">SUM(Q95:Q95)</f>
        <v>0</v>
      </c>
    </row>
    <row r="97" spans="1:17" ht="14.4">
      <c r="A97" s="90"/>
      <c r="B97" s="388"/>
      <c r="C97" s="373"/>
      <c r="D97" s="373"/>
      <c r="E97" s="373"/>
      <c r="F97" s="373"/>
      <c r="G97" s="373"/>
      <c r="H97" s="373"/>
      <c r="I97" s="373"/>
      <c r="J97" s="373"/>
      <c r="K97" s="373"/>
      <c r="L97" s="373"/>
      <c r="M97" s="373"/>
      <c r="N97" s="373"/>
      <c r="O97" s="373"/>
      <c r="P97" s="373"/>
      <c r="Q97" s="373"/>
    </row>
    <row r="98" spans="1:17" ht="14.4">
      <c r="A98" s="366" t="s">
        <v>75</v>
      </c>
      <c r="B98" s="378">
        <f>+SUM(C98:Q98)</f>
        <v>1336082.2678969491</v>
      </c>
      <c r="C98" s="367">
        <f>+C93+C96</f>
        <v>74997.341646877205</v>
      </c>
      <c r="D98" s="367">
        <f t="shared" ref="D98:Q98" si="30">+D93+D96</f>
        <v>76534.238122581417</v>
      </c>
      <c r="E98" s="367">
        <f t="shared" si="30"/>
        <v>78495.314163196585</v>
      </c>
      <c r="F98" s="367">
        <f t="shared" si="30"/>
        <v>80692.643303830773</v>
      </c>
      <c r="G98" s="367">
        <f t="shared" si="30"/>
        <v>82560.005521326108</v>
      </c>
      <c r="H98" s="367">
        <f t="shared" si="30"/>
        <v>84855.357591534674</v>
      </c>
      <c r="I98" s="367">
        <f t="shared" si="30"/>
        <v>87390.874706813353</v>
      </c>
      <c r="J98" s="367">
        <f t="shared" si="30"/>
        <v>89403.521285494731</v>
      </c>
      <c r="K98" s="367">
        <f t="shared" si="30"/>
        <v>91470.106792484759</v>
      </c>
      <c r="L98" s="367">
        <f t="shared" si="30"/>
        <v>93592.076791062122</v>
      </c>
      <c r="M98" s="367">
        <f t="shared" si="30"/>
        <v>94622.16314604778</v>
      </c>
      <c r="N98" s="367">
        <f t="shared" si="30"/>
        <v>96859.394820280679</v>
      </c>
      <c r="O98" s="367">
        <f t="shared" si="30"/>
        <v>99156.584303383032</v>
      </c>
      <c r="P98" s="367">
        <f t="shared" si="30"/>
        <v>101515.3384646325</v>
      </c>
      <c r="Q98" s="367">
        <f t="shared" si="30"/>
        <v>103937.30723740347</v>
      </c>
    </row>
    <row r="99" spans="1:17">
      <c r="A99" s="74"/>
    </row>
    <row r="100" spans="1:17" ht="14.4">
      <c r="A100" s="366" t="s">
        <v>76</v>
      </c>
      <c r="B100" s="378">
        <f>+SUM(C100:Q100)</f>
        <v>454442.59029845003</v>
      </c>
      <c r="C100" s="367">
        <f>+C78-C98</f>
        <v>23552.658353122795</v>
      </c>
      <c r="D100" s="367">
        <f t="shared" ref="D100:Q100" si="31">+D78-D98</f>
        <v>24656.901877418582</v>
      </c>
      <c r="E100" s="367">
        <f t="shared" si="31"/>
        <v>25407.748388803404</v>
      </c>
      <c r="F100" s="367">
        <f t="shared" si="31"/>
        <v>25995.021324562797</v>
      </c>
      <c r="G100" s="367">
        <f t="shared" si="31"/>
        <v>26986.888519108397</v>
      </c>
      <c r="H100" s="367">
        <f t="shared" si="31"/>
        <v>27627.393209183501</v>
      </c>
      <c r="I100" s="367">
        <f t="shared" si="31"/>
        <v>28106.413815364067</v>
      </c>
      <c r="J100" s="367">
        <f t="shared" si="31"/>
        <v>29189.094569077002</v>
      </c>
      <c r="K100" s="367">
        <f t="shared" si="31"/>
        <v>30300.791166989511</v>
      </c>
      <c r="L100" s="367">
        <f t="shared" si="31"/>
        <v>31442.281233726055</v>
      </c>
      <c r="M100" s="367">
        <f t="shared" si="31"/>
        <v>33763.115673804685</v>
      </c>
      <c r="N100" s="367">
        <f t="shared" si="31"/>
        <v>34966.609471943826</v>
      </c>
      <c r="O100" s="367">
        <f t="shared" si="31"/>
        <v>36202.356903873078</v>
      </c>
      <c r="P100" s="367">
        <f t="shared" si="31"/>
        <v>37471.222366978051</v>
      </c>
      <c r="Q100" s="367">
        <f t="shared" si="31"/>
        <v>38774.093424494262</v>
      </c>
    </row>
    <row r="101" spans="1:17" ht="14.4">
      <c r="A101" s="369"/>
      <c r="B101" s="373"/>
      <c r="C101" s="373"/>
      <c r="D101" s="373"/>
      <c r="E101" s="373"/>
      <c r="F101" s="373"/>
      <c r="G101" s="373"/>
      <c r="H101" s="373"/>
      <c r="I101" s="373"/>
      <c r="J101" s="373"/>
      <c r="K101" s="373"/>
      <c r="L101" s="373"/>
      <c r="M101" s="373"/>
      <c r="N101" s="373"/>
      <c r="O101" s="373"/>
      <c r="P101" s="373"/>
      <c r="Q101" s="373"/>
    </row>
    <row r="102" spans="1:17" ht="14.4">
      <c r="A102" s="366" t="s">
        <v>222</v>
      </c>
      <c r="B102" s="380">
        <f>+Baseline_NaturalGas!C43</f>
        <v>0.7</v>
      </c>
      <c r="C102" s="367">
        <f>IF((+$B$102*C100)&lt;0,"0",(+$B$102*C100))</f>
        <v>16486.860847185955</v>
      </c>
      <c r="D102" s="367">
        <f t="shared" ref="D102:Q102" si="32">IF((+$B$102*D100)&lt;0,"0",(+$B$102*D100))</f>
        <v>17259.831314193005</v>
      </c>
      <c r="E102" s="367">
        <f t="shared" si="32"/>
        <v>17785.423872162381</v>
      </c>
      <c r="F102" s="367">
        <f t="shared" si="32"/>
        <v>18196.514927193955</v>
      </c>
      <c r="G102" s="367">
        <f t="shared" si="32"/>
        <v>18890.821963375878</v>
      </c>
      <c r="H102" s="367">
        <f t="shared" si="32"/>
        <v>19339.175246428451</v>
      </c>
      <c r="I102" s="367">
        <f t="shared" si="32"/>
        <v>19674.489670754847</v>
      </c>
      <c r="J102" s="367">
        <f t="shared" si="32"/>
        <v>20432.366198353899</v>
      </c>
      <c r="K102" s="367">
        <f t="shared" si="32"/>
        <v>21210.553816892658</v>
      </c>
      <c r="L102" s="367">
        <f t="shared" si="32"/>
        <v>22009.596863608236</v>
      </c>
      <c r="M102" s="367">
        <f t="shared" si="32"/>
        <v>23634.180971663278</v>
      </c>
      <c r="N102" s="367">
        <f t="shared" si="32"/>
        <v>24476.626630360675</v>
      </c>
      <c r="O102" s="367">
        <f t="shared" si="32"/>
        <v>25341.649832711155</v>
      </c>
      <c r="P102" s="367">
        <f t="shared" si="32"/>
        <v>26229.855656884632</v>
      </c>
      <c r="Q102" s="367">
        <f t="shared" si="32"/>
        <v>27141.865397145983</v>
      </c>
    </row>
    <row r="103" spans="1:17" ht="14.4">
      <c r="A103" s="366" t="s">
        <v>77</v>
      </c>
      <c r="B103" s="378">
        <f>+SUM(C103:Q103)</f>
        <v>318109.81320891494</v>
      </c>
      <c r="C103" s="367">
        <f>SUM(C102:C102)</f>
        <v>16486.860847185955</v>
      </c>
      <c r="D103" s="367">
        <f t="shared" ref="D103" si="33">SUM(D102:D102)</f>
        <v>17259.831314193005</v>
      </c>
      <c r="E103" s="367">
        <f t="shared" ref="E103" si="34">SUM(E102:E102)</f>
        <v>17785.423872162381</v>
      </c>
      <c r="F103" s="367">
        <f t="shared" ref="F103" si="35">SUM(F102:F102)</f>
        <v>18196.514927193955</v>
      </c>
      <c r="G103" s="367">
        <f t="shared" ref="G103" si="36">SUM(G102:G102)</f>
        <v>18890.821963375878</v>
      </c>
      <c r="H103" s="367">
        <f t="shared" ref="H103" si="37">SUM(H102:H102)</f>
        <v>19339.175246428451</v>
      </c>
      <c r="I103" s="367">
        <f t="shared" ref="I103" si="38">SUM(I102:I102)</f>
        <v>19674.489670754847</v>
      </c>
      <c r="J103" s="367">
        <f t="shared" ref="J103" si="39">SUM(J102:J102)</f>
        <v>20432.366198353899</v>
      </c>
      <c r="K103" s="367">
        <f t="shared" ref="K103" si="40">SUM(K102:K102)</f>
        <v>21210.553816892658</v>
      </c>
      <c r="L103" s="367">
        <f t="shared" ref="L103" si="41">SUM(L102:L102)</f>
        <v>22009.596863608236</v>
      </c>
      <c r="M103" s="367">
        <f t="shared" ref="M103" si="42">SUM(M102:M102)</f>
        <v>23634.180971663278</v>
      </c>
      <c r="N103" s="367">
        <f t="shared" ref="N103" si="43">SUM(N102:N102)</f>
        <v>24476.626630360675</v>
      </c>
      <c r="O103" s="367">
        <f t="shared" ref="O103" si="44">SUM(O102:O102)</f>
        <v>25341.649832711155</v>
      </c>
      <c r="P103" s="367">
        <f t="shared" ref="P103" si="45">SUM(P102:P102)</f>
        <v>26229.855656884632</v>
      </c>
      <c r="Q103" s="367">
        <f t="shared" ref="Q103" si="46">SUM(Q102:Q102)</f>
        <v>27141.865397145983</v>
      </c>
    </row>
    <row r="104" spans="1:17" ht="14.4">
      <c r="A104" s="369"/>
      <c r="B104" s="373"/>
      <c r="C104" s="373"/>
      <c r="D104" s="373"/>
      <c r="E104" s="373"/>
      <c r="F104" s="373"/>
      <c r="G104" s="373"/>
      <c r="H104" s="373"/>
      <c r="I104" s="373"/>
      <c r="J104" s="373"/>
      <c r="K104" s="373"/>
      <c r="L104" s="373"/>
      <c r="M104" s="373"/>
      <c r="N104" s="373"/>
      <c r="O104" s="373"/>
      <c r="P104" s="373"/>
      <c r="Q104" s="373"/>
    </row>
    <row r="105" spans="1:17" ht="14.4">
      <c r="A105" s="366" t="s">
        <v>78</v>
      </c>
      <c r="B105" s="378">
        <f>+SUM(C105:Q105)</f>
        <v>136332.77708953503</v>
      </c>
      <c r="C105" s="367">
        <f>+C100-C103</f>
        <v>7065.79750593684</v>
      </c>
      <c r="D105" s="367">
        <f t="shared" ref="D105:Q105" si="47">+D100-D103</f>
        <v>7397.0705632255776</v>
      </c>
      <c r="E105" s="367">
        <f t="shared" si="47"/>
        <v>7622.3245166410234</v>
      </c>
      <c r="F105" s="367">
        <f t="shared" si="47"/>
        <v>7798.5063973688411</v>
      </c>
      <c r="G105" s="367">
        <f t="shared" si="47"/>
        <v>8096.0665557325192</v>
      </c>
      <c r="H105" s="367">
        <f t="shared" si="47"/>
        <v>8288.2179627550504</v>
      </c>
      <c r="I105" s="367">
        <f t="shared" si="47"/>
        <v>8431.9241446092201</v>
      </c>
      <c r="J105" s="367">
        <f t="shared" si="47"/>
        <v>8756.7283707231036</v>
      </c>
      <c r="K105" s="367">
        <f t="shared" si="47"/>
        <v>9090.2373500968533</v>
      </c>
      <c r="L105" s="367">
        <f t="shared" si="47"/>
        <v>9432.6843701178186</v>
      </c>
      <c r="M105" s="367">
        <f t="shared" si="47"/>
        <v>10128.934702141407</v>
      </c>
      <c r="N105" s="367">
        <f t="shared" si="47"/>
        <v>10489.982841583151</v>
      </c>
      <c r="O105" s="367">
        <f t="shared" si="47"/>
        <v>10860.707071161924</v>
      </c>
      <c r="P105" s="367">
        <f t="shared" si="47"/>
        <v>11241.366710093418</v>
      </c>
      <c r="Q105" s="367">
        <f t="shared" si="47"/>
        <v>11632.228027348279</v>
      </c>
    </row>
    <row r="106" spans="1:17" ht="14.4">
      <c r="A106" s="395" t="s">
        <v>331</v>
      </c>
      <c r="B106" s="378">
        <f>+SUM(C106:Q106)</f>
        <v>11487.524395535713</v>
      </c>
      <c r="C106" s="377">
        <f>+C95</f>
        <v>1148.7524395535715</v>
      </c>
      <c r="D106" s="377">
        <f t="shared" ref="D106:Q106" si="48">+D95</f>
        <v>1148.7524395535715</v>
      </c>
      <c r="E106" s="377">
        <f t="shared" si="48"/>
        <v>1148.7524395535715</v>
      </c>
      <c r="F106" s="377">
        <f t="shared" si="48"/>
        <v>1148.7524395535715</v>
      </c>
      <c r="G106" s="377">
        <f t="shared" si="48"/>
        <v>1148.7524395535715</v>
      </c>
      <c r="H106" s="377">
        <f t="shared" si="48"/>
        <v>1148.7524395535715</v>
      </c>
      <c r="I106" s="377">
        <f t="shared" si="48"/>
        <v>1148.7524395535715</v>
      </c>
      <c r="J106" s="377">
        <f t="shared" si="48"/>
        <v>1148.7524395535715</v>
      </c>
      <c r="K106" s="377">
        <f t="shared" si="48"/>
        <v>1148.7524395535715</v>
      </c>
      <c r="L106" s="377">
        <f t="shared" si="48"/>
        <v>1148.7524395535715</v>
      </c>
      <c r="M106" s="377">
        <f t="shared" si="48"/>
        <v>0</v>
      </c>
      <c r="N106" s="377">
        <f t="shared" si="48"/>
        <v>0</v>
      </c>
      <c r="O106" s="377">
        <f t="shared" si="48"/>
        <v>0</v>
      </c>
      <c r="P106" s="377">
        <f t="shared" si="48"/>
        <v>0</v>
      </c>
      <c r="Q106" s="377">
        <f t="shared" si="48"/>
        <v>0</v>
      </c>
    </row>
    <row r="107" spans="1:17" ht="14.4">
      <c r="A107" s="395" t="s">
        <v>332</v>
      </c>
      <c r="B107" s="378">
        <f>+Baseline_NaturalGas!C228</f>
        <v>0</v>
      </c>
      <c r="C107" s="367">
        <f>+Baseline_NaturalGas!D228</f>
        <v>0</v>
      </c>
      <c r="D107" s="367">
        <f>+Baseline_NaturalGas!E228</f>
        <v>0</v>
      </c>
      <c r="E107" s="367">
        <f>+Baseline_NaturalGas!F228</f>
        <v>0</v>
      </c>
      <c r="F107" s="367">
        <f>+Baseline_NaturalGas!G228</f>
        <v>0</v>
      </c>
      <c r="G107" s="367">
        <f>+Baseline_NaturalGas!H228</f>
        <v>0</v>
      </c>
      <c r="H107" s="367">
        <f>+Baseline_NaturalGas!I228</f>
        <v>0</v>
      </c>
      <c r="I107" s="367">
        <f>+Baseline_NaturalGas!J228</f>
        <v>0</v>
      </c>
      <c r="J107" s="367">
        <f>+Baseline_NaturalGas!K228</f>
        <v>0</v>
      </c>
      <c r="K107" s="367">
        <f>+Baseline_NaturalGas!L228</f>
        <v>0</v>
      </c>
      <c r="L107" s="367">
        <f>+Baseline_NaturalGas!M228</f>
        <v>0</v>
      </c>
      <c r="M107" s="367">
        <f>+Baseline_NaturalGas!N228</f>
        <v>0</v>
      </c>
      <c r="N107" s="367">
        <f>+Baseline_NaturalGas!O228</f>
        <v>0</v>
      </c>
      <c r="O107" s="367">
        <f>+Baseline_NaturalGas!P228</f>
        <v>0</v>
      </c>
      <c r="P107" s="367">
        <f>+Baseline_NaturalGas!Q228</f>
        <v>0</v>
      </c>
      <c r="Q107" s="367">
        <f>+Baseline_NaturalGas!R228</f>
        <v>0</v>
      </c>
    </row>
    <row r="108" spans="1:17" ht="14.4">
      <c r="A108" s="510"/>
      <c r="B108" s="511"/>
      <c r="C108" s="511"/>
      <c r="D108" s="511"/>
      <c r="E108" s="511"/>
      <c r="F108" s="511"/>
      <c r="G108" s="511"/>
      <c r="H108" s="511"/>
      <c r="I108" s="511"/>
      <c r="J108" s="511"/>
      <c r="K108" s="511"/>
      <c r="L108" s="511"/>
      <c r="M108" s="511"/>
      <c r="N108" s="511"/>
      <c r="O108" s="511"/>
      <c r="P108" s="511"/>
      <c r="Q108" s="511"/>
    </row>
    <row r="109" spans="1:17" ht="14.4">
      <c r="A109" s="366" t="s">
        <v>110</v>
      </c>
      <c r="B109" s="378">
        <f>-Baseline_NaturalGas!$D$5</f>
        <v>-11487.524395535715</v>
      </c>
      <c r="C109" s="367">
        <f>+C105+C106+C107</f>
        <v>8214.5499454904111</v>
      </c>
      <c r="D109" s="367">
        <f t="shared" ref="D109:Q109" si="49">+D105+D106+D107</f>
        <v>8545.8230027791487</v>
      </c>
      <c r="E109" s="367">
        <f t="shared" si="49"/>
        <v>8771.0769561945945</v>
      </c>
      <c r="F109" s="367">
        <f t="shared" si="49"/>
        <v>8947.2588369224122</v>
      </c>
      <c r="G109" s="367">
        <f t="shared" si="49"/>
        <v>9244.8189952860903</v>
      </c>
      <c r="H109" s="367">
        <f t="shared" si="49"/>
        <v>9436.9704023086215</v>
      </c>
      <c r="I109" s="367">
        <f t="shared" si="49"/>
        <v>9580.6765841627912</v>
      </c>
      <c r="J109" s="367">
        <f t="shared" si="49"/>
        <v>9905.4808102766747</v>
      </c>
      <c r="K109" s="367">
        <f t="shared" si="49"/>
        <v>10238.989789650424</v>
      </c>
      <c r="L109" s="367">
        <f t="shared" si="49"/>
        <v>10581.43680967139</v>
      </c>
      <c r="M109" s="367">
        <f t="shared" si="49"/>
        <v>10128.934702141407</v>
      </c>
      <c r="N109" s="367">
        <f t="shared" si="49"/>
        <v>10489.982841583151</v>
      </c>
      <c r="O109" s="367">
        <f t="shared" si="49"/>
        <v>10860.707071161924</v>
      </c>
      <c r="P109" s="367">
        <f t="shared" si="49"/>
        <v>11241.366710093418</v>
      </c>
      <c r="Q109" s="367">
        <f t="shared" si="49"/>
        <v>11632.228027348279</v>
      </c>
    </row>
    <row r="110" spans="1:17" ht="15.6">
      <c r="A110" s="366" t="s">
        <v>51</v>
      </c>
      <c r="B110" s="132">
        <f>IRR(B109:Q109)</f>
        <v>0.74603761144093084</v>
      </c>
      <c r="C110" s="390"/>
      <c r="D110" s="390"/>
      <c r="E110" s="390"/>
      <c r="F110" s="390"/>
      <c r="G110" s="390"/>
      <c r="H110" s="390"/>
      <c r="I110" s="390"/>
      <c r="J110" s="390"/>
      <c r="K110" s="390"/>
      <c r="L110" s="390"/>
      <c r="M110" s="390"/>
      <c r="N110" s="390"/>
      <c r="O110" s="390"/>
      <c r="P110" s="390"/>
      <c r="Q110" s="390"/>
    </row>
    <row r="111" spans="1:17" ht="15.6">
      <c r="A111" s="366" t="s">
        <v>267</v>
      </c>
      <c r="B111" s="303">
        <f>NPV('Initial Data'!$C$21/100,B109:Q109)</f>
        <v>46935.730458518396</v>
      </c>
      <c r="C111" s="373"/>
      <c r="D111" s="373"/>
      <c r="E111" s="373"/>
      <c r="F111" s="373"/>
      <c r="G111" s="373"/>
      <c r="H111" s="373"/>
      <c r="I111" s="373"/>
      <c r="J111" s="373"/>
      <c r="K111" s="373"/>
      <c r="L111" s="373"/>
      <c r="M111" s="373"/>
      <c r="N111" s="373"/>
      <c r="O111" s="373"/>
      <c r="P111" s="373"/>
      <c r="Q111" s="373"/>
    </row>
    <row r="112" spans="1:17" ht="14.4">
      <c r="A112" s="369"/>
      <c r="B112" s="373"/>
      <c r="C112" s="373"/>
      <c r="D112" s="373"/>
      <c r="E112" s="373"/>
      <c r="F112" s="373"/>
      <c r="G112" s="373"/>
      <c r="H112" s="373"/>
      <c r="I112" s="373"/>
      <c r="J112" s="373"/>
      <c r="K112" s="373"/>
      <c r="L112" s="373"/>
      <c r="M112" s="373"/>
      <c r="N112" s="373"/>
      <c r="O112" s="373"/>
      <c r="P112" s="373"/>
      <c r="Q112" s="373"/>
    </row>
    <row r="113" spans="1:17" ht="14.4">
      <c r="A113" s="508" t="s">
        <v>426</v>
      </c>
      <c r="B113" s="509"/>
      <c r="C113" s="509"/>
      <c r="D113" s="509"/>
      <c r="E113" s="509"/>
      <c r="F113" s="509"/>
      <c r="G113" s="509"/>
      <c r="H113" s="509"/>
      <c r="I113" s="509"/>
      <c r="J113" s="509"/>
      <c r="K113" s="509"/>
      <c r="L113" s="509"/>
      <c r="M113" s="509"/>
      <c r="N113" s="509"/>
      <c r="O113" s="509"/>
      <c r="P113" s="509"/>
      <c r="Q113" s="509"/>
    </row>
    <row r="114" spans="1:17" ht="27">
      <c r="A114" s="376"/>
      <c r="B114" s="304" t="s">
        <v>35</v>
      </c>
      <c r="C114" s="352" t="s">
        <v>407</v>
      </c>
      <c r="D114" s="352" t="s">
        <v>408</v>
      </c>
      <c r="E114" s="352" t="s">
        <v>409</v>
      </c>
      <c r="F114" s="352" t="s">
        <v>410</v>
      </c>
      <c r="G114" s="352" t="s">
        <v>411</v>
      </c>
      <c r="H114" s="352" t="s">
        <v>412</v>
      </c>
      <c r="I114" s="352" t="s">
        <v>413</v>
      </c>
      <c r="J114" s="352" t="s">
        <v>414</v>
      </c>
      <c r="K114" s="352" t="s">
        <v>415</v>
      </c>
      <c r="L114" s="352" t="s">
        <v>416</v>
      </c>
      <c r="M114" s="352" t="s">
        <v>417</v>
      </c>
      <c r="N114" s="352" t="s">
        <v>418</v>
      </c>
      <c r="O114" s="352" t="s">
        <v>419</v>
      </c>
      <c r="P114" s="352" t="s">
        <v>420</v>
      </c>
      <c r="Q114" s="352" t="s">
        <v>421</v>
      </c>
    </row>
    <row r="115" spans="1:17" ht="14.4">
      <c r="A115" s="363" t="s">
        <v>290</v>
      </c>
      <c r="B115" s="365"/>
      <c r="C115" s="367">
        <f>C71</f>
        <v>219000</v>
      </c>
      <c r="D115" s="367">
        <f t="shared" ref="D115:Q115" si="50">D71</f>
        <v>219000</v>
      </c>
      <c r="E115" s="367">
        <f t="shared" si="50"/>
        <v>219000</v>
      </c>
      <c r="F115" s="367">
        <f t="shared" si="50"/>
        <v>219000</v>
      </c>
      <c r="G115" s="367">
        <f t="shared" si="50"/>
        <v>219000</v>
      </c>
      <c r="H115" s="367">
        <f t="shared" si="50"/>
        <v>219000</v>
      </c>
      <c r="I115" s="367">
        <f t="shared" si="50"/>
        <v>219000</v>
      </c>
      <c r="J115" s="367">
        <f t="shared" si="50"/>
        <v>219000</v>
      </c>
      <c r="K115" s="367">
        <f t="shared" si="50"/>
        <v>219000</v>
      </c>
      <c r="L115" s="367">
        <f t="shared" si="50"/>
        <v>219000</v>
      </c>
      <c r="M115" s="367">
        <f t="shared" si="50"/>
        <v>219000</v>
      </c>
      <c r="N115" s="367">
        <f t="shared" si="50"/>
        <v>219000</v>
      </c>
      <c r="O115" s="367">
        <f t="shared" si="50"/>
        <v>219000</v>
      </c>
      <c r="P115" s="367">
        <f t="shared" si="50"/>
        <v>219000</v>
      </c>
      <c r="Q115" s="367">
        <f t="shared" si="50"/>
        <v>219000</v>
      </c>
    </row>
    <row r="116" spans="1:17" ht="14.4">
      <c r="A116" s="364" t="s">
        <v>291</v>
      </c>
      <c r="B116" s="365"/>
      <c r="C116" s="367">
        <f t="shared" ref="C116:Q118" si="51">C72</f>
        <v>70</v>
      </c>
      <c r="D116" s="367">
        <f t="shared" si="51"/>
        <v>70</v>
      </c>
      <c r="E116" s="367">
        <f t="shared" si="51"/>
        <v>70</v>
      </c>
      <c r="F116" s="367">
        <f t="shared" si="51"/>
        <v>70</v>
      </c>
      <c r="G116" s="367">
        <f t="shared" si="51"/>
        <v>70</v>
      </c>
      <c r="H116" s="367">
        <f t="shared" si="51"/>
        <v>70</v>
      </c>
      <c r="I116" s="367">
        <f t="shared" si="51"/>
        <v>70</v>
      </c>
      <c r="J116" s="367">
        <f t="shared" si="51"/>
        <v>70</v>
      </c>
      <c r="K116" s="367">
        <f t="shared" si="51"/>
        <v>70</v>
      </c>
      <c r="L116" s="367">
        <f t="shared" si="51"/>
        <v>70</v>
      </c>
      <c r="M116" s="367">
        <f t="shared" si="51"/>
        <v>70</v>
      </c>
      <c r="N116" s="367">
        <f t="shared" si="51"/>
        <v>70</v>
      </c>
      <c r="O116" s="367">
        <f t="shared" si="51"/>
        <v>70</v>
      </c>
      <c r="P116" s="367">
        <f t="shared" si="51"/>
        <v>70</v>
      </c>
      <c r="Q116" s="367">
        <f t="shared" si="51"/>
        <v>70</v>
      </c>
    </row>
    <row r="117" spans="1:17" ht="14.4">
      <c r="A117" s="366" t="s">
        <v>292</v>
      </c>
      <c r="B117" s="365"/>
      <c r="C117" s="367">
        <f t="shared" si="51"/>
        <v>6.4285714285714288</v>
      </c>
      <c r="D117" s="367">
        <f t="shared" si="51"/>
        <v>6.6008571428571425</v>
      </c>
      <c r="E117" s="367">
        <f t="shared" si="51"/>
        <v>6.7777601142857131</v>
      </c>
      <c r="F117" s="367">
        <f t="shared" si="51"/>
        <v>6.9594040853485701</v>
      </c>
      <c r="G117" s="367">
        <f t="shared" si="51"/>
        <v>7.1459161148359112</v>
      </c>
      <c r="H117" s="367">
        <f t="shared" si="51"/>
        <v>7.3374266667135135</v>
      </c>
      <c r="I117" s="367">
        <f t="shared" si="51"/>
        <v>7.5340697013814353</v>
      </c>
      <c r="J117" s="367">
        <f t="shared" si="51"/>
        <v>7.7359827693784569</v>
      </c>
      <c r="K117" s="367">
        <f t="shared" si="51"/>
        <v>7.943307107597799</v>
      </c>
      <c r="L117" s="367">
        <f t="shared" si="51"/>
        <v>8.1561877380814192</v>
      </c>
      <c r="M117" s="367">
        <f t="shared" si="51"/>
        <v>8.3747735694620005</v>
      </c>
      <c r="N117" s="367">
        <f t="shared" si="51"/>
        <v>8.5992175011235812</v>
      </c>
      <c r="O117" s="367">
        <f t="shared" si="51"/>
        <v>8.8296765301536926</v>
      </c>
      <c r="P117" s="367">
        <f t="shared" si="51"/>
        <v>9.066311861161811</v>
      </c>
      <c r="Q117" s="367">
        <f t="shared" si="51"/>
        <v>9.3092890190409463</v>
      </c>
    </row>
    <row r="118" spans="1:17" ht="14.4">
      <c r="A118" s="366" t="s">
        <v>293</v>
      </c>
      <c r="B118" s="365"/>
      <c r="C118" s="367">
        <f t="shared" si="51"/>
        <v>450</v>
      </c>
      <c r="D118" s="367">
        <f t="shared" si="51"/>
        <v>462.06</v>
      </c>
      <c r="E118" s="367">
        <f t="shared" si="51"/>
        <v>474.44320799999991</v>
      </c>
      <c r="F118" s="367">
        <f t="shared" si="51"/>
        <v>487.15828597439992</v>
      </c>
      <c r="G118" s="367">
        <f t="shared" si="51"/>
        <v>500.21412803851376</v>
      </c>
      <c r="H118" s="367">
        <f t="shared" si="51"/>
        <v>513.61986666994596</v>
      </c>
      <c r="I118" s="367">
        <f t="shared" si="51"/>
        <v>527.3848790967005</v>
      </c>
      <c r="J118" s="367">
        <f t="shared" si="51"/>
        <v>541.51879385649192</v>
      </c>
      <c r="K118" s="367">
        <f t="shared" si="51"/>
        <v>556.03149753184596</v>
      </c>
      <c r="L118" s="367">
        <f t="shared" si="51"/>
        <v>570.9331416656994</v>
      </c>
      <c r="M118" s="367">
        <f t="shared" si="51"/>
        <v>586.23414986234002</v>
      </c>
      <c r="N118" s="367">
        <f t="shared" si="51"/>
        <v>601.94522507865065</v>
      </c>
      <c r="O118" s="367">
        <f t="shared" si="51"/>
        <v>618.0773571107585</v>
      </c>
      <c r="P118" s="367">
        <f t="shared" si="51"/>
        <v>634.64183028132675</v>
      </c>
      <c r="Q118" s="367">
        <f t="shared" si="51"/>
        <v>651.65023133286627</v>
      </c>
    </row>
    <row r="119" spans="1:17" ht="14.4">
      <c r="A119" s="370"/>
      <c r="B119" s="373"/>
      <c r="C119" s="373"/>
      <c r="D119" s="373"/>
      <c r="E119" s="373"/>
      <c r="F119" s="373"/>
      <c r="G119" s="373"/>
      <c r="H119" s="373"/>
      <c r="I119" s="373"/>
      <c r="J119" s="373"/>
      <c r="K119" s="373"/>
      <c r="L119" s="373"/>
      <c r="M119" s="373"/>
      <c r="N119" s="373"/>
      <c r="O119" s="373"/>
      <c r="P119" s="373"/>
      <c r="Q119" s="373"/>
    </row>
    <row r="120" spans="1:17" ht="14.4">
      <c r="A120" s="366" t="s">
        <v>294</v>
      </c>
      <c r="B120" s="378">
        <f>+SUM(C120:Q120)</f>
        <v>1790524.8581953994</v>
      </c>
      <c r="C120" s="367">
        <f>C115*C118/1000*'Initial Data'!$C$34/'Initial Data'!$C$33</f>
        <v>98550</v>
      </c>
      <c r="D120" s="367">
        <f>D115*D118/1000*'Initial Data'!$C$34/'Initial Data'!$C$33</f>
        <v>101191.14</v>
      </c>
      <c r="E120" s="367">
        <f>E115*E118/1000*'Initial Data'!$C$34/'Initial Data'!$C$33</f>
        <v>103903.06255199999</v>
      </c>
      <c r="F120" s="367">
        <f>F115*F118/1000*'Initial Data'!$C$34/'Initial Data'!$C$33</f>
        <v>106687.66462839357</v>
      </c>
      <c r="G120" s="367">
        <f>G115*G118/1000*'Initial Data'!$C$34/'Initial Data'!$C$33</f>
        <v>109546.8940404345</v>
      </c>
      <c r="H120" s="367">
        <f>H115*H118/1000*'Initial Data'!$C$34/'Initial Data'!$C$33</f>
        <v>112482.75080071818</v>
      </c>
      <c r="I120" s="367">
        <f>I115*I118/1000*'Initial Data'!$C$34/'Initial Data'!$C$33</f>
        <v>115497.28852217742</v>
      </c>
      <c r="J120" s="367">
        <f>J115*J118/1000*'Initial Data'!$C$34/'Initial Data'!$C$33</f>
        <v>118592.61585457173</v>
      </c>
      <c r="K120" s="367">
        <f>K115*K118/1000*'Initial Data'!$C$34/'Initial Data'!$C$33</f>
        <v>121770.89795947427</v>
      </c>
      <c r="L120" s="367">
        <f>L115*L118/1000*'Initial Data'!$C$34/'Initial Data'!$C$33</f>
        <v>125034.35802478818</v>
      </c>
      <c r="M120" s="367">
        <f>M115*M118/1000*'Initial Data'!$C$34/'Initial Data'!$C$33</f>
        <v>128385.27881985246</v>
      </c>
      <c r="N120" s="367">
        <f>N115*N118/1000*'Initial Data'!$C$34/'Initial Data'!$C$33</f>
        <v>131826.0042922245</v>
      </c>
      <c r="O120" s="367">
        <f>O115*O118/1000*'Initial Data'!$C$34/'Initial Data'!$C$33</f>
        <v>135358.94120725611</v>
      </c>
      <c r="P120" s="367">
        <f>P115*P118/1000*'Initial Data'!$C$34/'Initial Data'!$C$33</f>
        <v>138986.56083161055</v>
      </c>
      <c r="Q120" s="367">
        <f>Q115*Q118/1000*'Initial Data'!$C$34/'Initial Data'!$C$33</f>
        <v>142711.40066189773</v>
      </c>
    </row>
    <row r="121" spans="1:17" ht="14.4">
      <c r="A121" s="370"/>
      <c r="B121" s="373"/>
      <c r="C121" s="373"/>
      <c r="D121" s="373"/>
      <c r="E121" s="373"/>
      <c r="F121" s="373"/>
      <c r="G121" s="373"/>
      <c r="H121" s="373"/>
      <c r="I121" s="373"/>
      <c r="J121" s="373"/>
      <c r="K121" s="373"/>
      <c r="L121" s="373"/>
      <c r="M121" s="373"/>
      <c r="N121" s="373"/>
      <c r="O121" s="373"/>
      <c r="P121" s="373"/>
      <c r="Q121" s="373"/>
    </row>
    <row r="122" spans="1:17" ht="14.4">
      <c r="A122" s="366" t="s">
        <v>295</v>
      </c>
      <c r="B122" s="378">
        <f>+SUM(C122:Q122)</f>
        <v>1790524.8581953994</v>
      </c>
      <c r="C122" s="367">
        <f>+C120</f>
        <v>98550</v>
      </c>
      <c r="D122" s="367">
        <f t="shared" ref="D122:Q122" si="52">+D120</f>
        <v>101191.14</v>
      </c>
      <c r="E122" s="367">
        <f t="shared" si="52"/>
        <v>103903.06255199999</v>
      </c>
      <c r="F122" s="367">
        <f t="shared" si="52"/>
        <v>106687.66462839357</v>
      </c>
      <c r="G122" s="367">
        <f t="shared" si="52"/>
        <v>109546.8940404345</v>
      </c>
      <c r="H122" s="367">
        <f t="shared" si="52"/>
        <v>112482.75080071818</v>
      </c>
      <c r="I122" s="367">
        <f t="shared" si="52"/>
        <v>115497.28852217742</v>
      </c>
      <c r="J122" s="367">
        <f t="shared" si="52"/>
        <v>118592.61585457173</v>
      </c>
      <c r="K122" s="367">
        <f t="shared" si="52"/>
        <v>121770.89795947427</v>
      </c>
      <c r="L122" s="367">
        <f t="shared" si="52"/>
        <v>125034.35802478818</v>
      </c>
      <c r="M122" s="367">
        <f t="shared" si="52"/>
        <v>128385.27881985246</v>
      </c>
      <c r="N122" s="367">
        <f t="shared" si="52"/>
        <v>131826.0042922245</v>
      </c>
      <c r="O122" s="367">
        <f t="shared" si="52"/>
        <v>135358.94120725611</v>
      </c>
      <c r="P122" s="367">
        <f t="shared" si="52"/>
        <v>138986.56083161055</v>
      </c>
      <c r="Q122" s="367">
        <f t="shared" si="52"/>
        <v>142711.40066189773</v>
      </c>
    </row>
    <row r="123" spans="1:17" ht="14.4">
      <c r="A123" s="370"/>
      <c r="B123" s="374"/>
      <c r="C123" s="374"/>
      <c r="D123" s="374"/>
      <c r="E123" s="374"/>
      <c r="F123" s="374"/>
      <c r="G123" s="374"/>
      <c r="H123" s="374"/>
      <c r="I123" s="374"/>
      <c r="J123" s="374"/>
      <c r="K123" s="374"/>
      <c r="L123" s="374"/>
      <c r="M123" s="374"/>
      <c r="N123" s="374"/>
      <c r="O123" s="374"/>
      <c r="P123" s="374"/>
      <c r="Q123" s="374"/>
    </row>
    <row r="124" spans="1:17" ht="14.4">
      <c r="A124" s="366" t="s">
        <v>68</v>
      </c>
      <c r="B124" s="368"/>
      <c r="C124" s="368"/>
      <c r="D124" s="368"/>
      <c r="E124" s="368"/>
      <c r="F124" s="368"/>
      <c r="G124" s="368"/>
      <c r="H124" s="368"/>
      <c r="I124" s="368"/>
      <c r="J124" s="368"/>
      <c r="K124" s="368"/>
      <c r="L124" s="368"/>
      <c r="M124" s="368"/>
      <c r="N124" s="368"/>
      <c r="O124" s="368"/>
      <c r="P124" s="368"/>
      <c r="Q124" s="368"/>
    </row>
    <row r="125" spans="1:17" ht="14.4">
      <c r="A125" s="366" t="s">
        <v>330</v>
      </c>
      <c r="B125" s="378">
        <f>+SUM(C125:Q125)</f>
        <v>17405.991521183645</v>
      </c>
      <c r="C125" s="367">
        <f>C34</f>
        <v>958.02102749999995</v>
      </c>
      <c r="D125" s="367">
        <f t="shared" ref="D125:Q125" si="53">D34</f>
        <v>983.69599103699989</v>
      </c>
      <c r="E125" s="367">
        <f t="shared" si="53"/>
        <v>1010.0590435967914</v>
      </c>
      <c r="F125" s="367">
        <f t="shared" si="53"/>
        <v>1037.1286259651854</v>
      </c>
      <c r="G125" s="367">
        <f t="shared" si="53"/>
        <v>1064.9236731410524</v>
      </c>
      <c r="H125" s="367">
        <f t="shared" si="53"/>
        <v>1093.4636275812325</v>
      </c>
      <c r="I125" s="367">
        <f t="shared" si="53"/>
        <v>1122.7684528004095</v>
      </c>
      <c r="J125" s="367">
        <f t="shared" si="53"/>
        <v>1152.8586473354603</v>
      </c>
      <c r="K125" s="367">
        <f t="shared" si="53"/>
        <v>1183.7552590840505</v>
      </c>
      <c r="L125" s="367">
        <f t="shared" si="53"/>
        <v>1215.4799000275029</v>
      </c>
      <c r="M125" s="367">
        <f t="shared" si="53"/>
        <v>1248.0547613482399</v>
      </c>
      <c r="N125" s="367">
        <f t="shared" si="53"/>
        <v>1281.5026289523728</v>
      </c>
      <c r="O125" s="367">
        <f t="shared" si="53"/>
        <v>1315.8468994082964</v>
      </c>
      <c r="P125" s="367">
        <f t="shared" si="53"/>
        <v>1351.1115963124387</v>
      </c>
      <c r="Q125" s="367">
        <f t="shared" si="53"/>
        <v>1387.321387093612</v>
      </c>
    </row>
    <row r="126" spans="1:17" ht="14.4">
      <c r="A126" s="370"/>
      <c r="B126" s="369"/>
      <c r="C126" s="369"/>
      <c r="D126" s="369"/>
      <c r="E126" s="369"/>
      <c r="F126" s="369"/>
      <c r="G126" s="369"/>
      <c r="H126" s="369"/>
      <c r="I126" s="369"/>
      <c r="J126" s="369"/>
      <c r="K126" s="369"/>
      <c r="L126" s="369"/>
      <c r="M126" s="369"/>
      <c r="N126" s="369"/>
      <c r="O126" s="369"/>
      <c r="P126" s="369"/>
      <c r="Q126" s="369"/>
    </row>
    <row r="127" spans="1:17" ht="14.4">
      <c r="A127" s="366" t="s">
        <v>71</v>
      </c>
      <c r="B127" s="379"/>
      <c r="C127" s="379"/>
      <c r="D127" s="379"/>
      <c r="E127" s="379"/>
      <c r="F127" s="379"/>
      <c r="G127" s="379"/>
      <c r="H127" s="379"/>
      <c r="I127" s="379"/>
      <c r="J127" s="379"/>
      <c r="K127" s="379"/>
      <c r="L127" s="379"/>
      <c r="M127" s="379"/>
      <c r="N127" s="379"/>
      <c r="O127" s="379"/>
      <c r="P127" s="379"/>
      <c r="Q127" s="379"/>
    </row>
    <row r="128" spans="1:17" ht="14.4">
      <c r="A128" s="370"/>
      <c r="B128" s="379"/>
      <c r="C128" s="379"/>
      <c r="D128" s="379"/>
      <c r="E128" s="379"/>
      <c r="F128" s="379"/>
      <c r="G128" s="379"/>
      <c r="H128" s="379"/>
      <c r="I128" s="379"/>
      <c r="J128" s="379"/>
      <c r="K128" s="379"/>
      <c r="L128" s="379"/>
      <c r="M128" s="379"/>
      <c r="N128" s="379"/>
      <c r="O128" s="379"/>
      <c r="P128" s="379"/>
      <c r="Q128" s="379"/>
    </row>
    <row r="129" spans="1:17" ht="14.4">
      <c r="A129" s="366" t="s">
        <v>64</v>
      </c>
      <c r="B129" s="373"/>
      <c r="C129" s="367">
        <f>C85</f>
        <v>1656.5089715892002</v>
      </c>
      <c r="D129" s="367">
        <f t="shared" ref="D129:Q129" si="54">D85</f>
        <v>1656.5089715892002</v>
      </c>
      <c r="E129" s="367">
        <f t="shared" si="54"/>
        <v>1656.5089715892002</v>
      </c>
      <c r="F129" s="367">
        <f t="shared" si="54"/>
        <v>1656.5089715892002</v>
      </c>
      <c r="G129" s="367">
        <f t="shared" si="54"/>
        <v>1656.5089715892002</v>
      </c>
      <c r="H129" s="367">
        <f t="shared" si="54"/>
        <v>1656.5089715892002</v>
      </c>
      <c r="I129" s="367">
        <f t="shared" si="54"/>
        <v>1656.5089715892002</v>
      </c>
      <c r="J129" s="367">
        <f t="shared" si="54"/>
        <v>1656.5089715892002</v>
      </c>
      <c r="K129" s="367">
        <f t="shared" si="54"/>
        <v>1656.5089715892002</v>
      </c>
      <c r="L129" s="367">
        <f t="shared" si="54"/>
        <v>1656.5089715892002</v>
      </c>
      <c r="M129" s="367">
        <f t="shared" si="54"/>
        <v>1656.5089715892002</v>
      </c>
      <c r="N129" s="367">
        <f t="shared" si="54"/>
        <v>1656.5089715892002</v>
      </c>
      <c r="O129" s="367">
        <f t="shared" si="54"/>
        <v>1656.5089715892002</v>
      </c>
      <c r="P129" s="367">
        <f t="shared" si="54"/>
        <v>1656.5089715892002</v>
      </c>
      <c r="Q129" s="367">
        <f t="shared" si="54"/>
        <v>1656.5089715892002</v>
      </c>
    </row>
    <row r="130" spans="1:17" ht="14.4">
      <c r="A130" s="366" t="s">
        <v>108</v>
      </c>
      <c r="B130" s="387">
        <f>B86</f>
        <v>0.90200000000000002</v>
      </c>
      <c r="C130" s="373"/>
      <c r="D130" s="373"/>
      <c r="E130" s="373"/>
      <c r="F130" s="373"/>
      <c r="G130" s="373"/>
      <c r="H130" s="373"/>
      <c r="I130" s="373"/>
      <c r="J130" s="373"/>
      <c r="K130" s="373"/>
      <c r="L130" s="373"/>
      <c r="M130" s="373"/>
      <c r="N130" s="373"/>
      <c r="O130" s="373"/>
      <c r="P130" s="373"/>
      <c r="Q130" s="373"/>
    </row>
    <row r="131" spans="1:17" ht="14.4">
      <c r="A131" s="366" t="s">
        <v>346</v>
      </c>
      <c r="B131" s="373"/>
      <c r="C131" s="367">
        <f>C87</f>
        <v>1741816.7092883086</v>
      </c>
      <c r="D131" s="367">
        <f t="shared" ref="D131:Q131" si="55">D87</f>
        <v>1741816.7092883086</v>
      </c>
      <c r="E131" s="367">
        <f t="shared" si="55"/>
        <v>1741816.7092883086</v>
      </c>
      <c r="F131" s="367">
        <f t="shared" si="55"/>
        <v>1741816.7092883086</v>
      </c>
      <c r="G131" s="367">
        <f t="shared" si="55"/>
        <v>1741816.7092883086</v>
      </c>
      <c r="H131" s="367">
        <f t="shared" si="55"/>
        <v>1741816.7092883086</v>
      </c>
      <c r="I131" s="367">
        <f t="shared" si="55"/>
        <v>1741816.7092883086</v>
      </c>
      <c r="J131" s="367">
        <f t="shared" si="55"/>
        <v>1741816.7092883086</v>
      </c>
      <c r="K131" s="367">
        <f t="shared" si="55"/>
        <v>1741816.7092883086</v>
      </c>
      <c r="L131" s="367">
        <f t="shared" si="55"/>
        <v>1741816.7092883086</v>
      </c>
      <c r="M131" s="367">
        <f t="shared" si="55"/>
        <v>1741816.7092883086</v>
      </c>
      <c r="N131" s="367">
        <f t="shared" si="55"/>
        <v>1741816.7092883086</v>
      </c>
      <c r="O131" s="367">
        <f t="shared" si="55"/>
        <v>1741816.7092883086</v>
      </c>
      <c r="P131" s="367">
        <f t="shared" si="55"/>
        <v>1741816.7092883086</v>
      </c>
      <c r="Q131" s="367">
        <f t="shared" si="55"/>
        <v>1741816.7092883086</v>
      </c>
    </row>
    <row r="132" spans="1:17" ht="14.4">
      <c r="A132" s="366" t="s">
        <v>66</v>
      </c>
      <c r="B132" s="373"/>
      <c r="C132" s="367">
        <f>C88*$B$10+C88</f>
        <v>42.88607612661658</v>
      </c>
      <c r="D132" s="367">
        <f t="shared" ref="D132:Q132" si="56">D88*$B$10+D88</f>
        <v>42.094019907284498</v>
      </c>
      <c r="E132" s="367">
        <f t="shared" si="56"/>
        <v>42.962017751132443</v>
      </c>
      <c r="F132" s="367">
        <f t="shared" si="56"/>
        <v>44.659681421018043</v>
      </c>
      <c r="G132" s="367">
        <f t="shared" si="56"/>
        <v>44.69581643026617</v>
      </c>
      <c r="H132" s="367">
        <f t="shared" si="56"/>
        <v>46.392048870373664</v>
      </c>
      <c r="I132" s="367">
        <f t="shared" si="56"/>
        <v>48.91798965385145</v>
      </c>
      <c r="J132" s="367">
        <f t="shared" si="56"/>
        <v>48.91798965385145</v>
      </c>
      <c r="K132" s="367">
        <f t="shared" si="56"/>
        <v>48.91798965385145</v>
      </c>
      <c r="L132" s="367">
        <f t="shared" si="56"/>
        <v>48.91798965385145</v>
      </c>
      <c r="M132" s="367">
        <f t="shared" si="56"/>
        <v>48.91798965385145</v>
      </c>
      <c r="N132" s="367">
        <f t="shared" si="56"/>
        <v>48.91798965385145</v>
      </c>
      <c r="O132" s="367">
        <f t="shared" si="56"/>
        <v>48.91798965385145</v>
      </c>
      <c r="P132" s="367">
        <f t="shared" si="56"/>
        <v>48.91798965385145</v>
      </c>
      <c r="Q132" s="367">
        <f t="shared" si="56"/>
        <v>48.91798965385145</v>
      </c>
    </row>
    <row r="133" spans="1:17" ht="14.4">
      <c r="A133" s="370"/>
      <c r="B133" s="379"/>
      <c r="C133" s="379"/>
      <c r="D133" s="379"/>
      <c r="E133" s="379"/>
      <c r="F133" s="379"/>
      <c r="G133" s="379"/>
      <c r="H133" s="379"/>
      <c r="I133" s="379"/>
      <c r="J133" s="379"/>
      <c r="K133" s="379"/>
      <c r="L133" s="379"/>
      <c r="M133" s="379"/>
      <c r="N133" s="379"/>
      <c r="O133" s="379"/>
      <c r="P133" s="379"/>
      <c r="Q133" s="379"/>
    </row>
    <row r="134" spans="1:17" ht="14.4">
      <c r="A134" s="366" t="s">
        <v>102</v>
      </c>
      <c r="B134" s="378">
        <f t="shared" ref="B134" si="57">+SUM(C134:Q134)</f>
        <v>1226154.6026119562</v>
      </c>
      <c r="C134" s="375">
        <f>+C131*C132/1000</f>
        <v>74699.683993151193</v>
      </c>
      <c r="D134" s="375">
        <f>+D131*D132/1000</f>
        <v>73320.067235622832</v>
      </c>
      <c r="E134" s="375">
        <f t="shared" ref="E134:Q134" si="58">+E131*E132/1000</f>
        <v>74831.96038366342</v>
      </c>
      <c r="F134" s="375">
        <f t="shared" si="58"/>
        <v>77788.979330621863</v>
      </c>
      <c r="G134" s="375">
        <f t="shared" si="58"/>
        <v>77851.919893520535</v>
      </c>
      <c r="H134" s="375">
        <f t="shared" si="58"/>
        <v>80806.445900536652</v>
      </c>
      <c r="I134" s="375">
        <f t="shared" si="58"/>
        <v>85206.171763871054</v>
      </c>
      <c r="J134" s="375">
        <f t="shared" si="58"/>
        <v>85206.171763871054</v>
      </c>
      <c r="K134" s="375">
        <f t="shared" si="58"/>
        <v>85206.171763871054</v>
      </c>
      <c r="L134" s="375">
        <f t="shared" si="58"/>
        <v>85206.171763871054</v>
      </c>
      <c r="M134" s="375">
        <f t="shared" si="58"/>
        <v>85206.171763871054</v>
      </c>
      <c r="N134" s="375">
        <f t="shared" si="58"/>
        <v>85206.171763871054</v>
      </c>
      <c r="O134" s="375">
        <f t="shared" si="58"/>
        <v>85206.171763871054</v>
      </c>
      <c r="P134" s="375">
        <f t="shared" si="58"/>
        <v>85206.171763871054</v>
      </c>
      <c r="Q134" s="375">
        <f t="shared" si="58"/>
        <v>85206.171763871054</v>
      </c>
    </row>
    <row r="135" spans="1:17" ht="14.4">
      <c r="A135" s="370"/>
      <c r="B135" s="373"/>
      <c r="C135" s="373"/>
      <c r="D135" s="373"/>
      <c r="E135" s="373"/>
      <c r="F135" s="373"/>
      <c r="G135" s="373"/>
      <c r="H135" s="373"/>
      <c r="I135" s="373"/>
      <c r="J135" s="373"/>
      <c r="K135" s="373"/>
      <c r="L135" s="373"/>
      <c r="M135" s="373"/>
      <c r="N135" s="373"/>
      <c r="O135" s="373"/>
      <c r="P135" s="373"/>
      <c r="Q135" s="373"/>
    </row>
    <row r="136" spans="1:17" ht="14.4">
      <c r="A136" s="370"/>
      <c r="B136" s="379"/>
      <c r="C136" s="379"/>
      <c r="D136" s="379"/>
      <c r="E136" s="379"/>
      <c r="F136" s="379"/>
      <c r="G136" s="379"/>
      <c r="H136" s="379"/>
      <c r="I136" s="379"/>
      <c r="J136" s="379"/>
      <c r="K136" s="379"/>
      <c r="L136" s="379"/>
      <c r="M136" s="379"/>
      <c r="N136" s="379"/>
      <c r="O136" s="379"/>
      <c r="P136" s="379"/>
      <c r="Q136" s="379"/>
    </row>
    <row r="137" spans="1:17" ht="14.4">
      <c r="A137" s="366" t="s">
        <v>101</v>
      </c>
      <c r="B137" s="373"/>
      <c r="C137" s="375">
        <f>+C134+C125</f>
        <v>75657.705020651192</v>
      </c>
      <c r="D137" s="375">
        <f t="shared" ref="D137:Q137" si="59">+D134+D125</f>
        <v>74303.763226659838</v>
      </c>
      <c r="E137" s="375">
        <f t="shared" si="59"/>
        <v>75842.019427260209</v>
      </c>
      <c r="F137" s="375">
        <f t="shared" si="59"/>
        <v>78826.107956587046</v>
      </c>
      <c r="G137" s="375">
        <f t="shared" si="59"/>
        <v>78916.843566661584</v>
      </c>
      <c r="H137" s="375">
        <f t="shared" si="59"/>
        <v>81899.909528117889</v>
      </c>
      <c r="I137" s="375">
        <f t="shared" si="59"/>
        <v>86328.940216671457</v>
      </c>
      <c r="J137" s="375">
        <f t="shared" si="59"/>
        <v>86359.030411206521</v>
      </c>
      <c r="K137" s="375">
        <f t="shared" si="59"/>
        <v>86389.927022955104</v>
      </c>
      <c r="L137" s="375">
        <f t="shared" si="59"/>
        <v>86421.651663898563</v>
      </c>
      <c r="M137" s="375">
        <f t="shared" si="59"/>
        <v>86454.226525219288</v>
      </c>
      <c r="N137" s="375">
        <f t="shared" si="59"/>
        <v>86487.674392823421</v>
      </c>
      <c r="O137" s="375">
        <f t="shared" si="59"/>
        <v>86522.018663279348</v>
      </c>
      <c r="P137" s="375">
        <f t="shared" si="59"/>
        <v>86557.283360183486</v>
      </c>
      <c r="Q137" s="375">
        <f t="shared" si="59"/>
        <v>86593.49315096467</v>
      </c>
    </row>
    <row r="138" spans="1:17" ht="14.4">
      <c r="A138" s="370"/>
      <c r="B138" s="379"/>
      <c r="C138" s="379"/>
      <c r="D138" s="379"/>
      <c r="E138" s="379"/>
      <c r="F138" s="379"/>
      <c r="G138" s="379"/>
      <c r="H138" s="379"/>
      <c r="I138" s="379"/>
      <c r="J138" s="379"/>
      <c r="K138" s="379"/>
      <c r="L138" s="379"/>
      <c r="M138" s="379"/>
      <c r="N138" s="379"/>
      <c r="O138" s="379"/>
      <c r="P138" s="379"/>
      <c r="Q138" s="379"/>
    </row>
    <row r="139" spans="1:17" ht="14.4">
      <c r="A139" s="366" t="s">
        <v>73</v>
      </c>
      <c r="B139" s="378">
        <f>+SUM(C139:Q139)</f>
        <v>11487.524395535713</v>
      </c>
      <c r="C139" s="367">
        <f>+Baseline_NaturalGas!$D$5/'Initial Data'!$C$19</f>
        <v>1148.7524395535715</v>
      </c>
      <c r="D139" s="367">
        <f>+Baseline_NaturalGas!$D$5/'Initial Data'!$C$19</f>
        <v>1148.7524395535715</v>
      </c>
      <c r="E139" s="367">
        <f>+Baseline_NaturalGas!$D$5/'Initial Data'!$C$19</f>
        <v>1148.7524395535715</v>
      </c>
      <c r="F139" s="367">
        <f>+Baseline_NaturalGas!$D$5/'Initial Data'!$C$19</f>
        <v>1148.7524395535715</v>
      </c>
      <c r="G139" s="367">
        <f>+Baseline_NaturalGas!$D$5/'Initial Data'!$C$19</f>
        <v>1148.7524395535715</v>
      </c>
      <c r="H139" s="367">
        <f>+Baseline_NaturalGas!$D$5/'Initial Data'!$C$19</f>
        <v>1148.7524395535715</v>
      </c>
      <c r="I139" s="367">
        <f>+Baseline_NaturalGas!$D$5/'Initial Data'!$C$19</f>
        <v>1148.7524395535715</v>
      </c>
      <c r="J139" s="367">
        <f>+Baseline_NaturalGas!$D$5/'Initial Data'!$C$19</f>
        <v>1148.7524395535715</v>
      </c>
      <c r="K139" s="367">
        <f>+Baseline_NaturalGas!$D$5/'Initial Data'!$C$19</f>
        <v>1148.7524395535715</v>
      </c>
      <c r="L139" s="367">
        <f>+Baseline_NaturalGas!$D$5/'Initial Data'!$C$19</f>
        <v>1148.7524395535715</v>
      </c>
      <c r="M139" s="367">
        <v>0</v>
      </c>
      <c r="N139" s="367">
        <v>0</v>
      </c>
      <c r="O139" s="367">
        <v>0</v>
      </c>
      <c r="P139" s="367">
        <v>0</v>
      </c>
      <c r="Q139" s="367">
        <v>0</v>
      </c>
    </row>
    <row r="140" spans="1:17" ht="14.4">
      <c r="A140" s="366" t="s">
        <v>74</v>
      </c>
      <c r="B140" s="378">
        <f>+SUM(C140:Q140)</f>
        <v>11487.524395535713</v>
      </c>
      <c r="C140" s="367">
        <f>SUM(C139:C139)</f>
        <v>1148.7524395535715</v>
      </c>
      <c r="D140" s="367">
        <f t="shared" ref="D140:Q140" si="60">SUM(D139:D139)</f>
        <v>1148.7524395535715</v>
      </c>
      <c r="E140" s="367">
        <f t="shared" si="60"/>
        <v>1148.7524395535715</v>
      </c>
      <c r="F140" s="367">
        <f t="shared" si="60"/>
        <v>1148.7524395535715</v>
      </c>
      <c r="G140" s="367">
        <f t="shared" si="60"/>
        <v>1148.7524395535715</v>
      </c>
      <c r="H140" s="367">
        <f t="shared" si="60"/>
        <v>1148.7524395535715</v>
      </c>
      <c r="I140" s="367">
        <f t="shared" si="60"/>
        <v>1148.7524395535715</v>
      </c>
      <c r="J140" s="367">
        <f t="shared" si="60"/>
        <v>1148.7524395535715</v>
      </c>
      <c r="K140" s="367">
        <f t="shared" si="60"/>
        <v>1148.7524395535715</v>
      </c>
      <c r="L140" s="367">
        <f t="shared" si="60"/>
        <v>1148.7524395535715</v>
      </c>
      <c r="M140" s="367">
        <f t="shared" si="60"/>
        <v>0</v>
      </c>
      <c r="N140" s="367">
        <f t="shared" si="60"/>
        <v>0</v>
      </c>
      <c r="O140" s="367">
        <f t="shared" si="60"/>
        <v>0</v>
      </c>
      <c r="P140" s="367">
        <f t="shared" si="60"/>
        <v>0</v>
      </c>
      <c r="Q140" s="367">
        <f t="shared" si="60"/>
        <v>0</v>
      </c>
    </row>
    <row r="141" spans="1:17" ht="14.4">
      <c r="A141" s="90"/>
      <c r="B141" s="388"/>
      <c r="C141" s="373"/>
      <c r="D141" s="373"/>
      <c r="E141" s="373"/>
      <c r="F141" s="373"/>
      <c r="G141" s="373"/>
      <c r="H141" s="373"/>
      <c r="I141" s="373"/>
      <c r="J141" s="373"/>
      <c r="K141" s="373"/>
      <c r="L141" s="373"/>
      <c r="M141" s="373"/>
      <c r="N141" s="373"/>
      <c r="O141" s="373"/>
      <c r="P141" s="373"/>
      <c r="Q141" s="373"/>
    </row>
    <row r="142" spans="1:17" ht="14.4">
      <c r="A142" s="366" t="s">
        <v>75</v>
      </c>
      <c r="B142" s="378">
        <f>+SUM(C142:Q142)</f>
        <v>1255048.1185286751</v>
      </c>
      <c r="C142" s="367">
        <f>+C137+C140</f>
        <v>76806.457460204765</v>
      </c>
      <c r="D142" s="367">
        <f t="shared" ref="D142:Q142" si="61">+D137+D140</f>
        <v>75452.51566621341</v>
      </c>
      <c r="E142" s="367">
        <f t="shared" si="61"/>
        <v>76990.771866813782</v>
      </c>
      <c r="F142" s="367">
        <f t="shared" si="61"/>
        <v>79974.860396140619</v>
      </c>
      <c r="G142" s="367">
        <f t="shared" si="61"/>
        <v>80065.596006215157</v>
      </c>
      <c r="H142" s="367">
        <f t="shared" si="61"/>
        <v>83048.661967671462</v>
      </c>
      <c r="I142" s="367">
        <f t="shared" si="61"/>
        <v>87477.69265622503</v>
      </c>
      <c r="J142" s="367">
        <f t="shared" si="61"/>
        <v>87507.782850760093</v>
      </c>
      <c r="K142" s="367">
        <f t="shared" si="61"/>
        <v>87538.679462508677</v>
      </c>
      <c r="L142" s="367">
        <f t="shared" si="61"/>
        <v>87570.404103452136</v>
      </c>
      <c r="M142" s="367">
        <f t="shared" si="61"/>
        <v>86454.226525219288</v>
      </c>
      <c r="N142" s="367">
        <f t="shared" si="61"/>
        <v>86487.674392823421</v>
      </c>
      <c r="O142" s="367">
        <f t="shared" si="61"/>
        <v>86522.018663279348</v>
      </c>
      <c r="P142" s="367">
        <f t="shared" si="61"/>
        <v>86557.283360183486</v>
      </c>
      <c r="Q142" s="367">
        <f t="shared" si="61"/>
        <v>86593.49315096467</v>
      </c>
    </row>
    <row r="143" spans="1:17">
      <c r="A143" s="74"/>
    </row>
    <row r="144" spans="1:17" ht="14.4">
      <c r="A144" s="366" t="s">
        <v>76</v>
      </c>
      <c r="B144" s="378">
        <f>+SUM(C144:Q144)</f>
        <v>535476.73966672388</v>
      </c>
      <c r="C144" s="367">
        <f>+C122-C142</f>
        <v>21743.542539795235</v>
      </c>
      <c r="D144" s="367">
        <f t="shared" ref="D144:Q144" si="62">+D122-D142</f>
        <v>25738.624333786589</v>
      </c>
      <c r="E144" s="367">
        <f t="shared" si="62"/>
        <v>26912.290685186206</v>
      </c>
      <c r="F144" s="367">
        <f t="shared" si="62"/>
        <v>26712.804232252951</v>
      </c>
      <c r="G144" s="367">
        <f t="shared" si="62"/>
        <v>29481.298034219348</v>
      </c>
      <c r="H144" s="367">
        <f t="shared" si="62"/>
        <v>29434.088833046713</v>
      </c>
      <c r="I144" s="367">
        <f t="shared" si="62"/>
        <v>28019.595865952389</v>
      </c>
      <c r="J144" s="367">
        <f t="shared" si="62"/>
        <v>31084.83300381164</v>
      </c>
      <c r="K144" s="367">
        <f t="shared" si="62"/>
        <v>34232.218496965594</v>
      </c>
      <c r="L144" s="367">
        <f t="shared" si="62"/>
        <v>37463.95392133604</v>
      </c>
      <c r="M144" s="367">
        <f t="shared" si="62"/>
        <v>41931.052294633177</v>
      </c>
      <c r="N144" s="367">
        <f t="shared" si="62"/>
        <v>45338.329899401084</v>
      </c>
      <c r="O144" s="367">
        <f t="shared" si="62"/>
        <v>48836.922543976762</v>
      </c>
      <c r="P144" s="367">
        <f t="shared" si="62"/>
        <v>52429.277471427064</v>
      </c>
      <c r="Q144" s="367">
        <f t="shared" si="62"/>
        <v>56117.907510933059</v>
      </c>
    </row>
    <row r="145" spans="1:17" ht="14.4">
      <c r="A145" s="369"/>
      <c r="B145" s="373"/>
      <c r="C145" s="373"/>
      <c r="D145" s="373"/>
      <c r="E145" s="373"/>
      <c r="F145" s="373"/>
      <c r="G145" s="373"/>
      <c r="H145" s="373"/>
      <c r="I145" s="373"/>
      <c r="J145" s="373"/>
      <c r="K145" s="373"/>
      <c r="L145" s="373"/>
      <c r="M145" s="373"/>
      <c r="N145" s="373"/>
      <c r="O145" s="373"/>
      <c r="P145" s="373"/>
      <c r="Q145" s="373"/>
    </row>
    <row r="146" spans="1:17" ht="14.4">
      <c r="A146" s="366" t="s">
        <v>222</v>
      </c>
      <c r="B146" s="380">
        <f>+Baseline_NaturalGas!C88</f>
        <v>0</v>
      </c>
      <c r="C146" s="367">
        <f>IF((+$B$102*C144)&lt;0,"0",(+$B$102*C144))</f>
        <v>15220.479777856663</v>
      </c>
      <c r="D146" s="367">
        <f t="shared" ref="D146:Q146" si="63">IF((+$B$102*D144)&lt;0,"0",(+$B$102*D144))</f>
        <v>18017.037033650609</v>
      </c>
      <c r="E146" s="367">
        <f t="shared" si="63"/>
        <v>18838.603479630343</v>
      </c>
      <c r="F146" s="367">
        <f t="shared" si="63"/>
        <v>18698.962962577065</v>
      </c>
      <c r="G146" s="367">
        <f t="shared" si="63"/>
        <v>20636.908623953543</v>
      </c>
      <c r="H146" s="367">
        <f t="shared" si="63"/>
        <v>20603.862183132696</v>
      </c>
      <c r="I146" s="367">
        <f t="shared" si="63"/>
        <v>19613.71710616667</v>
      </c>
      <c r="J146" s="367">
        <f t="shared" si="63"/>
        <v>21759.383102668147</v>
      </c>
      <c r="K146" s="367">
        <f t="shared" si="63"/>
        <v>23962.552947875913</v>
      </c>
      <c r="L146" s="367">
        <f t="shared" si="63"/>
        <v>26224.767744935227</v>
      </c>
      <c r="M146" s="367">
        <f t="shared" si="63"/>
        <v>29351.736606243223</v>
      </c>
      <c r="N146" s="367">
        <f t="shared" si="63"/>
        <v>31736.830929580756</v>
      </c>
      <c r="O146" s="367">
        <f t="shared" si="63"/>
        <v>34185.845780783733</v>
      </c>
      <c r="P146" s="367">
        <f t="shared" si="63"/>
        <v>36700.494229998942</v>
      </c>
      <c r="Q146" s="367">
        <f t="shared" si="63"/>
        <v>39282.535257653137</v>
      </c>
    </row>
    <row r="147" spans="1:17" ht="14.4">
      <c r="A147" s="366" t="s">
        <v>77</v>
      </c>
      <c r="B147" s="378">
        <f>+SUM(C147:Q147)</f>
        <v>374833.71776670672</v>
      </c>
      <c r="C147" s="367">
        <f>SUM(C146:C146)</f>
        <v>15220.479777856663</v>
      </c>
      <c r="D147" s="367">
        <f t="shared" ref="D147:Q147" si="64">SUM(D146:D146)</f>
        <v>18017.037033650609</v>
      </c>
      <c r="E147" s="367">
        <f t="shared" si="64"/>
        <v>18838.603479630343</v>
      </c>
      <c r="F147" s="367">
        <f t="shared" si="64"/>
        <v>18698.962962577065</v>
      </c>
      <c r="G147" s="367">
        <f t="shared" si="64"/>
        <v>20636.908623953543</v>
      </c>
      <c r="H147" s="367">
        <f t="shared" si="64"/>
        <v>20603.862183132696</v>
      </c>
      <c r="I147" s="367">
        <f t="shared" si="64"/>
        <v>19613.71710616667</v>
      </c>
      <c r="J147" s="367">
        <f t="shared" si="64"/>
        <v>21759.383102668147</v>
      </c>
      <c r="K147" s="367">
        <f t="shared" si="64"/>
        <v>23962.552947875913</v>
      </c>
      <c r="L147" s="367">
        <f t="shared" si="64"/>
        <v>26224.767744935227</v>
      </c>
      <c r="M147" s="367">
        <f t="shared" si="64"/>
        <v>29351.736606243223</v>
      </c>
      <c r="N147" s="367">
        <f t="shared" si="64"/>
        <v>31736.830929580756</v>
      </c>
      <c r="O147" s="367">
        <f t="shared" si="64"/>
        <v>34185.845780783733</v>
      </c>
      <c r="P147" s="367">
        <f t="shared" si="64"/>
        <v>36700.494229998942</v>
      </c>
      <c r="Q147" s="367">
        <f t="shared" si="64"/>
        <v>39282.535257653137</v>
      </c>
    </row>
    <row r="148" spans="1:17" ht="14.4">
      <c r="A148" s="369"/>
      <c r="B148" s="373"/>
      <c r="C148" s="373"/>
      <c r="D148" s="373"/>
      <c r="E148" s="373"/>
      <c r="F148" s="373"/>
      <c r="G148" s="373"/>
      <c r="H148" s="373"/>
      <c r="I148" s="373"/>
      <c r="J148" s="373"/>
      <c r="K148" s="373"/>
      <c r="L148" s="373"/>
      <c r="M148" s="373"/>
      <c r="N148" s="373"/>
      <c r="O148" s="373"/>
      <c r="P148" s="373"/>
      <c r="Q148" s="373"/>
    </row>
    <row r="149" spans="1:17" ht="14.4">
      <c r="A149" s="366" t="s">
        <v>78</v>
      </c>
      <c r="B149" s="378">
        <f>+SUM(C149:Q149)</f>
        <v>160643.02190001716</v>
      </c>
      <c r="C149" s="367">
        <f>+C144-C147</f>
        <v>6523.0627619385723</v>
      </c>
      <c r="D149" s="367">
        <f t="shared" ref="D149:Q149" si="65">+D144-D147</f>
        <v>7721.5873001359796</v>
      </c>
      <c r="E149" s="367">
        <f t="shared" si="65"/>
        <v>8073.6872055558633</v>
      </c>
      <c r="F149" s="367">
        <f t="shared" si="65"/>
        <v>8013.841269675886</v>
      </c>
      <c r="G149" s="367">
        <f t="shared" si="65"/>
        <v>8844.3894102658051</v>
      </c>
      <c r="H149" s="367">
        <f t="shared" si="65"/>
        <v>8830.2266499140169</v>
      </c>
      <c r="I149" s="367">
        <f t="shared" si="65"/>
        <v>8405.878759785719</v>
      </c>
      <c r="J149" s="367">
        <f t="shared" si="65"/>
        <v>9325.4499011434928</v>
      </c>
      <c r="K149" s="367">
        <f t="shared" si="65"/>
        <v>10269.665549089681</v>
      </c>
      <c r="L149" s="367">
        <f t="shared" si="65"/>
        <v>11239.186176400814</v>
      </c>
      <c r="M149" s="367">
        <f t="shared" si="65"/>
        <v>12579.315688389954</v>
      </c>
      <c r="N149" s="367">
        <f t="shared" si="65"/>
        <v>13601.498969820328</v>
      </c>
      <c r="O149" s="367">
        <f t="shared" si="65"/>
        <v>14651.076763193028</v>
      </c>
      <c r="P149" s="367">
        <f t="shared" si="65"/>
        <v>15728.783241428122</v>
      </c>
      <c r="Q149" s="367">
        <f t="shared" si="65"/>
        <v>16835.372253279922</v>
      </c>
    </row>
    <row r="150" spans="1:17" ht="14.4">
      <c r="A150" s="395" t="s">
        <v>331</v>
      </c>
      <c r="B150" s="378">
        <f>+SUM(C150:Q150)</f>
        <v>11487.524395535713</v>
      </c>
      <c r="C150" s="377">
        <f>+C139</f>
        <v>1148.7524395535715</v>
      </c>
      <c r="D150" s="377">
        <f t="shared" ref="D150:Q150" si="66">+D139</f>
        <v>1148.7524395535715</v>
      </c>
      <c r="E150" s="377">
        <f t="shared" si="66"/>
        <v>1148.7524395535715</v>
      </c>
      <c r="F150" s="377">
        <f t="shared" si="66"/>
        <v>1148.7524395535715</v>
      </c>
      <c r="G150" s="377">
        <f t="shared" si="66"/>
        <v>1148.7524395535715</v>
      </c>
      <c r="H150" s="377">
        <f t="shared" si="66"/>
        <v>1148.7524395535715</v>
      </c>
      <c r="I150" s="377">
        <f t="shared" si="66"/>
        <v>1148.7524395535715</v>
      </c>
      <c r="J150" s="377">
        <f t="shared" si="66"/>
        <v>1148.7524395535715</v>
      </c>
      <c r="K150" s="377">
        <f t="shared" si="66"/>
        <v>1148.7524395535715</v>
      </c>
      <c r="L150" s="377">
        <f t="shared" si="66"/>
        <v>1148.7524395535715</v>
      </c>
      <c r="M150" s="377">
        <f t="shared" si="66"/>
        <v>0</v>
      </c>
      <c r="N150" s="377">
        <f t="shared" si="66"/>
        <v>0</v>
      </c>
      <c r="O150" s="377">
        <f t="shared" si="66"/>
        <v>0</v>
      </c>
      <c r="P150" s="377">
        <f t="shared" si="66"/>
        <v>0</v>
      </c>
      <c r="Q150" s="377">
        <f t="shared" si="66"/>
        <v>0</v>
      </c>
    </row>
    <row r="151" spans="1:17" ht="14.4">
      <c r="A151" s="395" t="s">
        <v>332</v>
      </c>
      <c r="B151" s="378">
        <f>+Baseline_NaturalGas!C273</f>
        <v>0</v>
      </c>
      <c r="C151" s="367">
        <f>+Baseline_NaturalGas!D273</f>
        <v>0</v>
      </c>
      <c r="D151" s="367">
        <f>+Baseline_NaturalGas!E273</f>
        <v>0</v>
      </c>
      <c r="E151" s="367">
        <f>+Baseline_NaturalGas!F273</f>
        <v>0</v>
      </c>
      <c r="F151" s="367">
        <f>+Baseline_NaturalGas!G273</f>
        <v>0</v>
      </c>
      <c r="G151" s="367">
        <f>+Baseline_NaturalGas!H273</f>
        <v>0</v>
      </c>
      <c r="H151" s="367">
        <f>+Baseline_NaturalGas!I273</f>
        <v>0</v>
      </c>
      <c r="I151" s="367">
        <f>+Baseline_NaturalGas!J273</f>
        <v>0</v>
      </c>
      <c r="J151" s="367">
        <f>+Baseline_NaturalGas!K273</f>
        <v>0</v>
      </c>
      <c r="K151" s="367">
        <f>+Baseline_NaturalGas!L273</f>
        <v>0</v>
      </c>
      <c r="L151" s="367">
        <f>+Baseline_NaturalGas!M273</f>
        <v>0</v>
      </c>
      <c r="M151" s="367">
        <f>+Baseline_NaturalGas!N273</f>
        <v>0</v>
      </c>
      <c r="N151" s="367">
        <f>+Baseline_NaturalGas!O273</f>
        <v>0</v>
      </c>
      <c r="O151" s="367">
        <f>+Baseline_NaturalGas!P273</f>
        <v>0</v>
      </c>
      <c r="P151" s="367">
        <f>+Baseline_NaturalGas!Q273</f>
        <v>0</v>
      </c>
      <c r="Q151" s="367">
        <f>+Baseline_NaturalGas!R273</f>
        <v>0</v>
      </c>
    </row>
    <row r="152" spans="1:17" ht="14.4">
      <c r="A152" s="510"/>
      <c r="B152" s="511"/>
      <c r="C152" s="511"/>
      <c r="D152" s="511"/>
      <c r="E152" s="511"/>
      <c r="F152" s="511"/>
      <c r="G152" s="511"/>
      <c r="H152" s="511"/>
      <c r="I152" s="511"/>
      <c r="J152" s="511"/>
      <c r="K152" s="511"/>
      <c r="L152" s="511"/>
      <c r="M152" s="511"/>
      <c r="N152" s="511"/>
      <c r="O152" s="511"/>
      <c r="P152" s="511"/>
      <c r="Q152" s="511"/>
    </row>
    <row r="153" spans="1:17" ht="14.4">
      <c r="A153" s="366" t="s">
        <v>110</v>
      </c>
      <c r="B153" s="378">
        <f>-Baseline_NaturalGas!$D$5</f>
        <v>-11487.524395535715</v>
      </c>
      <c r="C153" s="367">
        <f>+C149+C150+C151</f>
        <v>7671.8152014921434</v>
      </c>
      <c r="D153" s="367">
        <f t="shared" ref="D153:Q153" si="67">+D149+D150+D151</f>
        <v>8870.3397396895507</v>
      </c>
      <c r="E153" s="367">
        <f t="shared" si="67"/>
        <v>9222.4396451094344</v>
      </c>
      <c r="F153" s="367">
        <f t="shared" si="67"/>
        <v>9162.5937092294571</v>
      </c>
      <c r="G153" s="367">
        <f t="shared" si="67"/>
        <v>9993.1418498193761</v>
      </c>
      <c r="H153" s="367">
        <f t="shared" si="67"/>
        <v>9978.979089467588</v>
      </c>
      <c r="I153" s="367">
        <f t="shared" si="67"/>
        <v>9554.6311993392901</v>
      </c>
      <c r="J153" s="367">
        <f t="shared" si="67"/>
        <v>10474.202340697064</v>
      </c>
      <c r="K153" s="367">
        <f t="shared" si="67"/>
        <v>11418.417988643252</v>
      </c>
      <c r="L153" s="367">
        <f t="shared" si="67"/>
        <v>12387.938615954385</v>
      </c>
      <c r="M153" s="367">
        <f t="shared" si="67"/>
        <v>12579.315688389954</v>
      </c>
      <c r="N153" s="367">
        <f t="shared" si="67"/>
        <v>13601.498969820328</v>
      </c>
      <c r="O153" s="367">
        <f t="shared" si="67"/>
        <v>14651.076763193028</v>
      </c>
      <c r="P153" s="367">
        <f t="shared" si="67"/>
        <v>15728.783241428122</v>
      </c>
      <c r="Q153" s="367">
        <f t="shared" si="67"/>
        <v>16835.372253279922</v>
      </c>
    </row>
    <row r="154" spans="1:17" ht="15.6">
      <c r="A154" s="366" t="s">
        <v>51</v>
      </c>
      <c r="B154" s="132">
        <f>IRR(B153:Q153)</f>
        <v>0.74631093427144513</v>
      </c>
      <c r="C154" s="390"/>
      <c r="D154" s="390"/>
      <c r="E154" s="390"/>
      <c r="F154" s="390"/>
      <c r="G154" s="390"/>
      <c r="H154" s="390"/>
      <c r="I154" s="390"/>
      <c r="J154" s="390"/>
      <c r="K154" s="390"/>
      <c r="L154" s="390"/>
      <c r="M154" s="390"/>
      <c r="N154" s="390"/>
      <c r="O154" s="390"/>
      <c r="P154" s="390"/>
      <c r="Q154" s="390"/>
    </row>
    <row r="155" spans="1:17" ht="15.6">
      <c r="A155" s="366" t="s">
        <v>267</v>
      </c>
      <c r="B155" s="303">
        <f>NPV('Initial Data'!$C$21/100,B153:Q153)</f>
        <v>52647.220291578655</v>
      </c>
      <c r="C155" s="373"/>
      <c r="D155" s="373"/>
      <c r="E155" s="373"/>
      <c r="F155" s="373"/>
      <c r="G155" s="373"/>
      <c r="H155" s="373"/>
      <c r="I155" s="373"/>
      <c r="J155" s="373"/>
      <c r="K155" s="373"/>
      <c r="L155" s="373"/>
      <c r="M155" s="373"/>
      <c r="N155" s="373"/>
      <c r="O155" s="373"/>
      <c r="P155" s="373"/>
      <c r="Q155" s="373"/>
    </row>
    <row r="156" spans="1:17" ht="14.4">
      <c r="A156" s="369"/>
      <c r="B156" s="373"/>
      <c r="C156" s="373"/>
      <c r="D156" s="373"/>
      <c r="E156" s="373"/>
      <c r="F156" s="373"/>
      <c r="G156" s="373"/>
      <c r="H156" s="373"/>
      <c r="I156" s="373"/>
      <c r="J156" s="373"/>
      <c r="K156" s="373"/>
      <c r="L156" s="373"/>
      <c r="M156" s="373"/>
      <c r="N156" s="373"/>
      <c r="O156" s="373"/>
      <c r="P156" s="373"/>
      <c r="Q156" s="373"/>
    </row>
    <row r="157" spans="1:17" ht="14.4">
      <c r="A157" s="369"/>
      <c r="B157" s="373"/>
      <c r="C157" s="373"/>
      <c r="D157" s="373"/>
      <c r="E157" s="373"/>
      <c r="F157" s="373"/>
      <c r="G157" s="373"/>
      <c r="H157" s="373"/>
      <c r="I157" s="373"/>
      <c r="J157" s="373"/>
      <c r="K157" s="373"/>
      <c r="L157" s="373"/>
      <c r="M157" s="373"/>
      <c r="N157" s="373"/>
      <c r="O157" s="373"/>
      <c r="P157" s="373"/>
      <c r="Q157" s="373"/>
    </row>
    <row r="158" spans="1:17" ht="14.4">
      <c r="A158" s="369"/>
      <c r="B158" s="373"/>
      <c r="C158" s="373"/>
      <c r="D158" s="373"/>
      <c r="E158" s="373"/>
      <c r="F158" s="373"/>
      <c r="G158" s="373"/>
      <c r="H158" s="373"/>
      <c r="I158" s="373"/>
      <c r="J158" s="373"/>
      <c r="K158" s="373"/>
      <c r="L158" s="373"/>
      <c r="M158" s="373"/>
      <c r="N158" s="373"/>
      <c r="O158" s="373"/>
      <c r="P158" s="373"/>
      <c r="Q158" s="373"/>
    </row>
    <row r="159" spans="1:17" ht="14.4">
      <c r="A159" s="369"/>
      <c r="B159" s="373"/>
      <c r="C159" s="373"/>
      <c r="D159" s="373"/>
      <c r="E159" s="373"/>
      <c r="F159" s="373"/>
      <c r="G159" s="373"/>
      <c r="H159" s="373"/>
      <c r="I159" s="373"/>
      <c r="J159" s="373"/>
      <c r="K159" s="373"/>
      <c r="L159" s="373"/>
      <c r="M159" s="373"/>
      <c r="N159" s="373"/>
      <c r="O159" s="373"/>
      <c r="P159" s="373"/>
      <c r="Q159" s="373"/>
    </row>
    <row r="160" spans="1:17" ht="14.4">
      <c r="A160" s="369"/>
      <c r="B160" s="373"/>
      <c r="C160" s="373"/>
      <c r="D160" s="373"/>
      <c r="E160" s="373"/>
      <c r="F160" s="373"/>
      <c r="G160" s="373"/>
      <c r="H160" s="373"/>
      <c r="I160" s="373"/>
      <c r="J160" s="373"/>
      <c r="K160" s="373"/>
      <c r="L160" s="373"/>
      <c r="M160" s="373"/>
      <c r="N160" s="373"/>
      <c r="O160" s="373"/>
      <c r="P160" s="373"/>
      <c r="Q160" s="373"/>
    </row>
    <row r="161" spans="1:17" ht="14.4">
      <c r="A161" s="369"/>
      <c r="B161" s="373"/>
      <c r="C161" s="373"/>
      <c r="D161" s="373"/>
      <c r="E161" s="373"/>
      <c r="F161" s="373"/>
      <c r="G161" s="373"/>
      <c r="H161" s="373"/>
      <c r="I161" s="373"/>
      <c r="J161" s="373"/>
      <c r="K161" s="373"/>
      <c r="L161" s="373"/>
      <c r="M161" s="373"/>
      <c r="N161" s="373"/>
      <c r="O161" s="373"/>
      <c r="P161" s="373"/>
      <c r="Q161" s="373"/>
    </row>
    <row r="162" spans="1:17" ht="14.4">
      <c r="A162" s="369"/>
      <c r="B162" s="373"/>
      <c r="C162" s="373"/>
      <c r="D162" s="373"/>
      <c r="E162" s="373"/>
      <c r="F162" s="373"/>
      <c r="G162" s="373"/>
      <c r="H162" s="373"/>
      <c r="I162" s="373"/>
      <c r="J162" s="373"/>
      <c r="K162" s="373"/>
      <c r="L162" s="373"/>
      <c r="M162" s="373"/>
      <c r="N162" s="373"/>
      <c r="O162" s="373"/>
      <c r="P162" s="373"/>
      <c r="Q162" s="373"/>
    </row>
    <row r="163" spans="1:17" ht="14.4">
      <c r="A163" s="369"/>
      <c r="B163" s="373"/>
      <c r="C163" s="373"/>
      <c r="D163" s="373"/>
      <c r="E163" s="373"/>
      <c r="F163" s="373"/>
      <c r="G163" s="373"/>
      <c r="H163" s="373"/>
      <c r="I163" s="373"/>
      <c r="J163" s="373"/>
      <c r="K163" s="373"/>
      <c r="L163" s="373"/>
      <c r="M163" s="373"/>
      <c r="N163" s="373"/>
      <c r="O163" s="373"/>
      <c r="P163" s="373"/>
      <c r="Q163" s="373"/>
    </row>
    <row r="164" spans="1:17" ht="14.4">
      <c r="A164" s="369"/>
      <c r="B164" s="373"/>
      <c r="C164" s="373"/>
      <c r="D164" s="373"/>
      <c r="E164" s="373"/>
      <c r="F164" s="373"/>
      <c r="G164" s="373"/>
      <c r="H164" s="373"/>
      <c r="I164" s="373"/>
      <c r="J164" s="373"/>
      <c r="K164" s="373"/>
      <c r="L164" s="373"/>
      <c r="M164" s="373"/>
      <c r="N164" s="373"/>
      <c r="O164" s="373"/>
      <c r="P164" s="373"/>
      <c r="Q164" s="373"/>
    </row>
    <row r="165" spans="1:17" ht="14.4">
      <c r="A165" s="369"/>
      <c r="B165" s="373"/>
      <c r="C165" s="373"/>
      <c r="D165" s="373"/>
      <c r="E165" s="373"/>
      <c r="F165" s="373"/>
      <c r="G165" s="373"/>
      <c r="H165" s="373"/>
      <c r="I165" s="373"/>
      <c r="J165" s="373"/>
      <c r="K165" s="373"/>
      <c r="L165" s="373"/>
      <c r="M165" s="373"/>
      <c r="N165" s="373"/>
      <c r="O165" s="373"/>
      <c r="P165" s="373"/>
      <c r="Q165" s="373"/>
    </row>
    <row r="166" spans="1:17" ht="14.4">
      <c r="A166" s="369"/>
      <c r="B166" s="373"/>
      <c r="C166" s="373"/>
      <c r="D166" s="373"/>
      <c r="E166" s="373"/>
      <c r="F166" s="373"/>
      <c r="G166" s="373"/>
      <c r="H166" s="373"/>
      <c r="I166" s="373"/>
      <c r="J166" s="373"/>
      <c r="K166" s="373"/>
      <c r="L166" s="373"/>
      <c r="M166" s="373"/>
      <c r="N166" s="373"/>
      <c r="O166" s="373"/>
      <c r="P166" s="373"/>
      <c r="Q166" s="373"/>
    </row>
    <row r="167" spans="1:17" ht="14.4">
      <c r="A167" s="369"/>
      <c r="B167" s="373"/>
      <c r="C167" s="373"/>
      <c r="D167" s="373"/>
      <c r="E167" s="373"/>
      <c r="F167" s="373"/>
      <c r="G167" s="373"/>
      <c r="H167" s="373"/>
      <c r="I167" s="373"/>
      <c r="J167" s="373"/>
      <c r="K167" s="373"/>
      <c r="L167" s="373"/>
      <c r="M167" s="373"/>
      <c r="N167" s="373"/>
      <c r="O167" s="373"/>
      <c r="P167" s="373"/>
      <c r="Q167" s="373"/>
    </row>
    <row r="168" spans="1:17" ht="14.4">
      <c r="A168" s="369"/>
      <c r="B168" s="373"/>
      <c r="C168" s="373"/>
      <c r="D168" s="373"/>
      <c r="E168" s="373"/>
      <c r="F168" s="373"/>
      <c r="G168" s="373"/>
      <c r="H168" s="373"/>
      <c r="I168" s="373"/>
      <c r="J168" s="373"/>
      <c r="K168" s="373"/>
      <c r="L168" s="373"/>
      <c r="M168" s="373"/>
      <c r="N168" s="373"/>
      <c r="O168" s="373"/>
      <c r="P168" s="373"/>
      <c r="Q168" s="373"/>
    </row>
    <row r="169" spans="1:17" ht="14.4">
      <c r="A169" s="369"/>
      <c r="B169" s="373"/>
      <c r="C169" s="373"/>
      <c r="D169" s="373"/>
      <c r="E169" s="373"/>
      <c r="F169" s="373"/>
      <c r="G169" s="373"/>
      <c r="H169" s="373"/>
      <c r="I169" s="373"/>
      <c r="J169" s="373"/>
      <c r="K169" s="373"/>
      <c r="L169" s="373"/>
      <c r="M169" s="373"/>
      <c r="N169" s="373"/>
      <c r="O169" s="373"/>
      <c r="P169" s="373"/>
      <c r="Q169" s="373"/>
    </row>
    <row r="170" spans="1:17" ht="14.4">
      <c r="A170" s="369"/>
      <c r="B170" s="373"/>
      <c r="C170" s="373"/>
      <c r="D170" s="373"/>
      <c r="E170" s="373"/>
      <c r="F170" s="373"/>
      <c r="G170" s="373"/>
      <c r="H170" s="373"/>
      <c r="I170" s="373"/>
      <c r="J170" s="373"/>
      <c r="K170" s="373"/>
      <c r="L170" s="373"/>
      <c r="M170" s="373"/>
      <c r="N170" s="373"/>
      <c r="O170" s="373"/>
      <c r="P170" s="373"/>
      <c r="Q170" s="373"/>
    </row>
    <row r="171" spans="1:17" ht="14.4">
      <c r="A171" s="369"/>
      <c r="B171" s="373"/>
      <c r="C171" s="373"/>
      <c r="D171" s="373"/>
      <c r="E171" s="373"/>
      <c r="F171" s="373"/>
      <c r="G171" s="373"/>
      <c r="H171" s="373"/>
      <c r="I171" s="373"/>
      <c r="J171" s="373"/>
      <c r="K171" s="373"/>
      <c r="L171" s="373"/>
      <c r="M171" s="373"/>
      <c r="N171" s="373"/>
      <c r="O171" s="373"/>
      <c r="P171" s="373"/>
      <c r="Q171" s="373"/>
    </row>
    <row r="172" spans="1:17" ht="14.4">
      <c r="A172" s="369"/>
      <c r="B172" s="373"/>
      <c r="C172" s="373"/>
      <c r="D172" s="373"/>
      <c r="E172" s="373"/>
      <c r="F172" s="373"/>
      <c r="G172" s="373"/>
      <c r="H172" s="373"/>
      <c r="I172" s="373"/>
      <c r="J172" s="373"/>
      <c r="K172" s="373"/>
      <c r="L172" s="373"/>
      <c r="M172" s="373"/>
      <c r="N172" s="373"/>
      <c r="O172" s="373"/>
      <c r="P172" s="373"/>
      <c r="Q172" s="373"/>
    </row>
    <row r="173" spans="1:17" ht="14.4">
      <c r="A173" s="369"/>
      <c r="B173" s="373"/>
      <c r="C173" s="373"/>
      <c r="D173" s="373"/>
      <c r="E173" s="373"/>
      <c r="F173" s="373"/>
      <c r="G173" s="373"/>
      <c r="H173" s="373"/>
      <c r="I173" s="373"/>
      <c r="J173" s="373"/>
      <c r="K173" s="373"/>
      <c r="L173" s="373"/>
      <c r="M173" s="373"/>
      <c r="N173" s="373"/>
      <c r="O173" s="373"/>
      <c r="P173" s="373"/>
      <c r="Q173" s="373"/>
    </row>
    <row r="174" spans="1:17" ht="14.4">
      <c r="A174" s="369"/>
      <c r="B174" s="373"/>
      <c r="C174" s="373"/>
      <c r="D174" s="373"/>
      <c r="E174" s="373"/>
      <c r="F174" s="373"/>
      <c r="G174" s="373"/>
      <c r="H174" s="373"/>
      <c r="I174" s="373"/>
      <c r="J174" s="373"/>
      <c r="K174" s="373"/>
      <c r="L174" s="373"/>
      <c r="M174" s="373"/>
      <c r="N174" s="373"/>
      <c r="O174" s="373"/>
      <c r="P174" s="373"/>
      <c r="Q174" s="373"/>
    </row>
    <row r="175" spans="1:17" ht="14.4">
      <c r="A175" s="369"/>
      <c r="B175" s="373"/>
      <c r="C175" s="373"/>
      <c r="D175" s="373"/>
      <c r="E175" s="373"/>
      <c r="F175" s="373"/>
      <c r="G175" s="373"/>
      <c r="H175" s="373"/>
      <c r="I175" s="373"/>
      <c r="J175" s="373"/>
      <c r="K175" s="373"/>
      <c r="L175" s="373"/>
      <c r="M175" s="373"/>
      <c r="N175" s="373"/>
      <c r="O175" s="373"/>
      <c r="P175" s="373"/>
      <c r="Q175" s="373"/>
    </row>
    <row r="176" spans="1:17" ht="14.4">
      <c r="A176" s="369"/>
      <c r="B176" s="373"/>
      <c r="C176" s="373"/>
      <c r="D176" s="373"/>
      <c r="E176" s="373"/>
      <c r="F176" s="373"/>
      <c r="G176" s="373"/>
      <c r="H176" s="373"/>
      <c r="I176" s="373"/>
      <c r="J176" s="373"/>
      <c r="K176" s="373"/>
      <c r="L176" s="373"/>
      <c r="M176" s="373"/>
      <c r="N176" s="373"/>
      <c r="O176" s="373"/>
      <c r="P176" s="373"/>
      <c r="Q176" s="373"/>
    </row>
    <row r="177" spans="1:17" ht="14.4">
      <c r="A177" s="369"/>
      <c r="B177" s="373"/>
      <c r="C177" s="373"/>
      <c r="D177" s="373"/>
      <c r="E177" s="373"/>
      <c r="F177" s="373"/>
      <c r="G177" s="373"/>
      <c r="H177" s="373"/>
      <c r="I177" s="373"/>
      <c r="J177" s="373"/>
      <c r="K177" s="373"/>
      <c r="L177" s="373"/>
      <c r="M177" s="373"/>
      <c r="N177" s="373"/>
      <c r="O177" s="373"/>
      <c r="P177" s="373"/>
      <c r="Q177" s="373"/>
    </row>
    <row r="178" spans="1:17" ht="14.4">
      <c r="A178" s="369"/>
      <c r="B178" s="373"/>
      <c r="C178" s="373"/>
      <c r="D178" s="373"/>
      <c r="E178" s="373"/>
      <c r="F178" s="373"/>
      <c r="G178" s="373"/>
      <c r="H178" s="373"/>
      <c r="I178" s="373"/>
      <c r="J178" s="373"/>
      <c r="K178" s="373"/>
      <c r="L178" s="373"/>
      <c r="M178" s="373"/>
      <c r="N178" s="373"/>
      <c r="O178" s="373"/>
      <c r="P178" s="373"/>
      <c r="Q178" s="373"/>
    </row>
    <row r="179" spans="1:17" ht="14.4">
      <c r="A179" s="369"/>
      <c r="B179" s="373"/>
      <c r="C179" s="373"/>
      <c r="D179" s="373"/>
      <c r="E179" s="373"/>
      <c r="F179" s="373"/>
      <c r="G179" s="373"/>
      <c r="H179" s="373"/>
      <c r="I179" s="373"/>
      <c r="J179" s="373"/>
      <c r="K179" s="373"/>
      <c r="L179" s="373"/>
      <c r="M179" s="373"/>
      <c r="N179" s="373"/>
      <c r="O179" s="373"/>
      <c r="P179" s="373"/>
      <c r="Q179" s="373"/>
    </row>
    <row r="180" spans="1:17" ht="14.4">
      <c r="A180" s="369"/>
      <c r="B180" s="373"/>
      <c r="C180" s="373"/>
      <c r="D180" s="373"/>
      <c r="E180" s="373"/>
      <c r="F180" s="373"/>
      <c r="G180" s="373"/>
      <c r="H180" s="373"/>
      <c r="I180" s="373"/>
      <c r="J180" s="373"/>
      <c r="K180" s="373"/>
      <c r="L180" s="373"/>
      <c r="M180" s="373"/>
      <c r="N180" s="373"/>
      <c r="O180" s="373"/>
      <c r="P180" s="373"/>
      <c r="Q180" s="373"/>
    </row>
    <row r="181" spans="1:17" ht="14.4">
      <c r="A181" s="369"/>
      <c r="B181" s="373"/>
      <c r="C181" s="373"/>
      <c r="D181" s="373"/>
      <c r="E181" s="373"/>
      <c r="F181" s="373"/>
      <c r="G181" s="373"/>
      <c r="H181" s="373"/>
      <c r="I181" s="373"/>
      <c r="J181" s="373"/>
      <c r="K181" s="373"/>
      <c r="L181" s="373"/>
      <c r="M181" s="373"/>
      <c r="N181" s="373"/>
      <c r="O181" s="373"/>
      <c r="P181" s="373"/>
      <c r="Q181" s="373"/>
    </row>
    <row r="182" spans="1:17" ht="14.4">
      <c r="A182" s="369"/>
      <c r="B182" s="373"/>
      <c r="C182" s="373"/>
      <c r="D182" s="373"/>
      <c r="E182" s="373"/>
      <c r="F182" s="373"/>
      <c r="G182" s="373"/>
      <c r="H182" s="373"/>
      <c r="I182" s="373"/>
      <c r="J182" s="373"/>
      <c r="K182" s="373"/>
      <c r="L182" s="373"/>
      <c r="M182" s="373"/>
      <c r="N182" s="373"/>
      <c r="O182" s="373"/>
      <c r="P182" s="373"/>
      <c r="Q182" s="373"/>
    </row>
    <row r="183" spans="1:17" ht="14.4">
      <c r="A183" s="369"/>
      <c r="B183" s="373"/>
      <c r="C183" s="373"/>
      <c r="D183" s="373"/>
      <c r="E183" s="373"/>
      <c r="F183" s="373"/>
      <c r="G183" s="373"/>
      <c r="H183" s="373"/>
      <c r="I183" s="373"/>
      <c r="J183" s="373"/>
      <c r="K183" s="373"/>
      <c r="L183" s="373"/>
      <c r="M183" s="373"/>
      <c r="N183" s="373"/>
      <c r="O183" s="373"/>
      <c r="P183" s="373"/>
      <c r="Q183" s="373"/>
    </row>
    <row r="184" spans="1:17" ht="14.4">
      <c r="A184" s="369"/>
      <c r="B184" s="373"/>
      <c r="C184" s="373"/>
      <c r="D184" s="373"/>
      <c r="E184" s="373"/>
      <c r="F184" s="373"/>
      <c r="G184" s="373"/>
      <c r="H184" s="373"/>
      <c r="I184" s="373"/>
      <c r="J184" s="373"/>
      <c r="K184" s="373"/>
      <c r="L184" s="373"/>
      <c r="M184" s="373"/>
      <c r="N184" s="373"/>
      <c r="O184" s="373"/>
      <c r="P184" s="373"/>
      <c r="Q184" s="373"/>
    </row>
    <row r="185" spans="1:17" ht="14.4">
      <c r="A185" s="369"/>
      <c r="B185" s="373"/>
      <c r="C185" s="373"/>
      <c r="D185" s="373"/>
      <c r="E185" s="373"/>
      <c r="F185" s="373"/>
      <c r="G185" s="373"/>
      <c r="H185" s="373"/>
      <c r="I185" s="373"/>
      <c r="J185" s="373"/>
      <c r="K185" s="373"/>
      <c r="L185" s="373"/>
      <c r="M185" s="373"/>
      <c r="N185" s="373"/>
      <c r="O185" s="373"/>
      <c r="P185" s="373"/>
      <c r="Q185" s="373"/>
    </row>
    <row r="186" spans="1:17" ht="14.4">
      <c r="A186" s="369"/>
      <c r="B186" s="373"/>
      <c r="C186" s="373"/>
      <c r="D186" s="373"/>
      <c r="E186" s="373"/>
      <c r="F186" s="373"/>
      <c r="G186" s="373"/>
      <c r="H186" s="373"/>
      <c r="I186" s="373"/>
      <c r="J186" s="373"/>
      <c r="K186" s="373"/>
      <c r="L186" s="373"/>
      <c r="M186" s="373"/>
      <c r="N186" s="373"/>
      <c r="O186" s="373"/>
      <c r="P186" s="373"/>
      <c r="Q186" s="373"/>
    </row>
    <row r="187" spans="1:17" ht="14.4">
      <c r="A187" s="369"/>
      <c r="B187" s="373"/>
      <c r="C187" s="373"/>
      <c r="D187" s="373"/>
      <c r="E187" s="373"/>
      <c r="F187" s="373"/>
      <c r="G187" s="373"/>
      <c r="H187" s="373"/>
      <c r="I187" s="373"/>
      <c r="J187" s="373"/>
      <c r="K187" s="373"/>
      <c r="L187" s="373"/>
      <c r="M187" s="373"/>
      <c r="N187" s="373"/>
      <c r="O187" s="373"/>
      <c r="P187" s="373"/>
      <c r="Q187" s="373"/>
    </row>
    <row r="188" spans="1:17" ht="14.4">
      <c r="A188" s="369"/>
      <c r="B188" s="373"/>
      <c r="C188" s="373"/>
      <c r="D188" s="373"/>
      <c r="E188" s="373"/>
      <c r="F188" s="373"/>
      <c r="G188" s="373"/>
      <c r="H188" s="373"/>
      <c r="I188" s="373"/>
      <c r="J188" s="373"/>
      <c r="K188" s="373"/>
      <c r="L188" s="373"/>
      <c r="M188" s="373"/>
      <c r="N188" s="373"/>
      <c r="O188" s="373"/>
      <c r="P188" s="373"/>
      <c r="Q188" s="373"/>
    </row>
    <row r="189" spans="1:17" ht="14.4">
      <c r="A189" s="369"/>
      <c r="B189" s="373"/>
      <c r="C189" s="373"/>
      <c r="D189" s="373"/>
      <c r="E189" s="373"/>
      <c r="F189" s="373"/>
      <c r="G189" s="373"/>
      <c r="H189" s="373"/>
      <c r="I189" s="373"/>
      <c r="J189" s="373"/>
      <c r="K189" s="373"/>
      <c r="L189" s="373"/>
      <c r="M189" s="373"/>
      <c r="N189" s="373"/>
      <c r="O189" s="373"/>
      <c r="P189" s="373"/>
      <c r="Q189" s="373"/>
    </row>
    <row r="190" spans="1:17" ht="14.4">
      <c r="A190" s="369"/>
      <c r="B190" s="373"/>
      <c r="C190" s="373"/>
      <c r="D190" s="373"/>
      <c r="E190" s="373"/>
      <c r="F190" s="373"/>
      <c r="G190" s="373"/>
      <c r="H190" s="373"/>
      <c r="I190" s="373"/>
      <c r="J190" s="373"/>
      <c r="K190" s="373"/>
      <c r="L190" s="373"/>
      <c r="M190" s="373"/>
      <c r="N190" s="373"/>
      <c r="O190" s="373"/>
      <c r="P190" s="373"/>
      <c r="Q190" s="373"/>
    </row>
    <row r="191" spans="1:17" ht="14.4">
      <c r="A191" s="369"/>
      <c r="B191" s="373"/>
      <c r="C191" s="373"/>
      <c r="D191" s="373"/>
      <c r="E191" s="373"/>
      <c r="F191" s="373"/>
      <c r="G191" s="373"/>
      <c r="H191" s="373"/>
      <c r="I191" s="373"/>
      <c r="J191" s="373"/>
      <c r="K191" s="373"/>
      <c r="L191" s="373"/>
      <c r="M191" s="373"/>
      <c r="N191" s="373"/>
      <c r="O191" s="373"/>
      <c r="P191" s="373"/>
      <c r="Q191" s="373"/>
    </row>
    <row r="192" spans="1:17" ht="14.4">
      <c r="A192" s="369"/>
      <c r="B192" s="373"/>
      <c r="C192" s="373"/>
      <c r="D192" s="373"/>
      <c r="E192" s="373"/>
      <c r="F192" s="373"/>
      <c r="G192" s="373"/>
      <c r="H192" s="373"/>
      <c r="I192" s="373"/>
      <c r="J192" s="373"/>
      <c r="K192" s="373"/>
      <c r="L192" s="373"/>
      <c r="M192" s="373"/>
      <c r="N192" s="373"/>
      <c r="O192" s="373"/>
      <c r="P192" s="373"/>
      <c r="Q192" s="373"/>
    </row>
    <row r="193" spans="1:17" ht="14.4">
      <c r="A193" s="369"/>
      <c r="B193" s="373"/>
      <c r="C193" s="373"/>
      <c r="D193" s="373"/>
      <c r="E193" s="373"/>
      <c r="F193" s="373"/>
      <c r="G193" s="373"/>
      <c r="H193" s="373"/>
      <c r="I193" s="373"/>
      <c r="J193" s="373"/>
      <c r="K193" s="373"/>
      <c r="L193" s="373"/>
      <c r="M193" s="373"/>
      <c r="N193" s="373"/>
      <c r="O193" s="373"/>
      <c r="P193" s="373"/>
      <c r="Q193" s="373"/>
    </row>
    <row r="194" spans="1:17" ht="14.4">
      <c r="A194" s="369"/>
      <c r="B194" s="373"/>
      <c r="C194" s="373"/>
      <c r="D194" s="373"/>
      <c r="E194" s="373"/>
      <c r="F194" s="373"/>
      <c r="G194" s="373"/>
      <c r="H194" s="373"/>
      <c r="I194" s="373"/>
      <c r="J194" s="373"/>
      <c r="K194" s="373"/>
      <c r="L194" s="373"/>
      <c r="M194" s="373"/>
      <c r="N194" s="373"/>
      <c r="O194" s="373"/>
      <c r="P194" s="373"/>
      <c r="Q194" s="373"/>
    </row>
    <row r="195" spans="1:17" ht="14.4">
      <c r="A195" s="369"/>
      <c r="B195" s="373"/>
      <c r="C195" s="373"/>
      <c r="D195" s="373"/>
      <c r="E195" s="373"/>
      <c r="F195" s="373"/>
      <c r="G195" s="373"/>
      <c r="H195" s="373"/>
      <c r="I195" s="373"/>
      <c r="J195" s="373"/>
      <c r="K195" s="373"/>
      <c r="L195" s="373"/>
      <c r="M195" s="373"/>
      <c r="N195" s="373"/>
      <c r="O195" s="373"/>
      <c r="P195" s="373"/>
      <c r="Q195" s="373"/>
    </row>
    <row r="196" spans="1:17" ht="14.4">
      <c r="A196" s="369"/>
      <c r="B196" s="373"/>
      <c r="C196" s="373"/>
      <c r="D196" s="373"/>
      <c r="E196" s="373"/>
      <c r="F196" s="373"/>
      <c r="G196" s="373"/>
      <c r="H196" s="373"/>
      <c r="I196" s="373"/>
      <c r="J196" s="373"/>
      <c r="K196" s="373"/>
      <c r="L196" s="373"/>
      <c r="M196" s="373"/>
      <c r="N196" s="373"/>
      <c r="O196" s="373"/>
      <c r="P196" s="373"/>
      <c r="Q196" s="373"/>
    </row>
    <row r="197" spans="1:17" ht="14.4">
      <c r="A197" s="369"/>
      <c r="B197" s="373"/>
      <c r="C197" s="373"/>
      <c r="D197" s="373"/>
      <c r="E197" s="373"/>
      <c r="F197" s="373"/>
      <c r="G197" s="373"/>
      <c r="H197" s="373"/>
      <c r="I197" s="373"/>
      <c r="J197" s="373"/>
      <c r="K197" s="373"/>
      <c r="L197" s="373"/>
      <c r="M197" s="373"/>
      <c r="N197" s="373"/>
      <c r="O197" s="373"/>
      <c r="P197" s="373"/>
      <c r="Q197" s="373"/>
    </row>
    <row r="198" spans="1:17" ht="14.4">
      <c r="A198" s="369"/>
      <c r="B198" s="373"/>
      <c r="C198" s="373"/>
      <c r="D198" s="373"/>
      <c r="E198" s="373"/>
      <c r="F198" s="373"/>
      <c r="G198" s="373"/>
      <c r="H198" s="373"/>
      <c r="I198" s="373"/>
      <c r="J198" s="373"/>
      <c r="K198" s="373"/>
      <c r="L198" s="373"/>
      <c r="M198" s="373"/>
      <c r="N198" s="373"/>
      <c r="O198" s="373"/>
      <c r="P198" s="373"/>
      <c r="Q198" s="373"/>
    </row>
    <row r="199" spans="1:17" ht="14.4">
      <c r="A199" s="369"/>
      <c r="B199" s="373"/>
      <c r="C199" s="373"/>
      <c r="D199" s="373"/>
      <c r="E199" s="373"/>
      <c r="F199" s="373"/>
      <c r="G199" s="373"/>
      <c r="H199" s="373"/>
      <c r="I199" s="373"/>
      <c r="J199" s="373"/>
      <c r="K199" s="373"/>
      <c r="L199" s="373"/>
      <c r="M199" s="373"/>
      <c r="N199" s="373"/>
      <c r="O199" s="373"/>
      <c r="P199" s="373"/>
      <c r="Q199" s="373"/>
    </row>
    <row r="200" spans="1:17" ht="14.4">
      <c r="A200" s="369"/>
      <c r="B200" s="373"/>
      <c r="C200" s="373"/>
      <c r="D200" s="373"/>
      <c r="E200" s="373"/>
      <c r="F200" s="373"/>
      <c r="G200" s="373"/>
      <c r="H200" s="373"/>
      <c r="I200" s="373"/>
      <c r="J200" s="373"/>
      <c r="K200" s="373"/>
      <c r="L200" s="373"/>
      <c r="M200" s="373"/>
      <c r="N200" s="373"/>
      <c r="O200" s="373"/>
      <c r="P200" s="373"/>
      <c r="Q200" s="373"/>
    </row>
    <row r="201" spans="1:17" ht="14.4">
      <c r="A201" s="369"/>
      <c r="B201" s="373"/>
      <c r="C201" s="373"/>
      <c r="D201" s="373"/>
      <c r="E201" s="373"/>
      <c r="F201" s="373"/>
      <c r="G201" s="373"/>
      <c r="H201" s="373"/>
      <c r="I201" s="373"/>
      <c r="J201" s="373"/>
      <c r="K201" s="373"/>
      <c r="L201" s="373"/>
      <c r="M201" s="373"/>
      <c r="N201" s="373"/>
      <c r="O201" s="373"/>
      <c r="P201" s="373"/>
      <c r="Q201" s="373"/>
    </row>
    <row r="202" spans="1:17" ht="14.4">
      <c r="A202" s="369"/>
      <c r="B202" s="373"/>
      <c r="C202" s="373"/>
      <c r="D202" s="373"/>
      <c r="E202" s="373"/>
      <c r="F202" s="373"/>
      <c r="G202" s="373"/>
      <c r="H202" s="373"/>
      <c r="I202" s="373"/>
      <c r="J202" s="373"/>
      <c r="K202" s="373"/>
      <c r="L202" s="373"/>
      <c r="M202" s="373"/>
      <c r="N202" s="373"/>
      <c r="O202" s="373"/>
      <c r="P202" s="373"/>
      <c r="Q202" s="373"/>
    </row>
    <row r="203" spans="1:17" ht="14.4">
      <c r="A203" s="369"/>
      <c r="B203" s="373"/>
      <c r="C203" s="373"/>
      <c r="D203" s="373"/>
      <c r="E203" s="373"/>
      <c r="F203" s="373"/>
      <c r="G203" s="373"/>
      <c r="H203" s="373"/>
      <c r="I203" s="373"/>
      <c r="J203" s="373"/>
      <c r="K203" s="373"/>
      <c r="L203" s="373"/>
      <c r="M203" s="373"/>
      <c r="N203" s="373"/>
      <c r="O203" s="373"/>
      <c r="P203" s="373"/>
      <c r="Q203" s="373"/>
    </row>
    <row r="204" spans="1:17" ht="14.4">
      <c r="A204" s="369"/>
      <c r="B204" s="373"/>
      <c r="C204" s="373"/>
      <c r="D204" s="373"/>
      <c r="E204" s="373"/>
      <c r="F204" s="373"/>
      <c r="G204" s="373"/>
      <c r="H204" s="373"/>
      <c r="I204" s="373"/>
      <c r="J204" s="373"/>
      <c r="K204" s="373"/>
      <c r="L204" s="373"/>
      <c r="M204" s="373"/>
      <c r="N204" s="373"/>
      <c r="O204" s="373"/>
      <c r="P204" s="373"/>
      <c r="Q204" s="373"/>
    </row>
    <row r="205" spans="1:17" ht="14.4">
      <c r="A205" s="369"/>
      <c r="B205" s="373"/>
      <c r="C205" s="373"/>
      <c r="D205" s="373"/>
      <c r="E205" s="373"/>
      <c r="F205" s="373"/>
      <c r="G205" s="373"/>
      <c r="H205" s="373"/>
      <c r="I205" s="373"/>
      <c r="J205" s="373"/>
      <c r="K205" s="373"/>
      <c r="L205" s="373"/>
      <c r="M205" s="373"/>
      <c r="N205" s="373"/>
      <c r="O205" s="373"/>
      <c r="P205" s="373"/>
      <c r="Q205" s="373"/>
    </row>
    <row r="206" spans="1:17" ht="14.4">
      <c r="A206" s="369"/>
      <c r="B206" s="373"/>
      <c r="C206" s="373"/>
      <c r="D206" s="373"/>
      <c r="E206" s="373"/>
      <c r="F206" s="373"/>
      <c r="G206" s="373"/>
      <c r="H206" s="373"/>
      <c r="I206" s="373"/>
      <c r="J206" s="373"/>
      <c r="K206" s="373"/>
      <c r="L206" s="373"/>
      <c r="M206" s="373"/>
      <c r="N206" s="373"/>
      <c r="O206" s="373"/>
      <c r="P206" s="373"/>
      <c r="Q206" s="373"/>
    </row>
    <row r="207" spans="1:17" ht="14.4">
      <c r="A207" s="369"/>
      <c r="B207" s="373"/>
      <c r="C207" s="373"/>
      <c r="D207" s="373"/>
      <c r="E207" s="373"/>
      <c r="F207" s="373"/>
      <c r="G207" s="373"/>
      <c r="H207" s="373"/>
      <c r="I207" s="373"/>
      <c r="J207" s="373"/>
      <c r="K207" s="373"/>
      <c r="L207" s="373"/>
      <c r="M207" s="373"/>
      <c r="N207" s="373"/>
      <c r="O207" s="373"/>
      <c r="P207" s="373"/>
      <c r="Q207" s="373"/>
    </row>
    <row r="208" spans="1:17" ht="14.4">
      <c r="A208" s="369"/>
      <c r="B208" s="373"/>
      <c r="C208" s="373"/>
      <c r="D208" s="373"/>
      <c r="E208" s="373"/>
      <c r="F208" s="373"/>
      <c r="G208" s="373"/>
      <c r="H208" s="373"/>
      <c r="I208" s="373"/>
      <c r="J208" s="373"/>
      <c r="K208" s="373"/>
      <c r="L208" s="373"/>
      <c r="M208" s="373"/>
      <c r="N208" s="373"/>
      <c r="O208" s="373"/>
      <c r="P208" s="373"/>
      <c r="Q208" s="373"/>
    </row>
    <row r="209" spans="1:17" ht="14.4">
      <c r="A209" s="369"/>
      <c r="B209" s="373"/>
      <c r="C209" s="373"/>
      <c r="D209" s="373"/>
      <c r="E209" s="373"/>
      <c r="F209" s="373"/>
      <c r="G209" s="373"/>
      <c r="H209" s="373"/>
      <c r="I209" s="373"/>
      <c r="J209" s="373"/>
      <c r="K209" s="373"/>
      <c r="L209" s="373"/>
      <c r="M209" s="373"/>
      <c r="N209" s="373"/>
      <c r="O209" s="373"/>
      <c r="P209" s="373"/>
      <c r="Q209" s="373"/>
    </row>
    <row r="210" spans="1:17" ht="14.4">
      <c r="A210" s="369"/>
      <c r="B210" s="373"/>
      <c r="C210" s="373"/>
      <c r="D210" s="373"/>
      <c r="E210" s="373"/>
      <c r="F210" s="373"/>
      <c r="G210" s="373"/>
      <c r="H210" s="373"/>
      <c r="I210" s="373"/>
      <c r="J210" s="373"/>
      <c r="K210" s="373"/>
      <c r="L210" s="373"/>
      <c r="M210" s="373"/>
      <c r="N210" s="373"/>
      <c r="O210" s="373"/>
      <c r="P210" s="373"/>
      <c r="Q210" s="373"/>
    </row>
    <row r="211" spans="1:17" ht="14.4">
      <c r="A211" s="369"/>
      <c r="B211" s="373"/>
      <c r="C211" s="373"/>
      <c r="D211" s="373"/>
      <c r="E211" s="373"/>
      <c r="F211" s="373"/>
      <c r="G211" s="373"/>
      <c r="H211" s="373"/>
      <c r="I211" s="373"/>
      <c r="J211" s="373"/>
      <c r="K211" s="373"/>
      <c r="L211" s="373"/>
      <c r="M211" s="373"/>
      <c r="N211" s="373"/>
      <c r="O211" s="373"/>
      <c r="P211" s="373"/>
      <c r="Q211" s="373"/>
    </row>
    <row r="212" spans="1:17" ht="14.4">
      <c r="A212" s="369"/>
      <c r="B212" s="373"/>
      <c r="C212" s="373"/>
      <c r="D212" s="373"/>
      <c r="E212" s="373"/>
      <c r="F212" s="373"/>
      <c r="G212" s="373"/>
      <c r="H212" s="373"/>
      <c r="I212" s="373"/>
      <c r="J212" s="373"/>
      <c r="K212" s="373"/>
      <c r="L212" s="373"/>
      <c r="M212" s="373"/>
      <c r="N212" s="373"/>
      <c r="O212" s="373"/>
      <c r="P212" s="373"/>
      <c r="Q212" s="373"/>
    </row>
    <row r="213" spans="1:17" ht="14.4">
      <c r="A213" s="369"/>
      <c r="B213" s="373"/>
      <c r="C213" s="373"/>
      <c r="D213" s="373"/>
      <c r="E213" s="373"/>
      <c r="F213" s="373"/>
      <c r="G213" s="373"/>
      <c r="H213" s="373"/>
      <c r="I213" s="373"/>
      <c r="J213" s="373"/>
      <c r="K213" s="373"/>
      <c r="L213" s="373"/>
      <c r="M213" s="373"/>
      <c r="N213" s="373"/>
      <c r="O213" s="373"/>
      <c r="P213" s="373"/>
      <c r="Q213" s="373"/>
    </row>
    <row r="214" spans="1:17" ht="14.4">
      <c r="A214" s="369"/>
      <c r="B214" s="373"/>
      <c r="C214" s="373"/>
      <c r="D214" s="373"/>
      <c r="E214" s="373"/>
      <c r="F214" s="373"/>
      <c r="G214" s="373"/>
      <c r="H214" s="373"/>
      <c r="I214" s="373"/>
      <c r="J214" s="373"/>
      <c r="K214" s="373"/>
      <c r="L214" s="373"/>
      <c r="M214" s="373"/>
      <c r="N214" s="373"/>
      <c r="O214" s="373"/>
      <c r="P214" s="373"/>
      <c r="Q214" s="373"/>
    </row>
    <row r="215" spans="1:17" ht="14.4">
      <c r="A215" s="369"/>
      <c r="B215" s="373"/>
      <c r="C215" s="373"/>
      <c r="D215" s="373"/>
      <c r="E215" s="373"/>
      <c r="F215" s="373"/>
      <c r="G215" s="373"/>
      <c r="H215" s="373"/>
      <c r="I215" s="373"/>
      <c r="J215" s="373"/>
      <c r="K215" s="373"/>
      <c r="L215" s="373"/>
      <c r="M215" s="373"/>
      <c r="N215" s="373"/>
      <c r="O215" s="373"/>
      <c r="P215" s="373"/>
      <c r="Q215" s="373"/>
    </row>
    <row r="216" spans="1:17" ht="14.4">
      <c r="A216" s="369"/>
      <c r="B216" s="373"/>
      <c r="C216" s="373"/>
      <c r="D216" s="373"/>
      <c r="E216" s="373"/>
      <c r="F216" s="373"/>
      <c r="G216" s="373"/>
      <c r="H216" s="373"/>
      <c r="I216" s="373"/>
      <c r="J216" s="373"/>
      <c r="K216" s="373"/>
      <c r="L216" s="373"/>
      <c r="M216" s="373"/>
      <c r="N216" s="373"/>
      <c r="O216" s="373"/>
      <c r="P216" s="373"/>
      <c r="Q216" s="373"/>
    </row>
    <row r="217" spans="1:17" ht="14.4">
      <c r="A217" s="369"/>
      <c r="B217" s="373"/>
      <c r="C217" s="373"/>
      <c r="D217" s="373"/>
      <c r="E217" s="373"/>
      <c r="F217" s="373"/>
      <c r="G217" s="373"/>
      <c r="H217" s="373"/>
      <c r="I217" s="373"/>
      <c r="J217" s="373"/>
      <c r="K217" s="373"/>
      <c r="L217" s="373"/>
      <c r="M217" s="373"/>
      <c r="N217" s="373"/>
      <c r="O217" s="373"/>
      <c r="P217" s="373"/>
      <c r="Q217" s="373"/>
    </row>
    <row r="218" spans="1:17" ht="14.4">
      <c r="A218" s="369"/>
      <c r="B218" s="373"/>
      <c r="C218" s="373"/>
      <c r="D218" s="373"/>
      <c r="E218" s="373"/>
      <c r="F218" s="373"/>
      <c r="G218" s="373"/>
      <c r="H218" s="373"/>
      <c r="I218" s="373"/>
      <c r="J218" s="373"/>
      <c r="K218" s="373"/>
      <c r="L218" s="373"/>
      <c r="M218" s="373"/>
      <c r="N218" s="373"/>
      <c r="O218" s="373"/>
      <c r="P218" s="373"/>
      <c r="Q218" s="373"/>
    </row>
    <row r="219" spans="1:17" ht="14.4">
      <c r="A219" s="369"/>
      <c r="B219" s="373"/>
      <c r="C219" s="373"/>
      <c r="D219" s="373"/>
      <c r="E219" s="373"/>
      <c r="F219" s="373"/>
      <c r="G219" s="373"/>
      <c r="H219" s="373"/>
      <c r="I219" s="373"/>
      <c r="J219" s="373"/>
      <c r="K219" s="373"/>
      <c r="L219" s="373"/>
      <c r="M219" s="373"/>
      <c r="N219" s="373"/>
      <c r="O219" s="373"/>
      <c r="P219" s="373"/>
      <c r="Q219" s="373"/>
    </row>
    <row r="220" spans="1:17" ht="14.4">
      <c r="A220" s="369"/>
      <c r="B220" s="373"/>
      <c r="C220" s="373"/>
      <c r="D220" s="373"/>
      <c r="E220" s="373"/>
      <c r="F220" s="373"/>
      <c r="G220" s="373"/>
      <c r="H220" s="373"/>
      <c r="I220" s="373"/>
      <c r="J220" s="373"/>
      <c r="K220" s="373"/>
      <c r="L220" s="373"/>
      <c r="M220" s="373"/>
      <c r="N220" s="373"/>
      <c r="O220" s="373"/>
      <c r="P220" s="373"/>
      <c r="Q220" s="373"/>
    </row>
    <row r="221" spans="1:17" ht="14.4">
      <c r="A221" s="369"/>
      <c r="B221" s="373"/>
      <c r="C221" s="373"/>
      <c r="D221" s="373"/>
      <c r="E221" s="373"/>
      <c r="F221" s="373"/>
      <c r="G221" s="373"/>
      <c r="H221" s="373"/>
      <c r="I221" s="373"/>
      <c r="J221" s="373"/>
      <c r="K221" s="373"/>
      <c r="L221" s="373"/>
      <c r="M221" s="373"/>
      <c r="N221" s="373"/>
      <c r="O221" s="373"/>
      <c r="P221" s="373"/>
      <c r="Q221" s="373"/>
    </row>
    <row r="222" spans="1:17" ht="14.4">
      <c r="A222" s="369"/>
      <c r="B222" s="373"/>
      <c r="C222" s="373"/>
      <c r="D222" s="373"/>
      <c r="E222" s="373"/>
      <c r="F222" s="373"/>
      <c r="G222" s="373"/>
      <c r="H222" s="373"/>
      <c r="I222" s="373"/>
      <c r="J222" s="373"/>
      <c r="K222" s="373"/>
      <c r="L222" s="373"/>
      <c r="M222" s="373"/>
      <c r="N222" s="373"/>
      <c r="O222" s="373"/>
      <c r="P222" s="373"/>
      <c r="Q222" s="373"/>
    </row>
    <row r="223" spans="1:17" ht="14.4">
      <c r="A223" s="369"/>
      <c r="B223" s="373"/>
      <c r="C223" s="373"/>
      <c r="D223" s="373"/>
      <c r="E223" s="373"/>
      <c r="F223" s="373"/>
      <c r="G223" s="373"/>
      <c r="H223" s="373"/>
      <c r="I223" s="373"/>
      <c r="J223" s="373"/>
      <c r="K223" s="373"/>
      <c r="L223" s="373"/>
      <c r="M223" s="373"/>
      <c r="N223" s="373"/>
      <c r="O223" s="373"/>
      <c r="P223" s="373"/>
      <c r="Q223" s="373"/>
    </row>
    <row r="224" spans="1:17" ht="14.4">
      <c r="A224" s="369"/>
      <c r="B224" s="373"/>
      <c r="C224" s="373"/>
      <c r="D224" s="373"/>
      <c r="E224" s="373"/>
      <c r="F224" s="373"/>
      <c r="G224" s="373"/>
      <c r="H224" s="373"/>
      <c r="I224" s="373"/>
      <c r="J224" s="373"/>
      <c r="K224" s="373"/>
      <c r="L224" s="373"/>
      <c r="M224" s="373"/>
      <c r="N224" s="373"/>
      <c r="O224" s="373"/>
      <c r="P224" s="373"/>
      <c r="Q224" s="373"/>
    </row>
    <row r="225" spans="1:17" ht="14.4">
      <c r="A225" s="369"/>
      <c r="B225" s="373"/>
      <c r="C225" s="373"/>
      <c r="D225" s="373"/>
      <c r="E225" s="373"/>
      <c r="F225" s="373"/>
      <c r="G225" s="373"/>
      <c r="H225" s="373"/>
      <c r="I225" s="373"/>
      <c r="J225" s="373"/>
      <c r="K225" s="373"/>
      <c r="L225" s="373"/>
      <c r="M225" s="373"/>
      <c r="N225" s="373"/>
      <c r="O225" s="373"/>
      <c r="P225" s="373"/>
      <c r="Q225" s="373"/>
    </row>
    <row r="226" spans="1:17" ht="14.4">
      <c r="A226" s="369"/>
      <c r="B226" s="373"/>
      <c r="C226" s="373"/>
      <c r="D226" s="373"/>
      <c r="E226" s="373"/>
      <c r="F226" s="373"/>
      <c r="G226" s="373"/>
      <c r="H226" s="373"/>
      <c r="I226" s="373"/>
      <c r="J226" s="373"/>
      <c r="K226" s="373"/>
      <c r="L226" s="373"/>
      <c r="M226" s="373"/>
      <c r="N226" s="373"/>
      <c r="O226" s="373"/>
      <c r="P226" s="373"/>
      <c r="Q226" s="373"/>
    </row>
    <row r="227" spans="1:17" ht="14.4">
      <c r="A227" s="369"/>
      <c r="B227" s="373"/>
      <c r="C227" s="373"/>
      <c r="D227" s="373"/>
      <c r="E227" s="373"/>
      <c r="F227" s="373"/>
      <c r="G227" s="373"/>
      <c r="H227" s="373"/>
      <c r="I227" s="373"/>
      <c r="J227" s="373"/>
      <c r="K227" s="373"/>
      <c r="L227" s="373"/>
      <c r="M227" s="373"/>
      <c r="N227" s="373"/>
      <c r="O227" s="373"/>
      <c r="P227" s="373"/>
      <c r="Q227" s="373"/>
    </row>
    <row r="228" spans="1:17" ht="14.4">
      <c r="A228" s="369"/>
      <c r="B228" s="373"/>
      <c r="C228" s="373"/>
      <c r="D228" s="373"/>
      <c r="E228" s="373"/>
      <c r="F228" s="373"/>
      <c r="G228" s="373"/>
      <c r="H228" s="373"/>
      <c r="I228" s="373"/>
      <c r="J228" s="373"/>
      <c r="K228" s="373"/>
      <c r="L228" s="373"/>
      <c r="M228" s="373"/>
      <c r="N228" s="373"/>
      <c r="O228" s="373"/>
      <c r="P228" s="373"/>
      <c r="Q228" s="373"/>
    </row>
    <row r="229" spans="1:17" ht="14.4">
      <c r="A229" s="369"/>
      <c r="B229" s="373"/>
      <c r="C229" s="373"/>
      <c r="D229" s="373"/>
      <c r="E229" s="373"/>
      <c r="F229" s="373"/>
      <c r="G229" s="373"/>
      <c r="H229" s="373"/>
      <c r="I229" s="373"/>
      <c r="J229" s="373"/>
      <c r="K229" s="373"/>
      <c r="L229" s="373"/>
      <c r="M229" s="373"/>
      <c r="N229" s="373"/>
      <c r="O229" s="373"/>
      <c r="P229" s="373"/>
      <c r="Q229" s="373"/>
    </row>
    <row r="230" spans="1:17" ht="14.4">
      <c r="A230" s="369"/>
      <c r="B230" s="373"/>
      <c r="C230" s="373"/>
      <c r="D230" s="373"/>
      <c r="E230" s="373"/>
      <c r="F230" s="373"/>
      <c r="G230" s="373"/>
      <c r="H230" s="373"/>
      <c r="I230" s="373"/>
      <c r="J230" s="373"/>
      <c r="K230" s="373"/>
      <c r="L230" s="373"/>
      <c r="M230" s="373"/>
      <c r="N230" s="373"/>
      <c r="O230" s="373"/>
      <c r="P230" s="373"/>
      <c r="Q230" s="373"/>
    </row>
    <row r="231" spans="1:17" ht="14.4">
      <c r="A231" s="369"/>
      <c r="B231" s="373"/>
      <c r="C231" s="373"/>
      <c r="D231" s="373"/>
      <c r="E231" s="373"/>
      <c r="F231" s="373"/>
      <c r="G231" s="373"/>
      <c r="H231" s="373"/>
      <c r="I231" s="373"/>
      <c r="J231" s="373"/>
      <c r="K231" s="373"/>
      <c r="L231" s="373"/>
      <c r="M231" s="373"/>
      <c r="N231" s="373"/>
      <c r="O231" s="373"/>
      <c r="P231" s="373"/>
      <c r="Q231" s="373"/>
    </row>
    <row r="232" spans="1:17" ht="14.4">
      <c r="A232" s="369"/>
      <c r="B232" s="373"/>
      <c r="C232" s="373"/>
      <c r="D232" s="373"/>
      <c r="E232" s="373"/>
      <c r="F232" s="373"/>
      <c r="G232" s="373"/>
      <c r="H232" s="373"/>
      <c r="I232" s="373"/>
      <c r="J232" s="373"/>
      <c r="K232" s="373"/>
      <c r="L232" s="373"/>
      <c r="M232" s="373"/>
      <c r="N232" s="373"/>
      <c r="O232" s="373"/>
      <c r="P232" s="373"/>
      <c r="Q232" s="373"/>
    </row>
    <row r="233" spans="1:17" ht="14.4">
      <c r="A233" s="369"/>
      <c r="B233" s="373"/>
      <c r="C233" s="373"/>
      <c r="D233" s="373"/>
      <c r="E233" s="373"/>
      <c r="F233" s="373"/>
      <c r="G233" s="373"/>
      <c r="H233" s="373"/>
      <c r="I233" s="373"/>
      <c r="J233" s="373"/>
      <c r="K233" s="373"/>
      <c r="L233" s="373"/>
      <c r="M233" s="373"/>
      <c r="N233" s="373"/>
      <c r="O233" s="373"/>
      <c r="P233" s="373"/>
      <c r="Q233" s="373"/>
    </row>
    <row r="234" spans="1:17" ht="14.4">
      <c r="A234" s="369"/>
      <c r="B234" s="373"/>
      <c r="C234" s="373"/>
      <c r="D234" s="373"/>
      <c r="E234" s="373"/>
      <c r="F234" s="373"/>
      <c r="G234" s="373"/>
      <c r="H234" s="373"/>
      <c r="I234" s="373"/>
      <c r="J234" s="373"/>
      <c r="K234" s="373"/>
      <c r="L234" s="373"/>
      <c r="M234" s="373"/>
      <c r="N234" s="373"/>
      <c r="O234" s="373"/>
      <c r="P234" s="373"/>
      <c r="Q234" s="373"/>
    </row>
    <row r="235" spans="1:17" ht="14.4">
      <c r="A235" s="369"/>
      <c r="B235" s="373"/>
      <c r="C235" s="373"/>
      <c r="D235" s="373"/>
      <c r="E235" s="373"/>
      <c r="F235" s="373"/>
      <c r="G235" s="373"/>
      <c r="H235" s="373"/>
      <c r="I235" s="373"/>
      <c r="J235" s="373"/>
      <c r="K235" s="373"/>
      <c r="L235" s="373"/>
      <c r="M235" s="373"/>
      <c r="N235" s="373"/>
      <c r="O235" s="373"/>
      <c r="P235" s="373"/>
      <c r="Q235" s="373"/>
    </row>
    <row r="236" spans="1:17" ht="14.4">
      <c r="A236" s="369"/>
      <c r="B236" s="373"/>
      <c r="C236" s="373"/>
      <c r="D236" s="373"/>
      <c r="E236" s="373"/>
      <c r="F236" s="373"/>
      <c r="G236" s="373"/>
      <c r="H236" s="373"/>
      <c r="I236" s="373"/>
      <c r="J236" s="373"/>
      <c r="K236" s="373"/>
      <c r="L236" s="373"/>
      <c r="M236" s="373"/>
      <c r="N236" s="373"/>
      <c r="O236" s="373"/>
      <c r="P236" s="373"/>
      <c r="Q236" s="373"/>
    </row>
    <row r="237" spans="1:17" ht="14.4">
      <c r="A237" s="369"/>
      <c r="B237" s="373"/>
      <c r="C237" s="373"/>
      <c r="D237" s="373"/>
      <c r="E237" s="373"/>
      <c r="F237" s="373"/>
      <c r="G237" s="373"/>
      <c r="H237" s="373"/>
      <c r="I237" s="373"/>
      <c r="J237" s="373"/>
      <c r="K237" s="373"/>
      <c r="L237" s="373"/>
      <c r="M237" s="373"/>
      <c r="N237" s="373"/>
      <c r="O237" s="373"/>
      <c r="P237" s="373"/>
      <c r="Q237" s="373"/>
    </row>
    <row r="238" spans="1:17" ht="14.4">
      <c r="A238" s="369"/>
      <c r="B238" s="373"/>
      <c r="C238" s="373"/>
      <c r="D238" s="373"/>
      <c r="E238" s="373"/>
      <c r="F238" s="373"/>
      <c r="G238" s="373"/>
      <c r="H238" s="373"/>
      <c r="I238" s="373"/>
      <c r="J238" s="373"/>
      <c r="K238" s="373"/>
      <c r="L238" s="373"/>
      <c r="M238" s="373"/>
      <c r="N238" s="373"/>
      <c r="O238" s="373"/>
      <c r="P238" s="373"/>
      <c r="Q238" s="373"/>
    </row>
    <row r="239" spans="1:17" ht="14.4">
      <c r="A239" s="369"/>
      <c r="B239" s="373"/>
      <c r="C239" s="373"/>
      <c r="D239" s="373"/>
      <c r="E239" s="373"/>
      <c r="F239" s="373"/>
      <c r="G239" s="373"/>
      <c r="H239" s="373"/>
      <c r="I239" s="373"/>
      <c r="J239" s="373"/>
      <c r="K239" s="373"/>
      <c r="L239" s="373"/>
      <c r="M239" s="373"/>
      <c r="N239" s="373"/>
      <c r="O239" s="373"/>
      <c r="P239" s="373"/>
      <c r="Q239" s="373"/>
    </row>
    <row r="240" spans="1:17" ht="14.4">
      <c r="A240" s="369"/>
      <c r="B240" s="373"/>
      <c r="C240" s="373"/>
      <c r="D240" s="373"/>
      <c r="E240" s="373"/>
      <c r="F240" s="373"/>
      <c r="G240" s="373"/>
      <c r="H240" s="373"/>
      <c r="I240" s="373"/>
      <c r="J240" s="373"/>
      <c r="K240" s="373"/>
      <c r="L240" s="373"/>
      <c r="M240" s="373"/>
      <c r="N240" s="373"/>
      <c r="O240" s="373"/>
      <c r="P240" s="373"/>
      <c r="Q240" s="373"/>
    </row>
    <row r="241" spans="1:17" ht="14.4">
      <c r="A241" s="369"/>
      <c r="B241" s="373"/>
      <c r="C241" s="373"/>
      <c r="D241" s="373"/>
      <c r="E241" s="373"/>
      <c r="F241" s="373"/>
      <c r="G241" s="373"/>
      <c r="H241" s="373"/>
      <c r="I241" s="373"/>
      <c r="J241" s="373"/>
      <c r="K241" s="373"/>
      <c r="L241" s="373"/>
      <c r="M241" s="373"/>
      <c r="N241" s="373"/>
      <c r="O241" s="373"/>
      <c r="P241" s="373"/>
      <c r="Q241" s="373"/>
    </row>
    <row r="242" spans="1:17" ht="14.4">
      <c r="A242" s="369"/>
      <c r="B242" s="373"/>
      <c r="C242" s="373"/>
      <c r="D242" s="373"/>
      <c r="E242" s="373"/>
      <c r="F242" s="373"/>
      <c r="G242" s="373"/>
      <c r="H242" s="373"/>
      <c r="I242" s="373"/>
      <c r="J242" s="373"/>
      <c r="K242" s="373"/>
      <c r="L242" s="373"/>
      <c r="M242" s="373"/>
      <c r="N242" s="373"/>
      <c r="O242" s="373"/>
      <c r="P242" s="373"/>
      <c r="Q242" s="373"/>
    </row>
    <row r="243" spans="1:17" ht="14.4">
      <c r="A243" s="369"/>
      <c r="B243" s="373"/>
      <c r="C243" s="373"/>
      <c r="D243" s="373"/>
      <c r="E243" s="373"/>
      <c r="F243" s="373"/>
      <c r="G243" s="373"/>
      <c r="H243" s="373"/>
      <c r="I243" s="373"/>
      <c r="J243" s="373"/>
      <c r="K243" s="373"/>
      <c r="L243" s="373"/>
      <c r="M243" s="373"/>
      <c r="N243" s="373"/>
      <c r="O243" s="373"/>
      <c r="P243" s="373"/>
      <c r="Q243" s="373"/>
    </row>
    <row r="244" spans="1:17" ht="14.4">
      <c r="A244" s="369"/>
      <c r="B244" s="373"/>
      <c r="C244" s="373"/>
      <c r="D244" s="373"/>
      <c r="E244" s="373"/>
      <c r="F244" s="373"/>
      <c r="G244" s="373"/>
      <c r="H244" s="373"/>
      <c r="I244" s="373"/>
      <c r="J244" s="373"/>
      <c r="K244" s="373"/>
      <c r="L244" s="373"/>
      <c r="M244" s="373"/>
      <c r="N244" s="373"/>
      <c r="O244" s="373"/>
      <c r="P244" s="373"/>
      <c r="Q244" s="373"/>
    </row>
    <row r="245" spans="1:17" ht="14.4">
      <c r="A245" s="369"/>
      <c r="B245" s="373"/>
      <c r="C245" s="373"/>
      <c r="D245" s="373"/>
      <c r="E245" s="373"/>
      <c r="F245" s="373"/>
      <c r="G245" s="373"/>
      <c r="H245" s="373"/>
      <c r="I245" s="373"/>
      <c r="J245" s="373"/>
      <c r="K245" s="373"/>
      <c r="L245" s="373"/>
      <c r="M245" s="373"/>
      <c r="N245" s="373"/>
      <c r="O245" s="373"/>
      <c r="P245" s="373"/>
      <c r="Q245" s="373"/>
    </row>
    <row r="246" spans="1:17" ht="14.4">
      <c r="A246" s="369"/>
      <c r="B246" s="373"/>
      <c r="C246" s="373"/>
      <c r="D246" s="373"/>
      <c r="E246" s="373"/>
      <c r="F246" s="373"/>
      <c r="G246" s="373"/>
      <c r="H246" s="373"/>
      <c r="I246" s="373"/>
      <c r="J246" s="373"/>
      <c r="K246" s="373"/>
      <c r="L246" s="373"/>
      <c r="M246" s="373"/>
      <c r="N246" s="373"/>
      <c r="O246" s="373"/>
      <c r="P246" s="373"/>
      <c r="Q246" s="373"/>
    </row>
    <row r="247" spans="1:17" ht="14.4">
      <c r="A247" s="369"/>
      <c r="B247" s="373"/>
      <c r="C247" s="373"/>
      <c r="D247" s="373"/>
      <c r="E247" s="373"/>
      <c r="F247" s="373"/>
      <c r="G247" s="373"/>
      <c r="H247" s="373"/>
      <c r="I247" s="373"/>
      <c r="J247" s="373"/>
      <c r="K247" s="373"/>
      <c r="L247" s="373"/>
      <c r="M247" s="373"/>
      <c r="N247" s="373"/>
      <c r="O247" s="373"/>
      <c r="P247" s="373"/>
      <c r="Q247" s="373"/>
    </row>
    <row r="248" spans="1:17" ht="14.4">
      <c r="A248" s="369"/>
      <c r="B248" s="373"/>
      <c r="C248" s="373"/>
      <c r="D248" s="373"/>
      <c r="E248" s="373"/>
      <c r="F248" s="373"/>
      <c r="G248" s="373"/>
      <c r="H248" s="373"/>
      <c r="I248" s="373"/>
      <c r="J248" s="373"/>
      <c r="K248" s="373"/>
      <c r="L248" s="373"/>
      <c r="M248" s="373"/>
      <c r="N248" s="373"/>
      <c r="O248" s="373"/>
      <c r="P248" s="373"/>
      <c r="Q248" s="373"/>
    </row>
    <row r="249" spans="1:17" ht="14.4">
      <c r="A249" s="369"/>
      <c r="B249" s="373"/>
      <c r="C249" s="373"/>
      <c r="D249" s="373"/>
      <c r="E249" s="373"/>
      <c r="F249" s="373"/>
      <c r="G249" s="373"/>
      <c r="H249" s="373"/>
      <c r="I249" s="373"/>
      <c r="J249" s="373"/>
      <c r="K249" s="373"/>
      <c r="L249" s="373"/>
      <c r="M249" s="373"/>
      <c r="N249" s="373"/>
      <c r="O249" s="373"/>
      <c r="P249" s="373"/>
      <c r="Q249" s="373"/>
    </row>
    <row r="250" spans="1:17" ht="14.4">
      <c r="A250" s="369"/>
      <c r="B250" s="373"/>
      <c r="C250" s="373"/>
      <c r="D250" s="373"/>
      <c r="E250" s="373"/>
      <c r="F250" s="373"/>
      <c r="G250" s="373"/>
      <c r="H250" s="373"/>
      <c r="I250" s="373"/>
      <c r="J250" s="373"/>
      <c r="K250" s="373"/>
      <c r="L250" s="373"/>
      <c r="M250" s="373"/>
      <c r="N250" s="373"/>
      <c r="O250" s="373"/>
      <c r="P250" s="373"/>
      <c r="Q250" s="373"/>
    </row>
    <row r="251" spans="1:17" ht="14.4">
      <c r="A251" s="369"/>
      <c r="B251" s="373"/>
      <c r="C251" s="373"/>
      <c r="D251" s="373"/>
      <c r="E251" s="373"/>
      <c r="F251" s="373"/>
      <c r="G251" s="373"/>
      <c r="H251" s="373"/>
      <c r="I251" s="373"/>
      <c r="J251" s="373"/>
      <c r="K251" s="373"/>
      <c r="L251" s="373"/>
      <c r="M251" s="373"/>
      <c r="N251" s="373"/>
      <c r="O251" s="373"/>
      <c r="P251" s="373"/>
      <c r="Q251" s="373"/>
    </row>
    <row r="252" spans="1:17" ht="14.4">
      <c r="A252" s="369"/>
      <c r="B252" s="373"/>
      <c r="C252" s="373"/>
      <c r="D252" s="373"/>
      <c r="E252" s="373"/>
      <c r="F252" s="373"/>
      <c r="G252" s="373"/>
      <c r="H252" s="373"/>
      <c r="I252" s="373"/>
      <c r="J252" s="373"/>
      <c r="K252" s="373"/>
      <c r="L252" s="373"/>
      <c r="M252" s="373"/>
      <c r="N252" s="373"/>
      <c r="O252" s="373"/>
      <c r="P252" s="373"/>
      <c r="Q252" s="373"/>
    </row>
    <row r="253" spans="1:17" ht="14.4">
      <c r="A253" s="369"/>
      <c r="B253" s="373"/>
      <c r="C253" s="373"/>
      <c r="D253" s="373"/>
      <c r="E253" s="373"/>
      <c r="F253" s="373"/>
      <c r="G253" s="373"/>
      <c r="H253" s="373"/>
      <c r="I253" s="373"/>
      <c r="J253" s="373"/>
      <c r="K253" s="373"/>
      <c r="L253" s="373"/>
      <c r="M253" s="373"/>
      <c r="N253" s="373"/>
      <c r="O253" s="373"/>
      <c r="P253" s="373"/>
      <c r="Q253" s="373"/>
    </row>
    <row r="254" spans="1:17" ht="14.4">
      <c r="A254" s="369"/>
      <c r="B254" s="373"/>
      <c r="C254" s="373"/>
      <c r="D254" s="373"/>
      <c r="E254" s="373"/>
      <c r="F254" s="373"/>
      <c r="G254" s="373"/>
      <c r="H254" s="373"/>
      <c r="I254" s="373"/>
      <c r="J254" s="373"/>
      <c r="K254" s="373"/>
      <c r="L254" s="373"/>
      <c r="M254" s="373"/>
      <c r="N254" s="373"/>
      <c r="O254" s="373"/>
      <c r="P254" s="373"/>
      <c r="Q254" s="373"/>
    </row>
    <row r="255" spans="1:17" ht="14.4">
      <c r="A255" s="369"/>
      <c r="B255" s="373"/>
      <c r="C255" s="373"/>
      <c r="D255" s="373"/>
      <c r="E255" s="373"/>
      <c r="F255" s="373"/>
      <c r="G255" s="373"/>
      <c r="H255" s="373"/>
      <c r="I255" s="373"/>
      <c r="J255" s="373"/>
      <c r="K255" s="373"/>
      <c r="L255" s="373"/>
      <c r="M255" s="373"/>
      <c r="N255" s="373"/>
      <c r="O255" s="373"/>
      <c r="P255" s="373"/>
      <c r="Q255" s="373"/>
    </row>
    <row r="256" spans="1:17" ht="14.4">
      <c r="A256" s="369"/>
      <c r="B256" s="373"/>
      <c r="C256" s="373"/>
      <c r="D256" s="373"/>
      <c r="E256" s="373"/>
      <c r="F256" s="373"/>
      <c r="G256" s="373"/>
      <c r="H256" s="373"/>
      <c r="I256" s="373"/>
      <c r="J256" s="373"/>
      <c r="K256" s="373"/>
      <c r="L256" s="373"/>
      <c r="M256" s="373"/>
      <c r="N256" s="373"/>
      <c r="O256" s="373"/>
      <c r="P256" s="373"/>
      <c r="Q256" s="373"/>
    </row>
    <row r="257" spans="1:17" ht="14.4">
      <c r="A257" s="369"/>
      <c r="B257" s="373"/>
      <c r="C257" s="373"/>
      <c r="D257" s="373"/>
      <c r="E257" s="373"/>
      <c r="F257" s="373"/>
      <c r="G257" s="373"/>
      <c r="H257" s="373"/>
      <c r="I257" s="373"/>
      <c r="J257" s="373"/>
      <c r="K257" s="373"/>
      <c r="L257" s="373"/>
      <c r="M257" s="373"/>
      <c r="N257" s="373"/>
      <c r="O257" s="373"/>
      <c r="P257" s="373"/>
      <c r="Q257" s="373"/>
    </row>
    <row r="258" spans="1:17" ht="14.4">
      <c r="A258" s="369"/>
      <c r="B258" s="373"/>
      <c r="C258" s="373"/>
      <c r="D258" s="373"/>
      <c r="E258" s="373"/>
      <c r="F258" s="373"/>
      <c r="G258" s="373"/>
      <c r="H258" s="373"/>
      <c r="I258" s="373"/>
      <c r="J258" s="373"/>
      <c r="K258" s="373"/>
      <c r="L258" s="373"/>
      <c r="M258" s="373"/>
      <c r="N258" s="373"/>
      <c r="O258" s="373"/>
      <c r="P258" s="373"/>
      <c r="Q258" s="373"/>
    </row>
    <row r="259" spans="1:17" ht="14.4">
      <c r="A259" s="369"/>
      <c r="B259" s="373"/>
      <c r="C259" s="373"/>
      <c r="D259" s="373"/>
      <c r="E259" s="373"/>
      <c r="F259" s="373"/>
      <c r="G259" s="373"/>
      <c r="H259" s="373"/>
      <c r="I259" s="373"/>
      <c r="J259" s="373"/>
      <c r="K259" s="373"/>
      <c r="L259" s="373"/>
      <c r="M259" s="373"/>
      <c r="N259" s="373"/>
      <c r="O259" s="373"/>
      <c r="P259" s="373"/>
      <c r="Q259" s="373"/>
    </row>
    <row r="260" spans="1:17" ht="14.4">
      <c r="A260" s="369"/>
      <c r="B260" s="373"/>
      <c r="C260" s="373"/>
      <c r="D260" s="373"/>
      <c r="E260" s="373"/>
      <c r="F260" s="373"/>
      <c r="G260" s="373"/>
      <c r="H260" s="373"/>
      <c r="I260" s="373"/>
      <c r="J260" s="373"/>
      <c r="K260" s="373"/>
      <c r="L260" s="373"/>
      <c r="M260" s="373"/>
      <c r="N260" s="373"/>
      <c r="O260" s="373"/>
      <c r="P260" s="373"/>
      <c r="Q260" s="373"/>
    </row>
    <row r="261" spans="1:17" ht="14.4">
      <c r="A261" s="369"/>
      <c r="B261" s="373"/>
      <c r="C261" s="373"/>
      <c r="D261" s="373"/>
      <c r="E261" s="373"/>
      <c r="F261" s="373"/>
      <c r="G261" s="373"/>
      <c r="H261" s="373"/>
      <c r="I261" s="373"/>
      <c r="J261" s="373"/>
      <c r="K261" s="373"/>
      <c r="L261" s="373"/>
      <c r="M261" s="373"/>
      <c r="N261" s="373"/>
      <c r="O261" s="373"/>
      <c r="P261" s="373"/>
      <c r="Q261" s="373"/>
    </row>
    <row r="262" spans="1:17" ht="14.4">
      <c r="A262" s="369"/>
      <c r="B262" s="373"/>
      <c r="C262" s="373"/>
      <c r="D262" s="373"/>
      <c r="E262" s="373"/>
      <c r="F262" s="373"/>
      <c r="G262" s="373"/>
      <c r="H262" s="373"/>
      <c r="I262" s="373"/>
      <c r="J262" s="373"/>
      <c r="K262" s="373"/>
      <c r="L262" s="373"/>
      <c r="M262" s="373"/>
      <c r="N262" s="373"/>
      <c r="O262" s="373"/>
      <c r="P262" s="373"/>
      <c r="Q262" s="373"/>
    </row>
    <row r="263" spans="1:17" ht="14.4">
      <c r="A263" s="369"/>
      <c r="B263" s="373"/>
      <c r="C263" s="373"/>
      <c r="D263" s="373"/>
      <c r="E263" s="373"/>
      <c r="F263" s="373"/>
      <c r="G263" s="373"/>
      <c r="H263" s="373"/>
      <c r="I263" s="373"/>
      <c r="J263" s="373"/>
      <c r="K263" s="373"/>
      <c r="L263" s="373"/>
      <c r="M263" s="373"/>
      <c r="N263" s="373"/>
      <c r="O263" s="373"/>
      <c r="P263" s="373"/>
      <c r="Q263" s="373"/>
    </row>
    <row r="264" spans="1:17" ht="14.4">
      <c r="A264" s="369"/>
      <c r="B264" s="373"/>
      <c r="C264" s="373"/>
      <c r="D264" s="373"/>
      <c r="E264" s="373"/>
      <c r="F264" s="373"/>
      <c r="G264" s="373"/>
      <c r="H264" s="373"/>
      <c r="I264" s="373"/>
      <c r="J264" s="373"/>
      <c r="K264" s="373"/>
      <c r="L264" s="373"/>
      <c r="M264" s="373"/>
      <c r="N264" s="373"/>
      <c r="O264" s="373"/>
      <c r="P264" s="373"/>
      <c r="Q264" s="373"/>
    </row>
    <row r="265" spans="1:17" ht="14.4">
      <c r="A265" s="369"/>
      <c r="B265" s="373"/>
      <c r="C265" s="373"/>
      <c r="D265" s="373"/>
      <c r="E265" s="373"/>
      <c r="F265" s="373"/>
      <c r="G265" s="373"/>
      <c r="H265" s="373"/>
      <c r="I265" s="373"/>
      <c r="J265" s="373"/>
      <c r="K265" s="373"/>
      <c r="L265" s="373"/>
      <c r="M265" s="373"/>
      <c r="N265" s="373"/>
      <c r="O265" s="373"/>
      <c r="P265" s="373"/>
      <c r="Q265" s="373"/>
    </row>
    <row r="266" spans="1:17" ht="14.4">
      <c r="A266" s="369"/>
      <c r="B266" s="373"/>
      <c r="C266" s="373"/>
      <c r="D266" s="373"/>
      <c r="E266" s="373"/>
      <c r="F266" s="373"/>
      <c r="G266" s="373"/>
      <c r="H266" s="373"/>
      <c r="I266" s="373"/>
      <c r="J266" s="373"/>
      <c r="K266" s="373"/>
      <c r="L266" s="373"/>
      <c r="M266" s="373"/>
      <c r="N266" s="373"/>
      <c r="O266" s="373"/>
      <c r="P266" s="373"/>
      <c r="Q266" s="373"/>
    </row>
    <row r="267" spans="1:17" ht="14.4">
      <c r="A267" s="369"/>
      <c r="B267" s="373"/>
      <c r="C267" s="373"/>
      <c r="D267" s="373"/>
      <c r="E267" s="373"/>
      <c r="F267" s="373"/>
      <c r="G267" s="373"/>
      <c r="H267" s="373"/>
      <c r="I267" s="373"/>
      <c r="J267" s="373"/>
      <c r="K267" s="373"/>
      <c r="L267" s="373"/>
      <c r="M267" s="373"/>
      <c r="N267" s="373"/>
      <c r="O267" s="373"/>
      <c r="P267" s="373"/>
      <c r="Q267" s="373"/>
    </row>
    <row r="268" spans="1:17" ht="14.4">
      <c r="A268" s="369"/>
      <c r="B268" s="373"/>
      <c r="C268" s="373"/>
      <c r="D268" s="373"/>
      <c r="E268" s="373"/>
      <c r="F268" s="373"/>
      <c r="G268" s="373"/>
      <c r="H268" s="373"/>
      <c r="I268" s="373"/>
      <c r="J268" s="373"/>
      <c r="K268" s="373"/>
      <c r="L268" s="373"/>
      <c r="M268" s="373"/>
      <c r="N268" s="373"/>
      <c r="O268" s="373"/>
      <c r="P268" s="373"/>
      <c r="Q268" s="373"/>
    </row>
    <row r="269" spans="1:17" ht="14.4">
      <c r="A269" s="369"/>
      <c r="B269" s="373"/>
      <c r="C269" s="373"/>
      <c r="D269" s="373"/>
      <c r="E269" s="373"/>
      <c r="F269" s="373"/>
      <c r="G269" s="373"/>
      <c r="H269" s="373"/>
      <c r="I269" s="373"/>
      <c r="J269" s="373"/>
      <c r="K269" s="373"/>
      <c r="L269" s="373"/>
      <c r="M269" s="373"/>
      <c r="N269" s="373"/>
      <c r="O269" s="373"/>
      <c r="P269" s="373"/>
      <c r="Q269" s="373"/>
    </row>
    <row r="270" spans="1:17" ht="14.4">
      <c r="A270" s="369"/>
      <c r="B270" s="373"/>
      <c r="C270" s="373"/>
      <c r="D270" s="373"/>
      <c r="E270" s="373"/>
      <c r="F270" s="373"/>
      <c r="G270" s="373"/>
      <c r="H270" s="373"/>
      <c r="I270" s="373"/>
      <c r="J270" s="373"/>
      <c r="K270" s="373"/>
      <c r="L270" s="373"/>
      <c r="M270" s="373"/>
      <c r="N270" s="373"/>
      <c r="O270" s="373"/>
      <c r="P270" s="373"/>
      <c r="Q270" s="373"/>
    </row>
    <row r="271" spans="1:17" ht="14.4">
      <c r="A271" s="369"/>
      <c r="B271" s="373"/>
      <c r="C271" s="373"/>
      <c r="D271" s="373"/>
      <c r="E271" s="373"/>
      <c r="F271" s="373"/>
      <c r="G271" s="373"/>
      <c r="H271" s="373"/>
      <c r="I271" s="373"/>
      <c r="J271" s="373"/>
      <c r="K271" s="373"/>
      <c r="L271" s="373"/>
      <c r="M271" s="373"/>
      <c r="N271" s="373"/>
      <c r="O271" s="373"/>
      <c r="P271" s="373"/>
      <c r="Q271" s="373"/>
    </row>
    <row r="272" spans="1:17" ht="14.4">
      <c r="A272" s="369"/>
      <c r="B272" s="373"/>
      <c r="C272" s="373"/>
      <c r="D272" s="373"/>
      <c r="E272" s="373"/>
      <c r="F272" s="373"/>
      <c r="G272" s="373"/>
      <c r="H272" s="373"/>
      <c r="I272" s="373"/>
      <c r="J272" s="373"/>
      <c r="K272" s="373"/>
      <c r="L272" s="373"/>
      <c r="M272" s="373"/>
      <c r="N272" s="373"/>
      <c r="O272" s="373"/>
      <c r="P272" s="373"/>
      <c r="Q272" s="373"/>
    </row>
    <row r="273" spans="1:17" ht="14.4">
      <c r="A273" s="369"/>
      <c r="B273" s="373"/>
      <c r="C273" s="373"/>
      <c r="D273" s="373"/>
      <c r="E273" s="373"/>
      <c r="F273" s="373"/>
      <c r="G273" s="373"/>
      <c r="H273" s="373"/>
      <c r="I273" s="373"/>
      <c r="J273" s="373"/>
      <c r="K273" s="373"/>
      <c r="L273" s="373"/>
      <c r="M273" s="373"/>
      <c r="N273" s="373"/>
      <c r="O273" s="373"/>
      <c r="P273" s="373"/>
      <c r="Q273" s="373"/>
    </row>
    <row r="274" spans="1:17" ht="14.4">
      <c r="A274" s="369"/>
      <c r="B274" s="373"/>
      <c r="C274" s="373"/>
      <c r="D274" s="373"/>
      <c r="E274" s="373"/>
      <c r="F274" s="373"/>
      <c r="G274" s="373"/>
      <c r="H274" s="373"/>
      <c r="I274" s="373"/>
      <c r="J274" s="373"/>
      <c r="K274" s="373"/>
      <c r="L274" s="373"/>
      <c r="M274" s="373"/>
      <c r="N274" s="373"/>
      <c r="O274" s="373"/>
      <c r="P274" s="373"/>
      <c r="Q274" s="373"/>
    </row>
    <row r="275" spans="1:17" ht="14.4">
      <c r="A275" s="369"/>
      <c r="B275" s="373"/>
      <c r="C275" s="373"/>
      <c r="D275" s="373"/>
      <c r="E275" s="373"/>
      <c r="F275" s="373"/>
      <c r="G275" s="373"/>
      <c r="H275" s="373"/>
      <c r="I275" s="373"/>
      <c r="J275" s="373"/>
      <c r="K275" s="373"/>
      <c r="L275" s="373"/>
      <c r="M275" s="373"/>
      <c r="N275" s="373"/>
      <c r="O275" s="373"/>
      <c r="P275" s="373"/>
      <c r="Q275" s="373"/>
    </row>
    <row r="276" spans="1:17" ht="14.4">
      <c r="A276" s="369"/>
      <c r="B276" s="373"/>
      <c r="C276" s="373"/>
      <c r="D276" s="373"/>
      <c r="E276" s="373"/>
      <c r="F276" s="373"/>
      <c r="G276" s="373"/>
      <c r="H276" s="373"/>
      <c r="I276" s="373"/>
      <c r="J276" s="373"/>
      <c r="K276" s="373"/>
      <c r="L276" s="373"/>
      <c r="M276" s="373"/>
      <c r="N276" s="373"/>
      <c r="O276" s="373"/>
      <c r="P276" s="373"/>
      <c r="Q276" s="373"/>
    </row>
    <row r="277" spans="1:17" ht="14.4">
      <c r="A277" s="369"/>
      <c r="B277" s="373"/>
      <c r="C277" s="373"/>
      <c r="D277" s="373"/>
      <c r="E277" s="373"/>
      <c r="F277" s="373"/>
      <c r="G277" s="373"/>
      <c r="H277" s="373"/>
      <c r="I277" s="373"/>
      <c r="J277" s="373"/>
      <c r="K277" s="373"/>
      <c r="L277" s="373"/>
      <c r="M277" s="373"/>
      <c r="N277" s="373"/>
      <c r="O277" s="373"/>
      <c r="P277" s="373"/>
      <c r="Q277" s="373"/>
    </row>
    <row r="278" spans="1:17" ht="14.4">
      <c r="A278" s="369"/>
      <c r="B278" s="373"/>
      <c r="C278" s="373"/>
      <c r="D278" s="373"/>
      <c r="E278" s="373"/>
      <c r="F278" s="373"/>
      <c r="G278" s="373"/>
      <c r="H278" s="373"/>
      <c r="I278" s="373"/>
      <c r="J278" s="373"/>
      <c r="K278" s="373"/>
      <c r="L278" s="373"/>
      <c r="M278" s="373"/>
      <c r="N278" s="373"/>
      <c r="O278" s="373"/>
      <c r="P278" s="373"/>
      <c r="Q278" s="373"/>
    </row>
    <row r="279" spans="1:17" ht="14.4">
      <c r="A279" s="369"/>
      <c r="B279" s="373"/>
      <c r="C279" s="373"/>
      <c r="D279" s="373"/>
      <c r="E279" s="373"/>
      <c r="F279" s="373"/>
      <c r="G279" s="373"/>
      <c r="H279" s="373"/>
      <c r="I279" s="373"/>
      <c r="J279" s="373"/>
      <c r="K279" s="373"/>
      <c r="L279" s="373"/>
      <c r="M279" s="373"/>
      <c r="N279" s="373"/>
      <c r="O279" s="373"/>
      <c r="P279" s="373"/>
      <c r="Q279" s="373"/>
    </row>
    <row r="280" spans="1:17" ht="14.4">
      <c r="A280" s="369"/>
      <c r="B280" s="373"/>
      <c r="C280" s="373"/>
      <c r="D280" s="373"/>
      <c r="E280" s="373"/>
      <c r="F280" s="373"/>
      <c r="G280" s="373"/>
      <c r="H280" s="373"/>
      <c r="I280" s="373"/>
      <c r="J280" s="373"/>
      <c r="K280" s="373"/>
      <c r="L280" s="373"/>
      <c r="M280" s="373"/>
      <c r="N280" s="373"/>
      <c r="O280" s="373"/>
      <c r="P280" s="373"/>
      <c r="Q280" s="373"/>
    </row>
    <row r="281" spans="1:17" ht="14.4">
      <c r="A281" s="369"/>
      <c r="B281" s="373"/>
      <c r="C281" s="373"/>
      <c r="D281" s="373"/>
      <c r="E281" s="373"/>
      <c r="F281" s="373"/>
      <c r="G281" s="373"/>
      <c r="H281" s="373"/>
      <c r="I281" s="373"/>
      <c r="J281" s="373"/>
      <c r="K281" s="373"/>
      <c r="L281" s="373"/>
      <c r="M281" s="373"/>
      <c r="N281" s="373"/>
      <c r="O281" s="373"/>
      <c r="P281" s="373"/>
      <c r="Q281" s="373"/>
    </row>
    <row r="282" spans="1:17" ht="14.4">
      <c r="A282" s="369"/>
      <c r="B282" s="373"/>
      <c r="C282" s="373"/>
      <c r="D282" s="373"/>
      <c r="E282" s="373"/>
      <c r="F282" s="373"/>
      <c r="G282" s="373"/>
      <c r="H282" s="373"/>
      <c r="I282" s="373"/>
      <c r="J282" s="373"/>
      <c r="K282" s="373"/>
      <c r="L282" s="373"/>
      <c r="M282" s="373"/>
      <c r="N282" s="373"/>
      <c r="O282" s="373"/>
      <c r="P282" s="373"/>
      <c r="Q282" s="373"/>
    </row>
    <row r="283" spans="1:17" ht="14.4">
      <c r="A283" s="369"/>
      <c r="B283" s="373"/>
      <c r="C283" s="373"/>
      <c r="D283" s="373"/>
      <c r="E283" s="373"/>
      <c r="F283" s="373"/>
      <c r="G283" s="373"/>
      <c r="H283" s="373"/>
      <c r="I283" s="373"/>
      <c r="J283" s="373"/>
      <c r="K283" s="373"/>
      <c r="L283" s="373"/>
      <c r="M283" s="373"/>
      <c r="N283" s="373"/>
      <c r="O283" s="373"/>
      <c r="P283" s="373"/>
      <c r="Q283" s="373"/>
    </row>
    <row r="284" spans="1:17" ht="14.4">
      <c r="A284" s="369"/>
      <c r="B284" s="373"/>
      <c r="C284" s="373"/>
      <c r="D284" s="373"/>
      <c r="E284" s="373"/>
      <c r="F284" s="373"/>
      <c r="G284" s="373"/>
      <c r="H284" s="373"/>
      <c r="I284" s="373"/>
      <c r="J284" s="373"/>
      <c r="K284" s="373"/>
      <c r="L284" s="373"/>
      <c r="M284" s="373"/>
      <c r="N284" s="373"/>
      <c r="O284" s="373"/>
      <c r="P284" s="373"/>
      <c r="Q284" s="373"/>
    </row>
    <row r="285" spans="1:17" ht="14.4">
      <c r="A285" s="369"/>
      <c r="B285" s="373"/>
      <c r="C285" s="373"/>
      <c r="D285" s="373"/>
      <c r="E285" s="373"/>
      <c r="F285" s="373"/>
      <c r="G285" s="373"/>
      <c r="H285" s="373"/>
      <c r="I285" s="373"/>
      <c r="J285" s="373"/>
      <c r="K285" s="373"/>
      <c r="L285" s="373"/>
      <c r="M285" s="373"/>
      <c r="N285" s="373"/>
      <c r="O285" s="373"/>
      <c r="P285" s="373"/>
      <c r="Q285" s="373"/>
    </row>
    <row r="286" spans="1:17" ht="14.4">
      <c r="A286" s="369"/>
      <c r="B286" s="373"/>
      <c r="C286" s="373"/>
      <c r="D286" s="373"/>
      <c r="E286" s="373"/>
      <c r="F286" s="373"/>
      <c r="G286" s="373"/>
      <c r="H286" s="373"/>
      <c r="I286" s="373"/>
      <c r="J286" s="373"/>
      <c r="K286" s="373"/>
      <c r="L286" s="373"/>
      <c r="M286" s="373"/>
      <c r="N286" s="373"/>
      <c r="O286" s="373"/>
      <c r="P286" s="373"/>
      <c r="Q286" s="373"/>
    </row>
    <row r="287" spans="1:17" ht="14.4">
      <c r="A287" s="369"/>
      <c r="B287" s="373"/>
      <c r="C287" s="373"/>
      <c r="D287" s="373"/>
      <c r="E287" s="373"/>
      <c r="F287" s="373"/>
      <c r="G287" s="373"/>
      <c r="H287" s="373"/>
      <c r="I287" s="373"/>
      <c r="J287" s="373"/>
      <c r="K287" s="373"/>
      <c r="L287" s="373"/>
      <c r="M287" s="373"/>
      <c r="N287" s="373"/>
      <c r="O287" s="373"/>
      <c r="P287" s="373"/>
      <c r="Q287" s="373"/>
    </row>
    <row r="288" spans="1:17" ht="14.4">
      <c r="A288" s="369"/>
      <c r="B288" s="373"/>
      <c r="C288" s="373"/>
      <c r="D288" s="373"/>
      <c r="E288" s="373"/>
      <c r="F288" s="373"/>
      <c r="G288" s="373"/>
      <c r="H288" s="373"/>
      <c r="I288" s="373"/>
      <c r="J288" s="373"/>
      <c r="K288" s="373"/>
      <c r="L288" s="373"/>
      <c r="M288" s="373"/>
      <c r="N288" s="373"/>
      <c r="O288" s="373"/>
      <c r="P288" s="373"/>
      <c r="Q288" s="373"/>
    </row>
    <row r="289" spans="1:17" ht="14.4">
      <c r="A289" s="369"/>
      <c r="B289" s="373"/>
      <c r="C289" s="373"/>
      <c r="D289" s="373"/>
      <c r="E289" s="373"/>
      <c r="F289" s="373"/>
      <c r="G289" s="373"/>
      <c r="H289" s="373"/>
      <c r="I289" s="373"/>
      <c r="J289" s="373"/>
      <c r="K289" s="373"/>
      <c r="L289" s="373"/>
      <c r="M289" s="373"/>
      <c r="N289" s="373"/>
      <c r="O289" s="373"/>
      <c r="P289" s="373"/>
      <c r="Q289" s="373"/>
    </row>
    <row r="290" spans="1:17" ht="14.4">
      <c r="A290" s="369"/>
      <c r="B290" s="373"/>
      <c r="C290" s="373"/>
      <c r="D290" s="373"/>
      <c r="E290" s="373"/>
      <c r="F290" s="373"/>
      <c r="G290" s="373"/>
      <c r="H290" s="373"/>
      <c r="I290" s="373"/>
      <c r="J290" s="373"/>
      <c r="K290" s="373"/>
      <c r="L290" s="373"/>
      <c r="M290" s="373"/>
      <c r="N290" s="373"/>
      <c r="O290" s="373"/>
      <c r="P290" s="373"/>
      <c r="Q290" s="373"/>
    </row>
    <row r="291" spans="1:17" ht="14.4">
      <c r="A291" s="369"/>
      <c r="B291" s="373"/>
      <c r="C291" s="373"/>
      <c r="D291" s="373"/>
      <c r="E291" s="373"/>
      <c r="F291" s="373"/>
      <c r="G291" s="373"/>
      <c r="H291" s="373"/>
      <c r="I291" s="373"/>
      <c r="J291" s="373"/>
      <c r="K291" s="373"/>
      <c r="L291" s="373"/>
      <c r="M291" s="373"/>
      <c r="N291" s="373"/>
      <c r="O291" s="373"/>
      <c r="P291" s="373"/>
      <c r="Q291" s="373"/>
    </row>
    <row r="292" spans="1:17" ht="14.4">
      <c r="A292" s="369"/>
      <c r="B292" s="373"/>
      <c r="C292" s="373"/>
      <c r="D292" s="373"/>
      <c r="E292" s="373"/>
      <c r="F292" s="373"/>
      <c r="G292" s="373"/>
      <c r="H292" s="373"/>
      <c r="I292" s="373"/>
      <c r="J292" s="373"/>
      <c r="K292" s="373"/>
      <c r="L292" s="373"/>
      <c r="M292" s="373"/>
      <c r="N292" s="373"/>
      <c r="O292" s="373"/>
      <c r="P292" s="373"/>
      <c r="Q292" s="373"/>
    </row>
    <row r="293" spans="1:17" ht="14.4">
      <c r="A293" s="369"/>
      <c r="B293" s="373"/>
      <c r="C293" s="373"/>
      <c r="D293" s="373"/>
      <c r="E293" s="373"/>
      <c r="F293" s="373"/>
      <c r="G293" s="373"/>
      <c r="H293" s="373"/>
      <c r="I293" s="373"/>
      <c r="J293" s="373"/>
      <c r="K293" s="373"/>
      <c r="L293" s="373"/>
      <c r="M293" s="373"/>
      <c r="N293" s="373"/>
      <c r="O293" s="373"/>
      <c r="P293" s="373"/>
      <c r="Q293" s="373"/>
    </row>
    <row r="294" spans="1:17" ht="14.4">
      <c r="A294" s="369"/>
      <c r="B294" s="373"/>
      <c r="C294" s="373"/>
      <c r="D294" s="373"/>
      <c r="E294" s="373"/>
      <c r="F294" s="373"/>
      <c r="G294" s="373"/>
      <c r="H294" s="373"/>
      <c r="I294" s="373"/>
      <c r="J294" s="373"/>
      <c r="K294" s="373"/>
      <c r="L294" s="373"/>
      <c r="M294" s="373"/>
      <c r="N294" s="373"/>
      <c r="O294" s="373"/>
      <c r="P294" s="373"/>
      <c r="Q294" s="373"/>
    </row>
    <row r="295" spans="1:17" ht="14.4">
      <c r="A295" s="369"/>
      <c r="B295" s="373"/>
      <c r="C295" s="373"/>
      <c r="D295" s="373"/>
      <c r="E295" s="373"/>
      <c r="F295" s="373"/>
      <c r="G295" s="373"/>
      <c r="H295" s="373"/>
      <c r="I295" s="373"/>
      <c r="J295" s="373"/>
      <c r="K295" s="373"/>
      <c r="L295" s="373"/>
      <c r="M295" s="373"/>
      <c r="N295" s="373"/>
      <c r="O295" s="373"/>
      <c r="P295" s="373"/>
      <c r="Q295" s="373"/>
    </row>
    <row r="296" spans="1:17" ht="14.4">
      <c r="A296" s="369"/>
      <c r="B296" s="373"/>
      <c r="C296" s="373"/>
      <c r="D296" s="373"/>
      <c r="E296" s="373"/>
      <c r="F296" s="373"/>
      <c r="G296" s="373"/>
      <c r="H296" s="373"/>
      <c r="I296" s="373"/>
      <c r="J296" s="373"/>
      <c r="K296" s="373"/>
      <c r="L296" s="373"/>
      <c r="M296" s="373"/>
      <c r="N296" s="373"/>
      <c r="O296" s="373"/>
      <c r="P296" s="373"/>
      <c r="Q296" s="373"/>
    </row>
    <row r="297" spans="1:17" ht="14.4">
      <c r="A297" s="369"/>
      <c r="B297" s="373"/>
      <c r="C297" s="373"/>
      <c r="D297" s="373"/>
      <c r="E297" s="373"/>
      <c r="F297" s="373"/>
      <c r="G297" s="373"/>
      <c r="H297" s="373"/>
      <c r="I297" s="373"/>
      <c r="J297" s="373"/>
      <c r="K297" s="373"/>
      <c r="L297" s="373"/>
      <c r="M297" s="373"/>
      <c r="N297" s="373"/>
      <c r="O297" s="373"/>
      <c r="P297" s="373"/>
      <c r="Q297" s="373"/>
    </row>
    <row r="298" spans="1:17" ht="14.4">
      <c r="A298" s="369"/>
      <c r="B298" s="373"/>
      <c r="C298" s="373"/>
      <c r="D298" s="373"/>
      <c r="E298" s="373"/>
      <c r="F298" s="373"/>
      <c r="G298" s="373"/>
      <c r="H298" s="373"/>
      <c r="I298" s="373"/>
      <c r="J298" s="373"/>
      <c r="K298" s="373"/>
      <c r="L298" s="373"/>
      <c r="M298" s="373"/>
      <c r="N298" s="373"/>
      <c r="O298" s="373"/>
      <c r="P298" s="373"/>
      <c r="Q298" s="373"/>
    </row>
    <row r="299" spans="1:17" ht="14.4">
      <c r="A299" s="369"/>
      <c r="B299" s="373"/>
      <c r="C299" s="373"/>
      <c r="D299" s="373"/>
      <c r="E299" s="373"/>
      <c r="F299" s="373"/>
      <c r="G299" s="373"/>
      <c r="H299" s="373"/>
      <c r="I299" s="373"/>
      <c r="J299" s="373"/>
      <c r="K299" s="373"/>
      <c r="L299" s="373"/>
      <c r="M299" s="373"/>
      <c r="N299" s="373"/>
      <c r="O299" s="373"/>
      <c r="P299" s="373"/>
      <c r="Q299" s="373"/>
    </row>
    <row r="300" spans="1:17" ht="14.4">
      <c r="A300" s="369"/>
      <c r="B300" s="373"/>
      <c r="C300" s="373"/>
      <c r="D300" s="373"/>
      <c r="E300" s="373"/>
      <c r="F300" s="373"/>
      <c r="G300" s="373"/>
      <c r="H300" s="373"/>
      <c r="I300" s="373"/>
      <c r="J300" s="373"/>
      <c r="K300" s="373"/>
      <c r="L300" s="373"/>
      <c r="M300" s="373"/>
      <c r="N300" s="373"/>
      <c r="O300" s="373"/>
      <c r="P300" s="373"/>
      <c r="Q300" s="373"/>
    </row>
    <row r="301" spans="1:17" ht="14.4">
      <c r="A301" s="369"/>
      <c r="B301" s="373"/>
      <c r="C301" s="373"/>
      <c r="D301" s="373"/>
      <c r="E301" s="373"/>
      <c r="F301" s="373"/>
      <c r="G301" s="373"/>
      <c r="H301" s="373"/>
      <c r="I301" s="373"/>
      <c r="J301" s="373"/>
      <c r="K301" s="373"/>
      <c r="L301" s="373"/>
      <c r="M301" s="373"/>
      <c r="N301" s="373"/>
      <c r="O301" s="373"/>
      <c r="P301" s="373"/>
      <c r="Q301" s="373"/>
    </row>
    <row r="302" spans="1:17" ht="14.4">
      <c r="A302" s="369"/>
      <c r="B302" s="373"/>
      <c r="C302" s="373"/>
      <c r="D302" s="373"/>
      <c r="E302" s="373"/>
      <c r="F302" s="373"/>
      <c r="G302" s="373"/>
      <c r="H302" s="373"/>
      <c r="I302" s="373"/>
      <c r="J302" s="373"/>
      <c r="K302" s="373"/>
      <c r="L302" s="373"/>
      <c r="M302" s="373"/>
      <c r="N302" s="373"/>
      <c r="O302" s="373"/>
      <c r="P302" s="373"/>
      <c r="Q302" s="373"/>
    </row>
    <row r="303" spans="1:17" ht="14.4">
      <c r="A303" s="369"/>
      <c r="B303" s="373"/>
      <c r="C303" s="373"/>
      <c r="D303" s="373"/>
      <c r="E303" s="373"/>
      <c r="F303" s="373"/>
      <c r="G303" s="373"/>
      <c r="H303" s="373"/>
      <c r="I303" s="373"/>
      <c r="J303" s="373"/>
      <c r="K303" s="373"/>
      <c r="L303" s="373"/>
      <c r="M303" s="373"/>
      <c r="N303" s="373"/>
      <c r="O303" s="373"/>
      <c r="P303" s="373"/>
      <c r="Q303" s="373"/>
    </row>
    <row r="304" spans="1:17" ht="14.4">
      <c r="A304" s="369"/>
      <c r="B304" s="373"/>
      <c r="C304" s="373"/>
      <c r="D304" s="373"/>
      <c r="E304" s="373"/>
      <c r="F304" s="373"/>
      <c r="G304" s="373"/>
      <c r="H304" s="373"/>
      <c r="I304" s="373"/>
      <c r="J304" s="373"/>
      <c r="K304" s="373"/>
      <c r="L304" s="373"/>
      <c r="M304" s="373"/>
      <c r="N304" s="373"/>
      <c r="O304" s="373"/>
      <c r="P304" s="373"/>
      <c r="Q304" s="373"/>
    </row>
    <row r="305" spans="1:17" ht="14.4">
      <c r="A305" s="369"/>
      <c r="B305" s="373"/>
      <c r="C305" s="373"/>
      <c r="D305" s="373"/>
      <c r="E305" s="373"/>
      <c r="F305" s="373"/>
      <c r="G305" s="373"/>
      <c r="H305" s="373"/>
      <c r="I305" s="373"/>
      <c r="J305" s="373"/>
      <c r="K305" s="373"/>
      <c r="L305" s="373"/>
      <c r="M305" s="373"/>
      <c r="N305" s="373"/>
      <c r="O305" s="373"/>
      <c r="P305" s="373"/>
      <c r="Q305" s="373"/>
    </row>
    <row r="306" spans="1:17" ht="14.4">
      <c r="A306" s="369"/>
      <c r="B306" s="373"/>
      <c r="C306" s="373"/>
      <c r="D306" s="373"/>
      <c r="E306" s="373"/>
      <c r="F306" s="373"/>
      <c r="G306" s="373"/>
      <c r="H306" s="373"/>
      <c r="I306" s="373"/>
      <c r="J306" s="373"/>
      <c r="K306" s="373"/>
      <c r="L306" s="373"/>
      <c r="M306" s="373"/>
      <c r="N306" s="373"/>
      <c r="O306" s="373"/>
      <c r="P306" s="373"/>
      <c r="Q306" s="373"/>
    </row>
    <row r="307" spans="1:17" ht="14.4">
      <c r="A307" s="369"/>
      <c r="B307" s="373"/>
      <c r="C307" s="373"/>
      <c r="D307" s="373"/>
      <c r="E307" s="373"/>
      <c r="F307" s="373"/>
      <c r="G307" s="373"/>
      <c r="H307" s="373"/>
      <c r="I307" s="373"/>
      <c r="J307" s="373"/>
      <c r="K307" s="373"/>
      <c r="L307" s="373"/>
      <c r="M307" s="373"/>
      <c r="N307" s="373"/>
      <c r="O307" s="373"/>
      <c r="P307" s="373"/>
      <c r="Q307" s="373"/>
    </row>
    <row r="308" spans="1:17" ht="14.4">
      <c r="A308" s="369"/>
      <c r="B308" s="373"/>
      <c r="C308" s="373"/>
      <c r="D308" s="373"/>
      <c r="E308" s="373"/>
      <c r="F308" s="373"/>
      <c r="G308" s="373"/>
      <c r="H308" s="373"/>
      <c r="I308" s="373"/>
      <c r="J308" s="373"/>
      <c r="K308" s="373"/>
      <c r="L308" s="373"/>
      <c r="M308" s="373"/>
      <c r="N308" s="373"/>
      <c r="O308" s="373"/>
      <c r="P308" s="373"/>
      <c r="Q308" s="373"/>
    </row>
    <row r="309" spans="1:17" ht="14.4">
      <c r="A309" s="369"/>
      <c r="B309" s="373"/>
      <c r="C309" s="373"/>
      <c r="D309" s="373"/>
      <c r="E309" s="373"/>
      <c r="F309" s="373"/>
      <c r="G309" s="373"/>
      <c r="H309" s="373"/>
      <c r="I309" s="373"/>
      <c r="J309" s="373"/>
      <c r="K309" s="373"/>
      <c r="L309" s="373"/>
      <c r="M309" s="373"/>
      <c r="N309" s="373"/>
      <c r="O309" s="373"/>
      <c r="P309" s="373"/>
      <c r="Q309" s="373"/>
    </row>
    <row r="310" spans="1:17" ht="14.4">
      <c r="A310" s="369"/>
      <c r="B310" s="373"/>
      <c r="C310" s="373"/>
      <c r="D310" s="373"/>
      <c r="E310" s="373"/>
      <c r="F310" s="373"/>
      <c r="G310" s="373"/>
      <c r="H310" s="373"/>
      <c r="I310" s="373"/>
      <c r="J310" s="373"/>
      <c r="K310" s="373"/>
      <c r="L310" s="373"/>
      <c r="M310" s="373"/>
      <c r="N310" s="373"/>
      <c r="O310" s="373"/>
      <c r="P310" s="373"/>
      <c r="Q310" s="373"/>
    </row>
    <row r="311" spans="1:17" ht="14.4">
      <c r="A311" s="369"/>
      <c r="B311" s="373"/>
      <c r="C311" s="373"/>
      <c r="D311" s="373"/>
      <c r="E311" s="373"/>
      <c r="F311" s="373"/>
      <c r="G311" s="373"/>
      <c r="H311" s="373"/>
      <c r="I311" s="373"/>
      <c r="J311" s="373"/>
      <c r="K311" s="373"/>
      <c r="L311" s="373"/>
      <c r="M311" s="373"/>
      <c r="N311" s="373"/>
      <c r="O311" s="373"/>
      <c r="P311" s="373"/>
      <c r="Q311" s="373"/>
    </row>
    <row r="312" spans="1:17" ht="14.4">
      <c r="A312" s="369"/>
      <c r="B312" s="373"/>
      <c r="C312" s="373"/>
      <c r="D312" s="373"/>
      <c r="E312" s="373"/>
      <c r="F312" s="373"/>
      <c r="G312" s="373"/>
      <c r="H312" s="373"/>
      <c r="I312" s="373"/>
      <c r="J312" s="373"/>
      <c r="K312" s="373"/>
      <c r="L312" s="373"/>
      <c r="M312" s="373"/>
      <c r="N312" s="373"/>
      <c r="O312" s="373"/>
      <c r="P312" s="373"/>
      <c r="Q312" s="373"/>
    </row>
    <row r="313" spans="1:17" ht="14.4">
      <c r="A313" s="369"/>
      <c r="B313" s="373"/>
      <c r="C313" s="373"/>
      <c r="D313" s="373"/>
      <c r="E313" s="373"/>
      <c r="F313" s="373"/>
      <c r="G313" s="373"/>
      <c r="H313" s="373"/>
      <c r="I313" s="373"/>
      <c r="J313" s="373"/>
      <c r="K313" s="373"/>
      <c r="L313" s="373"/>
      <c r="M313" s="373"/>
      <c r="N313" s="373"/>
      <c r="O313" s="373"/>
      <c r="P313" s="373"/>
      <c r="Q313" s="373"/>
    </row>
    <row r="314" spans="1:17" ht="14.4">
      <c r="A314" s="369"/>
      <c r="B314" s="373"/>
      <c r="C314" s="373"/>
      <c r="D314" s="373"/>
      <c r="E314" s="373"/>
      <c r="F314" s="373"/>
      <c r="G314" s="373"/>
      <c r="H314" s="373"/>
      <c r="I314" s="373"/>
      <c r="J314" s="373"/>
      <c r="K314" s="373"/>
      <c r="L314" s="373"/>
      <c r="M314" s="373"/>
      <c r="N314" s="373"/>
      <c r="O314" s="373"/>
      <c r="P314" s="373"/>
      <c r="Q314" s="373"/>
    </row>
    <row r="315" spans="1:17" ht="14.4">
      <c r="A315" s="369"/>
      <c r="B315" s="373"/>
      <c r="C315" s="373"/>
      <c r="D315" s="373"/>
      <c r="E315" s="373"/>
      <c r="F315" s="373"/>
      <c r="G315" s="373"/>
      <c r="H315" s="373"/>
      <c r="I315" s="373"/>
      <c r="J315" s="373"/>
      <c r="K315" s="373"/>
      <c r="L315" s="373"/>
      <c r="M315" s="373"/>
      <c r="N315" s="373"/>
      <c r="O315" s="373"/>
      <c r="P315" s="373"/>
      <c r="Q315" s="373"/>
    </row>
    <row r="316" spans="1:17" ht="14.4">
      <c r="A316" s="369"/>
      <c r="B316" s="373"/>
      <c r="C316" s="373"/>
      <c r="D316" s="373"/>
      <c r="E316" s="373"/>
      <c r="F316" s="373"/>
      <c r="G316" s="373"/>
      <c r="H316" s="373"/>
      <c r="I316" s="373"/>
      <c r="J316" s="373"/>
      <c r="K316" s="373"/>
      <c r="L316" s="373"/>
      <c r="M316" s="373"/>
      <c r="N316" s="373"/>
      <c r="O316" s="373"/>
      <c r="P316" s="373"/>
      <c r="Q316" s="373"/>
    </row>
    <row r="317" spans="1:17" ht="14.4">
      <c r="A317" s="369"/>
      <c r="B317" s="373"/>
      <c r="C317" s="373"/>
      <c r="D317" s="373"/>
      <c r="E317" s="373"/>
      <c r="F317" s="373"/>
      <c r="G317" s="373"/>
      <c r="H317" s="373"/>
      <c r="I317" s="373"/>
      <c r="J317" s="373"/>
      <c r="K317" s="373"/>
      <c r="L317" s="373"/>
      <c r="M317" s="373"/>
      <c r="N317" s="373"/>
      <c r="O317" s="373"/>
      <c r="P317" s="373"/>
      <c r="Q317" s="373"/>
    </row>
    <row r="318" spans="1:17" ht="14.4">
      <c r="A318" s="369"/>
      <c r="B318" s="373"/>
      <c r="C318" s="373"/>
      <c r="D318" s="373"/>
      <c r="E318" s="373"/>
      <c r="F318" s="373"/>
      <c r="G318" s="373"/>
      <c r="H318" s="373"/>
      <c r="I318" s="373"/>
      <c r="J318" s="373"/>
      <c r="K318" s="373"/>
      <c r="L318" s="373"/>
      <c r="M318" s="373"/>
      <c r="N318" s="373"/>
      <c r="O318" s="373"/>
      <c r="P318" s="373"/>
      <c r="Q318" s="373"/>
    </row>
    <row r="319" spans="1:17" ht="14.4">
      <c r="A319" s="369"/>
      <c r="B319" s="373"/>
      <c r="C319" s="373"/>
      <c r="D319" s="373"/>
      <c r="E319" s="373"/>
      <c r="F319" s="373"/>
      <c r="G319" s="373"/>
      <c r="H319" s="373"/>
      <c r="I319" s="373"/>
      <c r="J319" s="373"/>
      <c r="K319" s="373"/>
      <c r="L319" s="373"/>
      <c r="M319" s="373"/>
      <c r="N319" s="373"/>
      <c r="O319" s="373"/>
      <c r="P319" s="373"/>
      <c r="Q319" s="373"/>
    </row>
    <row r="320" spans="1:17" ht="14.4">
      <c r="A320" s="369"/>
      <c r="B320" s="373"/>
      <c r="C320" s="373"/>
      <c r="D320" s="373"/>
      <c r="E320" s="373"/>
      <c r="F320" s="373"/>
      <c r="G320" s="373"/>
      <c r="H320" s="373"/>
      <c r="I320" s="373"/>
      <c r="J320" s="373"/>
      <c r="K320" s="373"/>
      <c r="L320" s="373"/>
      <c r="M320" s="373"/>
      <c r="N320" s="373"/>
      <c r="O320" s="373"/>
      <c r="P320" s="373"/>
      <c r="Q320" s="373"/>
    </row>
    <row r="321" spans="1:17" ht="14.4">
      <c r="A321" s="369"/>
      <c r="B321" s="373"/>
      <c r="C321" s="373"/>
      <c r="D321" s="373"/>
      <c r="E321" s="373"/>
      <c r="F321" s="373"/>
      <c r="G321" s="373"/>
      <c r="H321" s="373"/>
      <c r="I321" s="373"/>
      <c r="J321" s="373"/>
      <c r="K321" s="373"/>
      <c r="L321" s="373"/>
      <c r="M321" s="373"/>
      <c r="N321" s="373"/>
      <c r="O321" s="373"/>
      <c r="P321" s="373"/>
      <c r="Q321" s="373"/>
    </row>
    <row r="322" spans="1:17" ht="14.4">
      <c r="A322" s="369"/>
      <c r="B322" s="373"/>
      <c r="C322" s="373"/>
      <c r="D322" s="373"/>
      <c r="E322" s="373"/>
      <c r="F322" s="373"/>
      <c r="G322" s="373"/>
      <c r="H322" s="373"/>
      <c r="I322" s="373"/>
      <c r="J322" s="373"/>
      <c r="K322" s="373"/>
      <c r="L322" s="373"/>
      <c r="M322" s="373"/>
      <c r="N322" s="373"/>
      <c r="O322" s="373"/>
      <c r="P322" s="373"/>
      <c r="Q322" s="373"/>
    </row>
    <row r="323" spans="1:17" ht="14.4">
      <c r="A323" s="369"/>
      <c r="B323" s="373"/>
      <c r="C323" s="373"/>
      <c r="D323" s="373"/>
      <c r="E323" s="373"/>
      <c r="F323" s="373"/>
      <c r="G323" s="373"/>
      <c r="H323" s="373"/>
      <c r="I323" s="373"/>
      <c r="J323" s="373"/>
      <c r="K323" s="373"/>
      <c r="L323" s="373"/>
      <c r="M323" s="373"/>
      <c r="N323" s="373"/>
      <c r="O323" s="373"/>
      <c r="P323" s="373"/>
      <c r="Q323" s="373"/>
    </row>
    <row r="324" spans="1:17" ht="14.4">
      <c r="A324" s="369"/>
      <c r="B324" s="373"/>
      <c r="C324" s="373"/>
      <c r="D324" s="373"/>
      <c r="E324" s="373"/>
      <c r="F324" s="373"/>
      <c r="G324" s="373"/>
      <c r="H324" s="373"/>
      <c r="I324" s="373"/>
      <c r="J324" s="373"/>
      <c r="K324" s="373"/>
      <c r="L324" s="373"/>
      <c r="M324" s="373"/>
      <c r="N324" s="373"/>
      <c r="O324" s="373"/>
      <c r="P324" s="373"/>
      <c r="Q324" s="373"/>
    </row>
    <row r="325" spans="1:17" ht="14.4">
      <c r="A325" s="369"/>
      <c r="B325" s="373"/>
      <c r="C325" s="373"/>
      <c r="D325" s="373"/>
      <c r="E325" s="373"/>
      <c r="F325" s="373"/>
      <c r="G325" s="373"/>
      <c r="H325" s="373"/>
      <c r="I325" s="373"/>
      <c r="J325" s="373"/>
      <c r="K325" s="373"/>
      <c r="L325" s="373"/>
      <c r="M325" s="373"/>
      <c r="N325" s="373"/>
      <c r="O325" s="373"/>
      <c r="P325" s="373"/>
      <c r="Q325" s="373"/>
    </row>
    <row r="326" spans="1:17" ht="14.4">
      <c r="A326" s="369"/>
      <c r="B326" s="373"/>
      <c r="C326" s="373"/>
      <c r="D326" s="373"/>
      <c r="E326" s="373"/>
      <c r="F326" s="373"/>
      <c r="G326" s="373"/>
      <c r="H326" s="373"/>
      <c r="I326" s="373"/>
      <c r="J326" s="373"/>
      <c r="K326" s="373"/>
      <c r="L326" s="373"/>
      <c r="M326" s="373"/>
      <c r="N326" s="373"/>
      <c r="O326" s="373"/>
      <c r="P326" s="373"/>
      <c r="Q326" s="373"/>
    </row>
    <row r="327" spans="1:17" ht="14.4">
      <c r="A327" s="369"/>
      <c r="B327" s="373"/>
      <c r="C327" s="373"/>
      <c r="D327" s="373"/>
      <c r="E327" s="373"/>
      <c r="F327" s="373"/>
      <c r="G327" s="373"/>
      <c r="H327" s="373"/>
      <c r="I327" s="373"/>
      <c r="J327" s="373"/>
      <c r="K327" s="373"/>
      <c r="L327" s="373"/>
      <c r="M327" s="373"/>
      <c r="N327" s="373"/>
      <c r="O327" s="373"/>
      <c r="P327" s="373"/>
      <c r="Q327" s="373"/>
    </row>
    <row r="328" spans="1:17" ht="14.4">
      <c r="A328" s="369"/>
      <c r="B328" s="373"/>
      <c r="C328" s="373"/>
      <c r="D328" s="373"/>
      <c r="E328" s="373"/>
      <c r="F328" s="373"/>
      <c r="G328" s="373"/>
      <c r="H328" s="373"/>
      <c r="I328" s="373"/>
      <c r="J328" s="373"/>
      <c r="K328" s="373"/>
      <c r="L328" s="373"/>
      <c r="M328" s="373"/>
      <c r="N328" s="373"/>
      <c r="O328" s="373"/>
      <c r="P328" s="373"/>
      <c r="Q328" s="373"/>
    </row>
    <row r="329" spans="1:17" ht="14.4">
      <c r="A329" s="369"/>
      <c r="B329" s="373"/>
      <c r="C329" s="373"/>
      <c r="D329" s="373"/>
      <c r="E329" s="373"/>
      <c r="F329" s="373"/>
      <c r="G329" s="373"/>
      <c r="H329" s="373"/>
      <c r="I329" s="373"/>
      <c r="J329" s="373"/>
      <c r="K329" s="373"/>
      <c r="L329" s="373"/>
      <c r="M329" s="373"/>
      <c r="N329" s="373"/>
      <c r="O329" s="373"/>
      <c r="P329" s="373"/>
      <c r="Q329" s="373"/>
    </row>
    <row r="330" spans="1:17" ht="14.4">
      <c r="A330" s="369"/>
      <c r="B330" s="373"/>
      <c r="C330" s="373"/>
      <c r="D330" s="373"/>
      <c r="E330" s="373"/>
      <c r="F330" s="373"/>
      <c r="G330" s="373"/>
      <c r="H330" s="373"/>
      <c r="I330" s="373"/>
      <c r="J330" s="373"/>
      <c r="K330" s="373"/>
      <c r="L330" s="373"/>
      <c r="M330" s="373"/>
      <c r="N330" s="373"/>
      <c r="O330" s="373"/>
      <c r="P330" s="373"/>
      <c r="Q330" s="373"/>
    </row>
    <row r="331" spans="1:17" ht="14.4">
      <c r="A331" s="369"/>
      <c r="B331" s="373"/>
      <c r="C331" s="373"/>
      <c r="D331" s="373"/>
      <c r="E331" s="373"/>
      <c r="F331" s="373"/>
      <c r="G331" s="373"/>
      <c r="H331" s="373"/>
      <c r="I331" s="373"/>
      <c r="J331" s="373"/>
      <c r="K331" s="373"/>
      <c r="L331" s="373"/>
      <c r="M331" s="373"/>
      <c r="N331" s="373"/>
      <c r="O331" s="373"/>
      <c r="P331" s="373"/>
      <c r="Q331" s="373"/>
    </row>
    <row r="332" spans="1:17" ht="14.4">
      <c r="A332" s="369"/>
      <c r="B332" s="373"/>
      <c r="C332" s="373"/>
      <c r="D332" s="373"/>
      <c r="E332" s="373"/>
      <c r="F332" s="373"/>
      <c r="G332" s="373"/>
      <c r="H332" s="373"/>
      <c r="I332" s="373"/>
      <c r="J332" s="373"/>
      <c r="K332" s="373"/>
      <c r="L332" s="373"/>
      <c r="M332" s="373"/>
      <c r="N332" s="373"/>
      <c r="O332" s="373"/>
      <c r="P332" s="373"/>
      <c r="Q332" s="373"/>
    </row>
    <row r="333" spans="1:17" ht="14.4">
      <c r="A333" s="369"/>
      <c r="B333" s="373"/>
      <c r="C333" s="373"/>
      <c r="D333" s="373"/>
      <c r="E333" s="373"/>
      <c r="F333" s="373"/>
      <c r="G333" s="373"/>
      <c r="H333" s="373"/>
      <c r="I333" s="373"/>
      <c r="J333" s="373"/>
      <c r="K333" s="373"/>
      <c r="L333" s="373"/>
      <c r="M333" s="373"/>
      <c r="N333" s="373"/>
      <c r="O333" s="373"/>
      <c r="P333" s="373"/>
      <c r="Q333" s="373"/>
    </row>
    <row r="334" spans="1:17" ht="14.4">
      <c r="A334" s="369"/>
      <c r="B334" s="373"/>
      <c r="C334" s="373"/>
      <c r="D334" s="373"/>
      <c r="E334" s="373"/>
      <c r="F334" s="373"/>
      <c r="G334" s="373"/>
      <c r="H334" s="373"/>
      <c r="I334" s="373"/>
      <c r="J334" s="373"/>
      <c r="K334" s="373"/>
      <c r="L334" s="373"/>
      <c r="M334" s="373"/>
      <c r="N334" s="373"/>
      <c r="O334" s="373"/>
      <c r="P334" s="373"/>
      <c r="Q334" s="373"/>
    </row>
    <row r="335" spans="1:17" ht="14.4">
      <c r="A335" s="369"/>
      <c r="B335" s="373"/>
      <c r="C335" s="373"/>
      <c r="D335" s="373"/>
      <c r="E335" s="373"/>
      <c r="F335" s="373"/>
      <c r="G335" s="373"/>
      <c r="H335" s="373"/>
      <c r="I335" s="373"/>
      <c r="J335" s="373"/>
      <c r="K335" s="373"/>
      <c r="L335" s="373"/>
      <c r="M335" s="373"/>
      <c r="N335" s="373"/>
      <c r="O335" s="373"/>
      <c r="P335" s="373"/>
      <c r="Q335" s="373"/>
    </row>
    <row r="336" spans="1:17" ht="14.4">
      <c r="A336" s="369"/>
      <c r="B336" s="373"/>
      <c r="C336" s="373"/>
      <c r="D336" s="373"/>
      <c r="E336" s="373"/>
      <c r="F336" s="373"/>
      <c r="G336" s="373"/>
      <c r="H336" s="373"/>
      <c r="I336" s="373"/>
      <c r="J336" s="373"/>
      <c r="K336" s="373"/>
      <c r="L336" s="373"/>
      <c r="M336" s="373"/>
      <c r="N336" s="373"/>
      <c r="O336" s="373"/>
      <c r="P336" s="373"/>
      <c r="Q336" s="373"/>
    </row>
    <row r="337" spans="1:17" ht="14.4">
      <c r="A337" s="369"/>
      <c r="B337" s="373"/>
      <c r="C337" s="373"/>
      <c r="D337" s="373"/>
      <c r="E337" s="373"/>
      <c r="F337" s="373"/>
      <c r="G337" s="373"/>
      <c r="H337" s="373"/>
      <c r="I337" s="373"/>
      <c r="J337" s="373"/>
      <c r="K337" s="373"/>
      <c r="L337" s="373"/>
      <c r="M337" s="373"/>
      <c r="N337" s="373"/>
      <c r="O337" s="373"/>
      <c r="P337" s="373"/>
      <c r="Q337" s="373"/>
    </row>
    <row r="338" spans="1:17" ht="14.4">
      <c r="A338" s="369"/>
      <c r="B338" s="373"/>
      <c r="C338" s="373"/>
      <c r="D338" s="373"/>
      <c r="E338" s="373"/>
      <c r="F338" s="373"/>
      <c r="G338" s="373"/>
      <c r="H338" s="373"/>
      <c r="I338" s="373"/>
      <c r="J338" s="373"/>
      <c r="K338" s="373"/>
      <c r="L338" s="373"/>
      <c r="M338" s="373"/>
      <c r="N338" s="373"/>
      <c r="O338" s="373"/>
      <c r="P338" s="373"/>
      <c r="Q338" s="373"/>
    </row>
    <row r="339" spans="1:17" ht="14.4">
      <c r="A339" s="369"/>
      <c r="B339" s="373"/>
      <c r="C339" s="373"/>
      <c r="D339" s="373"/>
      <c r="E339" s="373"/>
      <c r="F339" s="373"/>
      <c r="G339" s="373"/>
      <c r="H339" s="373"/>
      <c r="I339" s="373"/>
      <c r="J339" s="373"/>
      <c r="K339" s="373"/>
      <c r="L339" s="373"/>
      <c r="M339" s="373"/>
      <c r="N339" s="373"/>
      <c r="O339" s="373"/>
      <c r="P339" s="373"/>
      <c r="Q339" s="373"/>
    </row>
    <row r="340" spans="1:17" ht="14.4">
      <c r="A340" s="369"/>
      <c r="B340" s="373"/>
      <c r="C340" s="373"/>
      <c r="D340" s="373"/>
      <c r="E340" s="373"/>
      <c r="F340" s="373"/>
      <c r="G340" s="373"/>
      <c r="H340" s="373"/>
      <c r="I340" s="373"/>
      <c r="J340" s="373"/>
      <c r="K340" s="373"/>
      <c r="L340" s="373"/>
      <c r="M340" s="373"/>
      <c r="N340" s="373"/>
      <c r="O340" s="373"/>
      <c r="P340" s="373"/>
      <c r="Q340" s="373"/>
    </row>
    <row r="341" spans="1:17" ht="14.4">
      <c r="A341" s="369"/>
      <c r="B341" s="373"/>
      <c r="C341" s="373"/>
      <c r="D341" s="373"/>
      <c r="E341" s="373"/>
      <c r="F341" s="373"/>
      <c r="G341" s="373"/>
      <c r="H341" s="373"/>
      <c r="I341" s="373"/>
      <c r="J341" s="373"/>
      <c r="K341" s="373"/>
      <c r="L341" s="373"/>
      <c r="M341" s="373"/>
      <c r="N341" s="373"/>
      <c r="O341" s="373"/>
      <c r="P341" s="373"/>
      <c r="Q341" s="373"/>
    </row>
    <row r="342" spans="1:17" ht="14.4">
      <c r="A342" s="369"/>
      <c r="B342" s="373"/>
      <c r="C342" s="373"/>
      <c r="D342" s="373"/>
      <c r="E342" s="373"/>
      <c r="F342" s="373"/>
      <c r="G342" s="373"/>
      <c r="H342" s="373"/>
      <c r="I342" s="373"/>
      <c r="J342" s="373"/>
      <c r="K342" s="373"/>
      <c r="L342" s="373"/>
      <c r="M342" s="373"/>
      <c r="N342" s="373"/>
      <c r="O342" s="373"/>
      <c r="P342" s="373"/>
      <c r="Q342" s="373"/>
    </row>
    <row r="343" spans="1:17" ht="14.4">
      <c r="A343" s="369"/>
      <c r="B343" s="373"/>
      <c r="C343" s="373"/>
      <c r="D343" s="373"/>
      <c r="E343" s="373"/>
      <c r="F343" s="373"/>
      <c r="G343" s="373"/>
      <c r="H343" s="373"/>
      <c r="I343" s="373"/>
      <c r="J343" s="373"/>
      <c r="K343" s="373"/>
      <c r="L343" s="373"/>
      <c r="M343" s="373"/>
      <c r="N343" s="373"/>
      <c r="O343" s="373"/>
      <c r="P343" s="373"/>
      <c r="Q343" s="373"/>
    </row>
    <row r="344" spans="1:17" ht="14.4">
      <c r="A344" s="369"/>
      <c r="B344" s="373"/>
      <c r="C344" s="373"/>
      <c r="D344" s="373"/>
      <c r="E344" s="373"/>
      <c r="F344" s="373"/>
      <c r="G344" s="373"/>
      <c r="H344" s="373"/>
      <c r="I344" s="373"/>
      <c r="J344" s="373"/>
      <c r="K344" s="373"/>
      <c r="L344" s="373"/>
      <c r="M344" s="373"/>
      <c r="N344" s="373"/>
      <c r="O344" s="373"/>
      <c r="P344" s="373"/>
      <c r="Q344" s="373"/>
    </row>
    <row r="345" spans="1:17" ht="14.4">
      <c r="A345" s="369"/>
      <c r="B345" s="373"/>
      <c r="C345" s="373"/>
      <c r="D345" s="373"/>
      <c r="E345" s="373"/>
      <c r="F345" s="373"/>
      <c r="G345" s="373"/>
      <c r="H345" s="373"/>
      <c r="I345" s="373"/>
      <c r="J345" s="373"/>
      <c r="K345" s="373"/>
      <c r="L345" s="373"/>
      <c r="M345" s="373"/>
      <c r="N345" s="373"/>
      <c r="O345" s="373"/>
      <c r="P345" s="373"/>
      <c r="Q345" s="373"/>
    </row>
    <row r="346" spans="1:17" ht="14.4">
      <c r="A346" s="369"/>
      <c r="B346" s="373"/>
      <c r="C346" s="373"/>
      <c r="D346" s="373"/>
      <c r="E346" s="373"/>
      <c r="F346" s="373"/>
      <c r="G346" s="373"/>
      <c r="H346" s="373"/>
      <c r="I346" s="373"/>
      <c r="J346" s="373"/>
      <c r="K346" s="373"/>
      <c r="L346" s="373"/>
      <c r="M346" s="373"/>
      <c r="N346" s="373"/>
      <c r="O346" s="373"/>
      <c r="P346" s="373"/>
      <c r="Q346" s="373"/>
    </row>
    <row r="347" spans="1:17" ht="14.4">
      <c r="A347" s="369"/>
      <c r="B347" s="373"/>
      <c r="C347" s="373"/>
      <c r="D347" s="373"/>
      <c r="E347" s="373"/>
      <c r="F347" s="373"/>
      <c r="G347" s="373"/>
      <c r="H347" s="373"/>
      <c r="I347" s="373"/>
      <c r="J347" s="373"/>
      <c r="K347" s="373"/>
      <c r="L347" s="373"/>
      <c r="M347" s="373"/>
      <c r="N347" s="373"/>
      <c r="O347" s="373"/>
      <c r="P347" s="373"/>
      <c r="Q347" s="373"/>
    </row>
    <row r="348" spans="1:17" ht="14.4">
      <c r="A348" s="369"/>
      <c r="B348" s="373"/>
      <c r="C348" s="373"/>
      <c r="D348" s="373"/>
      <c r="E348" s="373"/>
      <c r="F348" s="373"/>
      <c r="G348" s="373"/>
      <c r="H348" s="373"/>
      <c r="I348" s="373"/>
      <c r="J348" s="373"/>
      <c r="K348" s="373"/>
      <c r="L348" s="373"/>
      <c r="M348" s="373"/>
      <c r="N348" s="373"/>
      <c r="O348" s="373"/>
      <c r="P348" s="373"/>
      <c r="Q348" s="373"/>
    </row>
    <row r="349" spans="1:17" ht="14.4">
      <c r="A349" s="369"/>
      <c r="B349" s="373"/>
      <c r="C349" s="373"/>
      <c r="D349" s="373"/>
      <c r="E349" s="373"/>
      <c r="F349" s="373"/>
      <c r="G349" s="373"/>
      <c r="H349" s="373"/>
      <c r="I349" s="373"/>
      <c r="J349" s="373"/>
      <c r="K349" s="373"/>
      <c r="L349" s="373"/>
      <c r="M349" s="373"/>
      <c r="N349" s="373"/>
      <c r="O349" s="373"/>
      <c r="P349" s="373"/>
      <c r="Q349" s="373"/>
    </row>
    <row r="350" spans="1:17" ht="14.4">
      <c r="A350" s="369"/>
      <c r="B350" s="373"/>
      <c r="C350" s="373"/>
      <c r="D350" s="373"/>
      <c r="E350" s="373"/>
      <c r="F350" s="373"/>
      <c r="G350" s="373"/>
      <c r="H350" s="373"/>
      <c r="I350" s="373"/>
      <c r="J350" s="373"/>
      <c r="K350" s="373"/>
      <c r="L350" s="373"/>
      <c r="M350" s="373"/>
      <c r="N350" s="373"/>
      <c r="O350" s="373"/>
      <c r="P350" s="373"/>
      <c r="Q350" s="373"/>
    </row>
    <row r="351" spans="1:17" ht="14.4">
      <c r="A351" s="369"/>
      <c r="B351" s="373"/>
      <c r="C351" s="373"/>
      <c r="D351" s="373"/>
      <c r="E351" s="373"/>
      <c r="F351" s="373"/>
      <c r="G351" s="373"/>
      <c r="H351" s="373"/>
      <c r="I351" s="373"/>
      <c r="J351" s="373"/>
      <c r="K351" s="373"/>
      <c r="L351" s="373"/>
      <c r="M351" s="373"/>
      <c r="N351" s="373"/>
      <c r="O351" s="373"/>
      <c r="P351" s="373"/>
      <c r="Q351" s="373"/>
    </row>
    <row r="352" spans="1:17" ht="14.4">
      <c r="A352" s="369"/>
      <c r="B352" s="373"/>
      <c r="C352" s="373"/>
      <c r="D352" s="373"/>
      <c r="E352" s="373"/>
      <c r="F352" s="373"/>
      <c r="G352" s="373"/>
      <c r="H352" s="373"/>
      <c r="I352" s="373"/>
      <c r="J352" s="373"/>
      <c r="K352" s="373"/>
      <c r="L352" s="373"/>
      <c r="M352" s="373"/>
      <c r="N352" s="373"/>
      <c r="O352" s="373"/>
      <c r="P352" s="373"/>
      <c r="Q352" s="373"/>
    </row>
    <row r="353" spans="1:17" ht="14.4">
      <c r="A353" s="369"/>
      <c r="B353" s="373"/>
      <c r="C353" s="373"/>
      <c r="D353" s="373"/>
      <c r="E353" s="373"/>
      <c r="F353" s="373"/>
      <c r="G353" s="373"/>
      <c r="H353" s="373"/>
      <c r="I353" s="373"/>
      <c r="J353" s="373"/>
      <c r="K353" s="373"/>
      <c r="L353" s="373"/>
      <c r="M353" s="373"/>
      <c r="N353" s="373"/>
      <c r="O353" s="373"/>
      <c r="P353" s="373"/>
      <c r="Q353" s="373"/>
    </row>
    <row r="354" spans="1:17" ht="14.4">
      <c r="A354" s="369"/>
      <c r="B354" s="373"/>
      <c r="C354" s="373"/>
      <c r="D354" s="373"/>
      <c r="E354" s="373"/>
      <c r="F354" s="373"/>
      <c r="G354" s="373"/>
      <c r="H354" s="373"/>
      <c r="I354" s="373"/>
      <c r="J354" s="373"/>
      <c r="K354" s="373"/>
      <c r="L354" s="373"/>
      <c r="M354" s="373"/>
      <c r="N354" s="373"/>
      <c r="O354" s="373"/>
      <c r="P354" s="373"/>
      <c r="Q354" s="373"/>
    </row>
    <row r="355" spans="1:17" ht="14.4">
      <c r="A355" s="369"/>
      <c r="B355" s="373"/>
      <c r="C355" s="373"/>
      <c r="D355" s="373"/>
      <c r="E355" s="373"/>
      <c r="F355" s="373"/>
      <c r="G355" s="373"/>
      <c r="H355" s="373"/>
      <c r="I355" s="373"/>
      <c r="J355" s="373"/>
      <c r="K355" s="373"/>
      <c r="L355" s="373"/>
      <c r="M355" s="373"/>
      <c r="N355" s="373"/>
      <c r="O355" s="373"/>
      <c r="P355" s="373"/>
      <c r="Q355" s="373"/>
    </row>
    <row r="356" spans="1:17" ht="14.4">
      <c r="A356" s="369"/>
      <c r="B356" s="373"/>
      <c r="C356" s="373"/>
      <c r="D356" s="373"/>
      <c r="E356" s="373"/>
      <c r="F356" s="373"/>
      <c r="G356" s="373"/>
      <c r="H356" s="373"/>
      <c r="I356" s="373"/>
      <c r="J356" s="373"/>
      <c r="K356" s="373"/>
      <c r="L356" s="373"/>
      <c r="M356" s="373"/>
      <c r="N356" s="373"/>
      <c r="O356" s="373"/>
      <c r="P356" s="373"/>
      <c r="Q356" s="373"/>
    </row>
    <row r="357" spans="1:17" ht="14.4">
      <c r="A357" s="369"/>
      <c r="B357" s="373"/>
      <c r="C357" s="373"/>
      <c r="D357" s="373"/>
      <c r="E357" s="373"/>
      <c r="F357" s="373"/>
      <c r="G357" s="373"/>
      <c r="H357" s="373"/>
      <c r="I357" s="373"/>
      <c r="J357" s="373"/>
      <c r="K357" s="373"/>
      <c r="L357" s="373"/>
      <c r="M357" s="373"/>
      <c r="N357" s="373"/>
      <c r="O357" s="373"/>
      <c r="P357" s="373"/>
      <c r="Q357" s="373"/>
    </row>
    <row r="358" spans="1:17" ht="14.4">
      <c r="A358" s="369"/>
      <c r="B358" s="373"/>
      <c r="C358" s="373"/>
      <c r="D358" s="373"/>
      <c r="E358" s="373"/>
      <c r="F358" s="373"/>
      <c r="G358" s="373"/>
      <c r="H358" s="373"/>
      <c r="I358" s="373"/>
      <c r="J358" s="373"/>
      <c r="K358" s="373"/>
      <c r="L358" s="373"/>
      <c r="M358" s="373"/>
      <c r="N358" s="373"/>
      <c r="O358" s="373"/>
      <c r="P358" s="373"/>
      <c r="Q358" s="373"/>
    </row>
    <row r="359" spans="1:17" ht="14.4">
      <c r="A359" s="369"/>
      <c r="B359" s="373"/>
      <c r="C359" s="373"/>
      <c r="D359" s="373"/>
      <c r="E359" s="373"/>
      <c r="F359" s="373"/>
      <c r="G359" s="373"/>
      <c r="H359" s="373"/>
      <c r="I359" s="373"/>
      <c r="J359" s="373"/>
      <c r="K359" s="373"/>
      <c r="L359" s="373"/>
      <c r="M359" s="373"/>
      <c r="N359" s="373"/>
      <c r="O359" s="373"/>
      <c r="P359" s="373"/>
      <c r="Q359" s="373"/>
    </row>
    <row r="360" spans="1:17" ht="14.4">
      <c r="A360" s="369"/>
      <c r="B360" s="373"/>
      <c r="C360" s="373"/>
      <c r="D360" s="373"/>
      <c r="E360" s="373"/>
      <c r="F360" s="373"/>
      <c r="G360" s="373"/>
      <c r="H360" s="373"/>
      <c r="I360" s="373"/>
      <c r="J360" s="373"/>
      <c r="K360" s="373"/>
      <c r="L360" s="373"/>
      <c r="M360" s="373"/>
      <c r="N360" s="373"/>
      <c r="O360" s="373"/>
      <c r="P360" s="373"/>
      <c r="Q360" s="373"/>
    </row>
    <row r="361" spans="1:17" ht="14.4">
      <c r="A361" s="369"/>
      <c r="B361" s="373"/>
      <c r="C361" s="373"/>
      <c r="D361" s="373"/>
      <c r="E361" s="373"/>
      <c r="F361" s="373"/>
      <c r="G361" s="373"/>
      <c r="H361" s="373"/>
      <c r="I361" s="373"/>
      <c r="J361" s="373"/>
      <c r="K361" s="373"/>
      <c r="L361" s="373"/>
      <c r="M361" s="373"/>
      <c r="N361" s="373"/>
      <c r="O361" s="373"/>
      <c r="P361" s="373"/>
      <c r="Q361" s="373"/>
    </row>
    <row r="362" spans="1:17" ht="14.4">
      <c r="A362" s="369"/>
      <c r="B362" s="373"/>
      <c r="C362" s="373"/>
      <c r="D362" s="373"/>
      <c r="E362" s="373"/>
      <c r="F362" s="373"/>
      <c r="G362" s="373"/>
      <c r="H362" s="373"/>
      <c r="I362" s="373"/>
      <c r="J362" s="373"/>
      <c r="K362" s="373"/>
      <c r="L362" s="373"/>
      <c r="M362" s="373"/>
      <c r="N362" s="373"/>
      <c r="O362" s="373"/>
      <c r="P362" s="373"/>
      <c r="Q362" s="373"/>
    </row>
    <row r="363" spans="1:17" ht="14.4">
      <c r="A363" s="369"/>
      <c r="B363" s="373"/>
      <c r="C363" s="373"/>
      <c r="D363" s="373"/>
      <c r="E363" s="373"/>
      <c r="F363" s="373"/>
      <c r="G363" s="373"/>
      <c r="H363" s="373"/>
      <c r="I363" s="373"/>
      <c r="J363" s="373"/>
      <c r="K363" s="373"/>
      <c r="L363" s="373"/>
      <c r="M363" s="373"/>
      <c r="N363" s="373"/>
      <c r="O363" s="373"/>
      <c r="P363" s="373"/>
      <c r="Q363" s="373"/>
    </row>
    <row r="364" spans="1:17" ht="14.4">
      <c r="A364" s="369"/>
      <c r="B364" s="373"/>
      <c r="C364" s="373"/>
      <c r="D364" s="373"/>
      <c r="E364" s="373"/>
      <c r="F364" s="373"/>
      <c r="G364" s="373"/>
      <c r="H364" s="373"/>
      <c r="I364" s="373"/>
      <c r="J364" s="373"/>
      <c r="K364" s="373"/>
      <c r="L364" s="373"/>
      <c r="M364" s="373"/>
      <c r="N364" s="373"/>
      <c r="O364" s="373"/>
      <c r="P364" s="373"/>
      <c r="Q364" s="373"/>
    </row>
    <row r="365" spans="1:17" ht="14.4">
      <c r="A365" s="369"/>
      <c r="B365" s="373"/>
      <c r="C365" s="373"/>
      <c r="D365" s="373"/>
      <c r="E365" s="373"/>
      <c r="F365" s="373"/>
      <c r="G365" s="373"/>
      <c r="H365" s="373"/>
      <c r="I365" s="373"/>
      <c r="J365" s="373"/>
      <c r="K365" s="373"/>
      <c r="L365" s="373"/>
      <c r="M365" s="373"/>
      <c r="N365" s="373"/>
      <c r="O365" s="373"/>
      <c r="P365" s="373"/>
      <c r="Q365" s="373"/>
    </row>
    <row r="366" spans="1:17" ht="14.4">
      <c r="A366" s="369"/>
      <c r="B366" s="373"/>
      <c r="C366" s="373"/>
      <c r="D366" s="373"/>
      <c r="E366" s="373"/>
      <c r="F366" s="373"/>
      <c r="G366" s="373"/>
      <c r="H366" s="373"/>
      <c r="I366" s="373"/>
      <c r="J366" s="373"/>
      <c r="K366" s="373"/>
      <c r="L366" s="373"/>
      <c r="M366" s="373"/>
      <c r="N366" s="373"/>
      <c r="O366" s="373"/>
      <c r="P366" s="373"/>
      <c r="Q366" s="373"/>
    </row>
    <row r="367" spans="1:17" ht="14.4">
      <c r="A367" s="369"/>
      <c r="B367" s="373"/>
      <c r="C367" s="373"/>
      <c r="D367" s="373"/>
      <c r="E367" s="373"/>
      <c r="F367" s="373"/>
      <c r="G367" s="373"/>
      <c r="H367" s="373"/>
      <c r="I367" s="373"/>
      <c r="J367" s="373"/>
      <c r="K367" s="373"/>
      <c r="L367" s="373"/>
      <c r="M367" s="373"/>
      <c r="N367" s="373"/>
      <c r="O367" s="373"/>
      <c r="P367" s="373"/>
      <c r="Q367" s="373"/>
    </row>
    <row r="368" spans="1:17" ht="14.4">
      <c r="A368" s="369"/>
      <c r="B368" s="373"/>
      <c r="C368" s="373"/>
      <c r="D368" s="373"/>
      <c r="E368" s="373"/>
      <c r="F368" s="373"/>
      <c r="G368" s="373"/>
      <c r="H368" s="373"/>
      <c r="I368" s="373"/>
      <c r="J368" s="373"/>
      <c r="K368" s="373"/>
      <c r="L368" s="373"/>
      <c r="M368" s="373"/>
      <c r="N368" s="373"/>
      <c r="O368" s="373"/>
      <c r="P368" s="373"/>
      <c r="Q368" s="373"/>
    </row>
    <row r="369" spans="1:17" ht="14.4">
      <c r="A369" s="369"/>
      <c r="B369" s="373"/>
      <c r="C369" s="373"/>
      <c r="D369" s="373"/>
      <c r="E369" s="373"/>
      <c r="F369" s="373"/>
      <c r="G369" s="373"/>
      <c r="H369" s="373"/>
      <c r="I369" s="373"/>
      <c r="J369" s="373"/>
      <c r="K369" s="373"/>
      <c r="L369" s="373"/>
      <c r="M369" s="373"/>
      <c r="N369" s="373"/>
      <c r="O369" s="373"/>
      <c r="P369" s="373"/>
      <c r="Q369" s="373"/>
    </row>
    <row r="370" spans="1:17" ht="14.4">
      <c r="A370" s="369"/>
      <c r="B370" s="373"/>
      <c r="C370" s="373"/>
      <c r="D370" s="373"/>
      <c r="E370" s="373"/>
      <c r="F370" s="373"/>
      <c r="G370" s="373"/>
      <c r="H370" s="373"/>
      <c r="I370" s="373"/>
      <c r="J370" s="373"/>
      <c r="K370" s="373"/>
      <c r="L370" s="373"/>
      <c r="M370" s="373"/>
      <c r="N370" s="373"/>
      <c r="O370" s="373"/>
      <c r="P370" s="373"/>
      <c r="Q370" s="373"/>
    </row>
    <row r="371" spans="1:17" ht="14.4">
      <c r="A371" s="369"/>
      <c r="B371" s="373"/>
      <c r="C371" s="373"/>
      <c r="D371" s="373"/>
      <c r="E371" s="373"/>
      <c r="F371" s="373"/>
      <c r="G371" s="373"/>
      <c r="H371" s="373"/>
      <c r="I371" s="373"/>
      <c r="J371" s="373"/>
      <c r="K371" s="373"/>
      <c r="L371" s="373"/>
      <c r="M371" s="373"/>
      <c r="N371" s="373"/>
      <c r="O371" s="373"/>
      <c r="P371" s="373"/>
      <c r="Q371" s="373"/>
    </row>
    <row r="372" spans="1:17" ht="14.4">
      <c r="A372" s="369"/>
      <c r="B372" s="373"/>
      <c r="C372" s="373"/>
      <c r="D372" s="373"/>
      <c r="E372" s="373"/>
      <c r="F372" s="373"/>
      <c r="G372" s="373"/>
      <c r="H372" s="373"/>
      <c r="I372" s="373"/>
      <c r="J372" s="373"/>
      <c r="K372" s="373"/>
      <c r="L372" s="373"/>
      <c r="M372" s="373"/>
      <c r="N372" s="373"/>
      <c r="O372" s="373"/>
      <c r="P372" s="373"/>
      <c r="Q372" s="373"/>
    </row>
    <row r="373" spans="1:17" ht="14.4">
      <c r="A373" s="369"/>
      <c r="B373" s="373"/>
      <c r="C373" s="373"/>
      <c r="D373" s="373"/>
      <c r="E373" s="373"/>
      <c r="F373" s="373"/>
      <c r="G373" s="373"/>
      <c r="H373" s="373"/>
      <c r="I373" s="373"/>
      <c r="J373" s="373"/>
      <c r="K373" s="373"/>
      <c r="L373" s="373"/>
      <c r="M373" s="373"/>
      <c r="N373" s="373"/>
      <c r="O373" s="373"/>
      <c r="P373" s="373"/>
      <c r="Q373" s="373"/>
    </row>
    <row r="374" spans="1:17" ht="14.4">
      <c r="A374" s="369"/>
      <c r="B374" s="373"/>
      <c r="C374" s="373"/>
      <c r="D374" s="373"/>
      <c r="E374" s="373"/>
      <c r="F374" s="373"/>
      <c r="G374" s="373"/>
      <c r="H374" s="373"/>
      <c r="I374" s="373"/>
      <c r="J374" s="373"/>
      <c r="K374" s="373"/>
      <c r="L374" s="373"/>
      <c r="M374" s="373"/>
      <c r="N374" s="373"/>
      <c r="O374" s="373"/>
      <c r="P374" s="373"/>
      <c r="Q374" s="373"/>
    </row>
    <row r="375" spans="1:17" ht="14.4">
      <c r="A375" s="369"/>
      <c r="B375" s="373"/>
      <c r="C375" s="373"/>
      <c r="D375" s="373"/>
      <c r="E375" s="373"/>
      <c r="F375" s="373"/>
      <c r="G375" s="373"/>
      <c r="H375" s="373"/>
      <c r="I375" s="373"/>
      <c r="J375" s="373"/>
      <c r="K375" s="373"/>
      <c r="L375" s="373"/>
      <c r="M375" s="373"/>
      <c r="N375" s="373"/>
      <c r="O375" s="373"/>
      <c r="P375" s="373"/>
      <c r="Q375" s="373"/>
    </row>
    <row r="376" spans="1:17" ht="14.4">
      <c r="A376" s="369"/>
      <c r="B376" s="373"/>
      <c r="C376" s="373"/>
      <c r="D376" s="373"/>
      <c r="E376" s="373"/>
      <c r="F376" s="373"/>
      <c r="G376" s="373"/>
      <c r="H376" s="373"/>
      <c r="I376" s="373"/>
      <c r="J376" s="373"/>
      <c r="K376" s="373"/>
      <c r="L376" s="373"/>
      <c r="M376" s="373"/>
      <c r="N376" s="373"/>
      <c r="O376" s="373"/>
      <c r="P376" s="373"/>
      <c r="Q376" s="373"/>
    </row>
    <row r="377" spans="1:17" ht="14.4">
      <c r="A377" s="369"/>
      <c r="B377" s="373"/>
      <c r="C377" s="373"/>
      <c r="D377" s="373"/>
      <c r="E377" s="373"/>
      <c r="F377" s="373"/>
      <c r="G377" s="373"/>
      <c r="H377" s="373"/>
      <c r="I377" s="373"/>
      <c r="J377" s="373"/>
      <c r="K377" s="373"/>
      <c r="L377" s="373"/>
      <c r="M377" s="373"/>
      <c r="N377" s="373"/>
      <c r="O377" s="373"/>
      <c r="P377" s="373"/>
      <c r="Q377" s="373"/>
    </row>
    <row r="378" spans="1:17" ht="14.4">
      <c r="A378" s="369"/>
      <c r="B378" s="373"/>
      <c r="C378" s="373"/>
      <c r="D378" s="373"/>
      <c r="E378" s="373"/>
      <c r="F378" s="373"/>
      <c r="G378" s="373"/>
      <c r="H378" s="373"/>
      <c r="I378" s="373"/>
      <c r="J378" s="373"/>
      <c r="K378" s="373"/>
      <c r="L378" s="373"/>
      <c r="M378" s="373"/>
      <c r="N378" s="373"/>
      <c r="O378" s="373"/>
      <c r="P378" s="373"/>
      <c r="Q378" s="373"/>
    </row>
    <row r="379" spans="1:17" ht="14.4">
      <c r="A379" s="369"/>
      <c r="B379" s="373"/>
      <c r="C379" s="373"/>
      <c r="D379" s="373"/>
      <c r="E379" s="373"/>
      <c r="F379" s="373"/>
      <c r="G379" s="373"/>
      <c r="H379" s="373"/>
      <c r="I379" s="373"/>
      <c r="J379" s="373"/>
      <c r="K379" s="373"/>
      <c r="L379" s="373"/>
      <c r="M379" s="373"/>
      <c r="N379" s="373"/>
      <c r="O379" s="373"/>
      <c r="P379" s="373"/>
      <c r="Q379" s="373"/>
    </row>
    <row r="380" spans="1:17" ht="14.4">
      <c r="A380" s="369"/>
      <c r="B380" s="373"/>
      <c r="C380" s="373"/>
      <c r="D380" s="373"/>
      <c r="E380" s="373"/>
      <c r="F380" s="373"/>
      <c r="G380" s="373"/>
      <c r="H380" s="373"/>
      <c r="I380" s="373"/>
      <c r="J380" s="373"/>
      <c r="K380" s="373"/>
      <c r="L380" s="373"/>
      <c r="M380" s="373"/>
      <c r="N380" s="373"/>
      <c r="O380" s="373"/>
      <c r="P380" s="373"/>
      <c r="Q380" s="373"/>
    </row>
    <row r="381" spans="1:17" ht="14.4">
      <c r="A381" s="369"/>
      <c r="B381" s="373"/>
      <c r="C381" s="373"/>
      <c r="D381" s="373"/>
      <c r="E381" s="373"/>
      <c r="F381" s="373"/>
      <c r="G381" s="373"/>
      <c r="H381" s="373"/>
      <c r="I381" s="373"/>
      <c r="J381" s="373"/>
      <c r="K381" s="373"/>
      <c r="L381" s="373"/>
      <c r="M381" s="373"/>
      <c r="N381" s="373"/>
      <c r="O381" s="373"/>
      <c r="P381" s="373"/>
      <c r="Q381" s="373"/>
    </row>
    <row r="382" spans="1:17" ht="14.4">
      <c r="A382" s="369"/>
      <c r="B382" s="373"/>
      <c r="C382" s="373"/>
      <c r="D382" s="373"/>
      <c r="E382" s="373"/>
      <c r="F382" s="373"/>
      <c r="G382" s="373"/>
      <c r="H382" s="373"/>
      <c r="I382" s="373"/>
      <c r="J382" s="373"/>
      <c r="K382" s="373"/>
      <c r="L382" s="373"/>
      <c r="M382" s="373"/>
      <c r="N382" s="373"/>
      <c r="O382" s="373"/>
      <c r="P382" s="373"/>
      <c r="Q382" s="373"/>
    </row>
    <row r="383" spans="1:17" ht="14.4">
      <c r="A383" s="369"/>
      <c r="B383" s="373"/>
      <c r="C383" s="373"/>
      <c r="D383" s="373"/>
      <c r="E383" s="373"/>
      <c r="F383" s="373"/>
      <c r="G383" s="373"/>
      <c r="H383" s="373"/>
      <c r="I383" s="373"/>
      <c r="J383" s="373"/>
      <c r="K383" s="373"/>
      <c r="L383" s="373"/>
      <c r="M383" s="373"/>
      <c r="N383" s="373"/>
      <c r="O383" s="373"/>
      <c r="P383" s="373"/>
      <c r="Q383" s="373"/>
    </row>
    <row r="384" spans="1:17" ht="14.4">
      <c r="A384" s="369"/>
      <c r="B384" s="373"/>
      <c r="C384" s="373"/>
      <c r="D384" s="373"/>
      <c r="E384" s="373"/>
      <c r="F384" s="373"/>
      <c r="G384" s="373"/>
      <c r="H384" s="373"/>
      <c r="I384" s="373"/>
      <c r="J384" s="373"/>
      <c r="K384" s="373"/>
      <c r="L384" s="373"/>
      <c r="M384" s="373"/>
      <c r="N384" s="373"/>
      <c r="O384" s="373"/>
      <c r="P384" s="373"/>
      <c r="Q384" s="373"/>
    </row>
    <row r="385" spans="1:17" ht="14.4">
      <c r="A385" s="369"/>
      <c r="B385" s="373"/>
      <c r="C385" s="373"/>
      <c r="D385" s="373"/>
      <c r="E385" s="373"/>
      <c r="F385" s="373"/>
      <c r="G385" s="373"/>
      <c r="H385" s="373"/>
      <c r="I385" s="373"/>
      <c r="J385" s="373"/>
      <c r="K385" s="373"/>
      <c r="L385" s="373"/>
      <c r="M385" s="373"/>
      <c r="N385" s="373"/>
      <c r="O385" s="373"/>
      <c r="P385" s="373"/>
      <c r="Q385" s="373"/>
    </row>
    <row r="386" spans="1:17" ht="14.4">
      <c r="A386" s="369"/>
      <c r="B386" s="373"/>
      <c r="C386" s="373"/>
      <c r="D386" s="373"/>
      <c r="E386" s="373"/>
      <c r="F386" s="373"/>
      <c r="G386" s="373"/>
      <c r="H386" s="373"/>
      <c r="I386" s="373"/>
      <c r="J386" s="373"/>
      <c r="K386" s="373"/>
      <c r="L386" s="373"/>
      <c r="M386" s="373"/>
      <c r="N386" s="373"/>
      <c r="O386" s="373"/>
      <c r="P386" s="373"/>
      <c r="Q386" s="373"/>
    </row>
    <row r="387" spans="1:17" ht="14.4">
      <c r="A387" s="369"/>
      <c r="B387" s="373"/>
      <c r="C387" s="373"/>
      <c r="D387" s="373"/>
      <c r="E387" s="373"/>
      <c r="F387" s="373"/>
      <c r="G387" s="373"/>
      <c r="H387" s="373"/>
      <c r="I387" s="373"/>
      <c r="J387" s="373"/>
      <c r="K387" s="373"/>
      <c r="L387" s="373"/>
      <c r="M387" s="373"/>
      <c r="N387" s="373"/>
      <c r="O387" s="373"/>
      <c r="P387" s="373"/>
      <c r="Q387" s="373"/>
    </row>
    <row r="388" spans="1:17" ht="14.4">
      <c r="A388" s="369"/>
      <c r="B388" s="373"/>
      <c r="C388" s="373"/>
      <c r="D388" s="373"/>
      <c r="E388" s="373"/>
      <c r="F388" s="373"/>
      <c r="G388" s="373"/>
      <c r="H388" s="373"/>
      <c r="I388" s="373"/>
      <c r="J388" s="373"/>
      <c r="K388" s="373"/>
      <c r="L388" s="373"/>
      <c r="M388" s="373"/>
      <c r="N388" s="373"/>
      <c r="O388" s="373"/>
      <c r="P388" s="373"/>
      <c r="Q388" s="373"/>
    </row>
    <row r="389" spans="1:17" ht="14.4">
      <c r="A389" s="369"/>
      <c r="B389" s="373"/>
      <c r="C389" s="373"/>
      <c r="D389" s="373"/>
      <c r="E389" s="373"/>
      <c r="F389" s="373"/>
      <c r="G389" s="373"/>
      <c r="H389" s="373"/>
      <c r="I389" s="373"/>
      <c r="J389" s="373"/>
      <c r="K389" s="373"/>
      <c r="L389" s="373"/>
      <c r="M389" s="373"/>
      <c r="N389" s="373"/>
      <c r="O389" s="373"/>
      <c r="P389" s="373"/>
      <c r="Q389" s="373"/>
    </row>
    <row r="390" spans="1:17" ht="14.4">
      <c r="A390" s="369"/>
      <c r="B390" s="373"/>
      <c r="C390" s="373"/>
      <c r="D390" s="373"/>
      <c r="E390" s="373"/>
      <c r="F390" s="373"/>
      <c r="G390" s="373"/>
      <c r="H390" s="373"/>
      <c r="I390" s="373"/>
      <c r="J390" s="373"/>
      <c r="K390" s="373"/>
      <c r="L390" s="373"/>
      <c r="M390" s="373"/>
      <c r="N390" s="373"/>
      <c r="O390" s="373"/>
      <c r="P390" s="373"/>
      <c r="Q390" s="373"/>
    </row>
    <row r="391" spans="1:17" ht="14.4">
      <c r="A391" s="369"/>
      <c r="B391" s="373"/>
      <c r="C391" s="373"/>
      <c r="D391" s="373"/>
      <c r="E391" s="373"/>
      <c r="F391" s="373"/>
      <c r="G391" s="373"/>
      <c r="H391" s="373"/>
      <c r="I391" s="373"/>
      <c r="J391" s="373"/>
      <c r="K391" s="373"/>
      <c r="L391" s="373"/>
      <c r="M391" s="373"/>
      <c r="N391" s="373"/>
      <c r="O391" s="373"/>
      <c r="P391" s="373"/>
      <c r="Q391" s="373"/>
    </row>
    <row r="392" spans="1:17" ht="14.4">
      <c r="A392" s="369"/>
      <c r="B392" s="373"/>
      <c r="C392" s="373"/>
      <c r="D392" s="373"/>
      <c r="E392" s="373"/>
      <c r="F392" s="373"/>
      <c r="G392" s="373"/>
      <c r="H392" s="373"/>
      <c r="I392" s="373"/>
      <c r="J392" s="373"/>
      <c r="K392" s="373"/>
      <c r="L392" s="373"/>
      <c r="M392" s="373"/>
      <c r="N392" s="373"/>
      <c r="O392" s="373"/>
      <c r="P392" s="373"/>
      <c r="Q392" s="373"/>
    </row>
    <row r="393" spans="1:17" ht="14.4">
      <c r="A393" s="369"/>
      <c r="B393" s="373"/>
      <c r="C393" s="373"/>
      <c r="D393" s="373"/>
      <c r="E393" s="373"/>
      <c r="F393" s="373"/>
      <c r="G393" s="373"/>
      <c r="H393" s="373"/>
      <c r="I393" s="373"/>
      <c r="J393" s="373"/>
      <c r="K393" s="373"/>
      <c r="L393" s="373"/>
      <c r="M393" s="373"/>
      <c r="N393" s="373"/>
      <c r="O393" s="373"/>
      <c r="P393" s="373"/>
      <c r="Q393" s="373"/>
    </row>
    <row r="394" spans="1:17" ht="14.4">
      <c r="A394" s="369"/>
      <c r="B394" s="373"/>
      <c r="C394" s="373"/>
      <c r="D394" s="373"/>
      <c r="E394" s="373"/>
      <c r="F394" s="373"/>
      <c r="G394" s="373"/>
      <c r="H394" s="373"/>
      <c r="I394" s="373"/>
      <c r="J394" s="373"/>
      <c r="K394" s="373"/>
      <c r="L394" s="373"/>
      <c r="M394" s="373"/>
      <c r="N394" s="373"/>
      <c r="O394" s="373"/>
      <c r="P394" s="373"/>
      <c r="Q394" s="373"/>
    </row>
    <row r="395" spans="1:17" ht="14.4">
      <c r="A395" s="369"/>
      <c r="B395" s="373"/>
      <c r="C395" s="373"/>
      <c r="D395" s="373"/>
      <c r="E395" s="373"/>
      <c r="F395" s="373"/>
      <c r="G395" s="373"/>
      <c r="H395" s="373"/>
      <c r="I395" s="373"/>
      <c r="J395" s="373"/>
      <c r="K395" s="373"/>
      <c r="L395" s="373"/>
      <c r="M395" s="373"/>
      <c r="N395" s="373"/>
      <c r="O395" s="373"/>
      <c r="P395" s="373"/>
      <c r="Q395" s="373"/>
    </row>
    <row r="396" spans="1:17" ht="14.4">
      <c r="A396" s="369"/>
      <c r="B396" s="373"/>
      <c r="C396" s="373"/>
      <c r="D396" s="373"/>
      <c r="E396" s="373"/>
      <c r="F396" s="373"/>
      <c r="G396" s="373"/>
      <c r="H396" s="373"/>
      <c r="I396" s="373"/>
      <c r="J396" s="373"/>
      <c r="K396" s="373"/>
      <c r="L396" s="373"/>
      <c r="M396" s="373"/>
      <c r="N396" s="373"/>
      <c r="O396" s="373"/>
      <c r="P396" s="373"/>
      <c r="Q396" s="373"/>
    </row>
    <row r="397" spans="1:17" ht="14.4">
      <c r="A397" s="369"/>
      <c r="B397" s="373"/>
      <c r="C397" s="373"/>
      <c r="D397" s="373"/>
      <c r="E397" s="373"/>
      <c r="F397" s="373"/>
      <c r="G397" s="373"/>
      <c r="H397" s="373"/>
      <c r="I397" s="373"/>
      <c r="J397" s="373"/>
      <c r="K397" s="373"/>
      <c r="L397" s="373"/>
      <c r="M397" s="373"/>
      <c r="N397" s="373"/>
      <c r="O397" s="373"/>
      <c r="P397" s="373"/>
      <c r="Q397" s="373"/>
    </row>
    <row r="398" spans="1:17" ht="14.4">
      <c r="A398" s="369"/>
      <c r="B398" s="373"/>
      <c r="C398" s="373"/>
      <c r="D398" s="373"/>
      <c r="E398" s="373"/>
      <c r="F398" s="373"/>
      <c r="G398" s="373"/>
      <c r="H398" s="373"/>
      <c r="I398" s="373"/>
      <c r="J398" s="373"/>
      <c r="K398" s="373"/>
      <c r="L398" s="373"/>
      <c r="M398" s="373"/>
      <c r="N398" s="373"/>
      <c r="O398" s="373"/>
      <c r="P398" s="373"/>
      <c r="Q398" s="373"/>
    </row>
    <row r="399" spans="1:17" ht="14.4">
      <c r="A399" s="369"/>
      <c r="B399" s="373"/>
      <c r="C399" s="373"/>
      <c r="D399" s="373"/>
      <c r="E399" s="373"/>
      <c r="F399" s="373"/>
      <c r="G399" s="373"/>
      <c r="H399" s="373"/>
      <c r="I399" s="373"/>
      <c r="J399" s="373"/>
      <c r="K399" s="373"/>
      <c r="L399" s="373"/>
      <c r="M399" s="373"/>
      <c r="N399" s="373"/>
      <c r="O399" s="373"/>
      <c r="P399" s="373"/>
      <c r="Q399" s="373"/>
    </row>
    <row r="400" spans="1:17" ht="14.4">
      <c r="A400" s="369"/>
      <c r="B400" s="373"/>
      <c r="C400" s="373"/>
      <c r="D400" s="373"/>
      <c r="E400" s="373"/>
      <c r="F400" s="373"/>
      <c r="G400" s="373"/>
      <c r="H400" s="373"/>
      <c r="I400" s="373"/>
      <c r="J400" s="373"/>
      <c r="K400" s="373"/>
      <c r="L400" s="373"/>
      <c r="M400" s="373"/>
      <c r="N400" s="373"/>
      <c r="O400" s="373"/>
      <c r="P400" s="373"/>
      <c r="Q400" s="373"/>
    </row>
    <row r="401" spans="1:17" ht="14.4">
      <c r="A401" s="369"/>
      <c r="B401" s="373"/>
      <c r="C401" s="373"/>
      <c r="D401" s="373"/>
      <c r="E401" s="373"/>
      <c r="F401" s="373"/>
      <c r="G401" s="373"/>
      <c r="H401" s="373"/>
      <c r="I401" s="373"/>
      <c r="J401" s="373"/>
      <c r="K401" s="373"/>
      <c r="L401" s="373"/>
      <c r="M401" s="373"/>
      <c r="N401" s="373"/>
      <c r="O401" s="373"/>
      <c r="P401" s="373"/>
      <c r="Q401" s="373"/>
    </row>
    <row r="402" spans="1:17" ht="14.4">
      <c r="A402" s="369"/>
      <c r="B402" s="373"/>
      <c r="C402" s="373"/>
      <c r="D402" s="373"/>
      <c r="E402" s="373"/>
      <c r="F402" s="373"/>
      <c r="G402" s="373"/>
      <c r="H402" s="373"/>
      <c r="I402" s="373"/>
      <c r="J402" s="373"/>
      <c r="K402" s="373"/>
      <c r="L402" s="373"/>
      <c r="M402" s="373"/>
      <c r="N402" s="373"/>
      <c r="O402" s="373"/>
      <c r="P402" s="373"/>
      <c r="Q402" s="373"/>
    </row>
    <row r="403" spans="1:17" ht="14.4">
      <c r="A403" s="369"/>
      <c r="B403" s="373"/>
      <c r="C403" s="373"/>
      <c r="D403" s="373"/>
      <c r="E403" s="373"/>
      <c r="F403" s="373"/>
      <c r="G403" s="373"/>
      <c r="H403" s="373"/>
      <c r="I403" s="373"/>
      <c r="J403" s="373"/>
      <c r="K403" s="373"/>
      <c r="L403" s="373"/>
      <c r="M403" s="373"/>
      <c r="N403" s="373"/>
      <c r="O403" s="373"/>
      <c r="P403" s="373"/>
      <c r="Q403" s="373"/>
    </row>
    <row r="404" spans="1:17" ht="14.4">
      <c r="A404" s="369"/>
      <c r="B404" s="373"/>
      <c r="C404" s="373"/>
      <c r="D404" s="373"/>
      <c r="E404" s="373"/>
      <c r="F404" s="373"/>
      <c r="G404" s="373"/>
      <c r="H404" s="373"/>
      <c r="I404" s="373"/>
      <c r="J404" s="373"/>
      <c r="K404" s="373"/>
      <c r="L404" s="373"/>
      <c r="M404" s="373"/>
      <c r="N404" s="373"/>
      <c r="O404" s="373"/>
      <c r="P404" s="373"/>
      <c r="Q404" s="373"/>
    </row>
    <row r="405" spans="1:17" ht="14.4">
      <c r="A405" s="369"/>
      <c r="B405" s="373"/>
      <c r="C405" s="373"/>
      <c r="D405" s="373"/>
      <c r="E405" s="373"/>
      <c r="F405" s="373"/>
      <c r="G405" s="373"/>
      <c r="H405" s="373"/>
      <c r="I405" s="373"/>
      <c r="J405" s="373"/>
      <c r="K405" s="373"/>
      <c r="L405" s="373"/>
      <c r="M405" s="373"/>
      <c r="N405" s="373"/>
      <c r="O405" s="373"/>
      <c r="P405" s="373"/>
      <c r="Q405" s="373"/>
    </row>
    <row r="406" spans="1:17" ht="14.4">
      <c r="A406" s="369"/>
      <c r="B406" s="373"/>
      <c r="C406" s="373"/>
      <c r="D406" s="373"/>
      <c r="E406" s="373"/>
      <c r="F406" s="373"/>
      <c r="G406" s="373"/>
      <c r="H406" s="373"/>
      <c r="I406" s="373"/>
      <c r="J406" s="373"/>
      <c r="K406" s="373"/>
      <c r="L406" s="373"/>
      <c r="M406" s="373"/>
      <c r="N406" s="373"/>
      <c r="O406" s="373"/>
      <c r="P406" s="373"/>
      <c r="Q406" s="373"/>
    </row>
    <row r="407" spans="1:17" ht="14.4">
      <c r="A407" s="369"/>
      <c r="B407" s="373"/>
      <c r="C407" s="373"/>
      <c r="D407" s="373"/>
      <c r="E407" s="373"/>
      <c r="F407" s="373"/>
      <c r="G407" s="373"/>
      <c r="H407" s="373"/>
      <c r="I407" s="373"/>
      <c r="J407" s="373"/>
      <c r="K407" s="373"/>
      <c r="L407" s="373"/>
      <c r="M407" s="373"/>
      <c r="N407" s="373"/>
      <c r="O407" s="373"/>
      <c r="P407" s="373"/>
      <c r="Q407" s="373"/>
    </row>
    <row r="408" spans="1:17" ht="14.4">
      <c r="A408" s="369"/>
      <c r="B408" s="373"/>
      <c r="C408" s="373"/>
      <c r="D408" s="373"/>
      <c r="E408" s="373"/>
      <c r="F408" s="373"/>
      <c r="G408" s="373"/>
      <c r="H408" s="373"/>
      <c r="I408" s="373"/>
      <c r="J408" s="373"/>
      <c r="K408" s="373"/>
      <c r="L408" s="373"/>
      <c r="M408" s="373"/>
      <c r="N408" s="373"/>
      <c r="O408" s="373"/>
      <c r="P408" s="373"/>
      <c r="Q408" s="373"/>
    </row>
    <row r="409" spans="1:17" ht="14.4">
      <c r="A409" s="369"/>
      <c r="B409" s="373"/>
      <c r="C409" s="373"/>
      <c r="D409" s="373"/>
      <c r="E409" s="373"/>
      <c r="F409" s="373"/>
      <c r="G409" s="373"/>
      <c r="H409" s="373"/>
      <c r="I409" s="373"/>
      <c r="J409" s="373"/>
      <c r="K409" s="373"/>
      <c r="L409" s="373"/>
      <c r="M409" s="373"/>
      <c r="N409" s="373"/>
      <c r="O409" s="373"/>
      <c r="P409" s="373"/>
      <c r="Q409" s="373"/>
    </row>
    <row r="410" spans="1:17" ht="14.4">
      <c r="A410" s="369"/>
      <c r="B410" s="373"/>
      <c r="C410" s="373"/>
      <c r="D410" s="373"/>
      <c r="E410" s="373"/>
      <c r="F410" s="373"/>
      <c r="G410" s="373"/>
      <c r="H410" s="373"/>
      <c r="I410" s="373"/>
      <c r="J410" s="373"/>
      <c r="K410" s="373"/>
      <c r="L410" s="373"/>
      <c r="M410" s="373"/>
      <c r="N410" s="373"/>
      <c r="O410" s="373"/>
      <c r="P410" s="373"/>
      <c r="Q410" s="373"/>
    </row>
    <row r="411" spans="1:17" ht="14.4">
      <c r="A411" s="369"/>
      <c r="B411" s="373"/>
      <c r="C411" s="373"/>
      <c r="D411" s="373"/>
      <c r="E411" s="373"/>
      <c r="F411" s="373"/>
      <c r="G411" s="373"/>
      <c r="H411" s="373"/>
      <c r="I411" s="373"/>
      <c r="J411" s="373"/>
      <c r="K411" s="373"/>
      <c r="L411" s="373"/>
      <c r="M411" s="373"/>
      <c r="N411" s="373"/>
      <c r="O411" s="373"/>
      <c r="P411" s="373"/>
      <c r="Q411" s="373"/>
    </row>
    <row r="412" spans="1:17" ht="14.4">
      <c r="A412" s="369"/>
      <c r="B412" s="373"/>
      <c r="C412" s="373"/>
      <c r="D412" s="373"/>
      <c r="E412" s="373"/>
      <c r="F412" s="373"/>
      <c r="G412" s="373"/>
      <c r="H412" s="373"/>
      <c r="I412" s="373"/>
      <c r="J412" s="373"/>
      <c r="K412" s="373"/>
      <c r="L412" s="373"/>
      <c r="M412" s="373"/>
      <c r="N412" s="373"/>
      <c r="O412" s="373"/>
      <c r="P412" s="373"/>
      <c r="Q412" s="373"/>
    </row>
    <row r="413" spans="1:17" ht="14.4">
      <c r="A413" s="369"/>
      <c r="B413" s="373"/>
      <c r="C413" s="373"/>
      <c r="D413" s="373"/>
      <c r="E413" s="373"/>
      <c r="F413" s="373"/>
      <c r="G413" s="373"/>
      <c r="H413" s="373"/>
      <c r="I413" s="373"/>
      <c r="J413" s="373"/>
      <c r="K413" s="373"/>
      <c r="L413" s="373"/>
      <c r="M413" s="373"/>
      <c r="N413" s="373"/>
      <c r="O413" s="373"/>
      <c r="P413" s="373"/>
      <c r="Q413" s="373"/>
    </row>
    <row r="414" spans="1:17" ht="14.4">
      <c r="A414" s="369"/>
      <c r="B414" s="373"/>
      <c r="C414" s="373"/>
      <c r="D414" s="373"/>
      <c r="E414" s="373"/>
      <c r="F414" s="373"/>
      <c r="G414" s="373"/>
      <c r="H414" s="373"/>
      <c r="I414" s="373"/>
      <c r="J414" s="373"/>
      <c r="K414" s="373"/>
      <c r="L414" s="373"/>
      <c r="M414" s="373"/>
      <c r="N414" s="373"/>
      <c r="O414" s="373"/>
      <c r="P414" s="373"/>
      <c r="Q414" s="373"/>
    </row>
    <row r="415" spans="1:17" ht="14.4">
      <c r="A415" s="369"/>
      <c r="B415" s="373"/>
      <c r="C415" s="373"/>
      <c r="D415" s="373"/>
      <c r="E415" s="373"/>
      <c r="F415" s="373"/>
      <c r="G415" s="373"/>
      <c r="H415" s="373"/>
      <c r="I415" s="373"/>
      <c r="J415" s="373"/>
      <c r="K415" s="373"/>
      <c r="L415" s="373"/>
      <c r="M415" s="373"/>
      <c r="N415" s="373"/>
      <c r="O415" s="373"/>
      <c r="P415" s="373"/>
      <c r="Q415" s="373"/>
    </row>
    <row r="416" spans="1:17" ht="14.4">
      <c r="A416" s="369"/>
      <c r="B416" s="373"/>
      <c r="C416" s="373"/>
      <c r="D416" s="373"/>
      <c r="E416" s="373"/>
      <c r="F416" s="373"/>
      <c r="G416" s="373"/>
      <c r="H416" s="373"/>
      <c r="I416" s="373"/>
      <c r="J416" s="373"/>
      <c r="K416" s="373"/>
      <c r="L416" s="373"/>
      <c r="M416" s="373"/>
      <c r="N416" s="373"/>
      <c r="O416" s="373"/>
      <c r="P416" s="373"/>
      <c r="Q416" s="373"/>
    </row>
    <row r="417" spans="1:17" ht="14.4">
      <c r="A417" s="369"/>
      <c r="B417" s="373"/>
      <c r="C417" s="373"/>
      <c r="D417" s="373"/>
      <c r="E417" s="373"/>
      <c r="F417" s="373"/>
      <c r="G417" s="373"/>
      <c r="H417" s="373"/>
      <c r="I417" s="373"/>
      <c r="J417" s="373"/>
      <c r="K417" s="373"/>
      <c r="L417" s="373"/>
      <c r="M417" s="373"/>
      <c r="N417" s="373"/>
      <c r="O417" s="373"/>
      <c r="P417" s="373"/>
      <c r="Q417" s="373"/>
    </row>
    <row r="418" spans="1:17" ht="14.4">
      <c r="A418" s="369"/>
      <c r="B418" s="373"/>
      <c r="C418" s="373"/>
      <c r="D418" s="373"/>
      <c r="E418" s="373"/>
      <c r="F418" s="373"/>
      <c r="G418" s="373"/>
      <c r="H418" s="373"/>
      <c r="I418" s="373"/>
      <c r="J418" s="373"/>
      <c r="K418" s="373"/>
      <c r="L418" s="373"/>
      <c r="M418" s="373"/>
      <c r="N418" s="373"/>
      <c r="O418" s="373"/>
      <c r="P418" s="373"/>
      <c r="Q418" s="373"/>
    </row>
    <row r="419" spans="1:17" ht="14.4">
      <c r="A419" s="369"/>
      <c r="B419" s="373"/>
      <c r="C419" s="373"/>
      <c r="D419" s="373"/>
      <c r="E419" s="373"/>
      <c r="F419" s="373"/>
      <c r="G419" s="373"/>
      <c r="H419" s="373"/>
      <c r="I419" s="373"/>
      <c r="J419" s="373"/>
      <c r="K419" s="373"/>
      <c r="L419" s="373"/>
      <c r="M419" s="373"/>
      <c r="N419" s="373"/>
      <c r="O419" s="373"/>
      <c r="P419" s="373"/>
      <c r="Q419" s="373"/>
    </row>
    <row r="420" spans="1:17" ht="14.4">
      <c r="A420" s="369"/>
      <c r="B420" s="373"/>
      <c r="C420" s="373"/>
      <c r="D420" s="373"/>
      <c r="E420" s="373"/>
      <c r="F420" s="373"/>
      <c r="G420" s="373"/>
      <c r="H420" s="373"/>
      <c r="I420" s="373"/>
      <c r="J420" s="373"/>
      <c r="K420" s="373"/>
      <c r="L420" s="373"/>
      <c r="M420" s="373"/>
      <c r="N420" s="373"/>
      <c r="O420" s="373"/>
      <c r="P420" s="373"/>
      <c r="Q420" s="373"/>
    </row>
    <row r="421" spans="1:17" ht="14.4">
      <c r="A421" s="369"/>
      <c r="B421" s="373"/>
      <c r="C421" s="373"/>
      <c r="D421" s="373"/>
      <c r="E421" s="373"/>
      <c r="F421" s="373"/>
      <c r="G421" s="373"/>
      <c r="H421" s="373"/>
      <c r="I421" s="373"/>
      <c r="J421" s="373"/>
      <c r="K421" s="373"/>
      <c r="L421" s="373"/>
      <c r="M421" s="373"/>
      <c r="N421" s="373"/>
      <c r="O421" s="373"/>
      <c r="P421" s="373"/>
      <c r="Q421" s="373"/>
    </row>
    <row r="422" spans="1:17" ht="14.4">
      <c r="A422" s="369"/>
      <c r="B422" s="373"/>
      <c r="C422" s="373"/>
      <c r="D422" s="373"/>
      <c r="E422" s="373"/>
      <c r="F422" s="373"/>
      <c r="G422" s="373"/>
      <c r="H422" s="373"/>
      <c r="I422" s="373"/>
      <c r="J422" s="373"/>
      <c r="K422" s="373"/>
      <c r="L422" s="373"/>
      <c r="M422" s="373"/>
      <c r="N422" s="373"/>
      <c r="O422" s="373"/>
      <c r="P422" s="373"/>
      <c r="Q422" s="373"/>
    </row>
    <row r="423" spans="1:17" ht="14.4">
      <c r="A423" s="369"/>
      <c r="B423" s="373"/>
      <c r="C423" s="373"/>
      <c r="D423" s="373"/>
      <c r="E423" s="373"/>
      <c r="F423" s="373"/>
      <c r="G423" s="373"/>
      <c r="H423" s="373"/>
      <c r="I423" s="373"/>
      <c r="J423" s="373"/>
      <c r="K423" s="373"/>
      <c r="L423" s="373"/>
      <c r="M423" s="373"/>
      <c r="N423" s="373"/>
      <c r="O423" s="373"/>
      <c r="P423" s="373"/>
      <c r="Q423" s="373"/>
    </row>
    <row r="424" spans="1:17" ht="14.4">
      <c r="A424" s="369"/>
      <c r="B424" s="373"/>
      <c r="C424" s="373"/>
      <c r="D424" s="373"/>
      <c r="E424" s="373"/>
      <c r="F424" s="373"/>
      <c r="G424" s="373"/>
      <c r="H424" s="373"/>
      <c r="I424" s="373"/>
      <c r="J424" s="373"/>
      <c r="K424" s="373"/>
      <c r="L424" s="373"/>
      <c r="M424" s="373"/>
      <c r="N424" s="373"/>
      <c r="O424" s="373"/>
      <c r="P424" s="373"/>
      <c r="Q424" s="373"/>
    </row>
    <row r="425" spans="1:17" ht="14.4">
      <c r="A425" s="369"/>
      <c r="B425" s="373"/>
      <c r="C425" s="373"/>
      <c r="D425" s="373"/>
      <c r="E425" s="373"/>
      <c r="F425" s="373"/>
      <c r="G425" s="373"/>
      <c r="H425" s="373"/>
      <c r="I425" s="373"/>
      <c r="J425" s="373"/>
      <c r="K425" s="373"/>
      <c r="L425" s="373"/>
      <c r="M425" s="373"/>
      <c r="N425" s="373"/>
      <c r="O425" s="373"/>
      <c r="P425" s="373"/>
      <c r="Q425" s="373"/>
    </row>
    <row r="426" spans="1:17" ht="14.4">
      <c r="A426" s="369"/>
      <c r="B426" s="373"/>
      <c r="C426" s="373"/>
      <c r="D426" s="373"/>
      <c r="E426" s="373"/>
      <c r="F426" s="373"/>
      <c r="G426" s="373"/>
      <c r="H426" s="373"/>
      <c r="I426" s="373"/>
      <c r="J426" s="373"/>
      <c r="K426" s="373"/>
      <c r="L426" s="373"/>
      <c r="M426" s="373"/>
      <c r="N426" s="373"/>
      <c r="O426" s="373"/>
      <c r="P426" s="373"/>
      <c r="Q426" s="373"/>
    </row>
    <row r="427" spans="1:17" ht="14.4">
      <c r="A427" s="369"/>
      <c r="B427" s="373"/>
      <c r="C427" s="373"/>
      <c r="D427" s="373"/>
      <c r="E427" s="373"/>
      <c r="F427" s="373"/>
      <c r="G427" s="373"/>
      <c r="H427" s="373"/>
      <c r="I427" s="373"/>
      <c r="J427" s="373"/>
      <c r="K427" s="373"/>
      <c r="L427" s="373"/>
      <c r="M427" s="373"/>
      <c r="N427" s="373"/>
      <c r="O427" s="373"/>
      <c r="P427" s="373"/>
      <c r="Q427" s="373"/>
    </row>
    <row r="428" spans="1:17" ht="14.4">
      <c r="A428" s="369"/>
      <c r="B428" s="373"/>
      <c r="C428" s="373"/>
      <c r="D428" s="373"/>
      <c r="E428" s="373"/>
      <c r="F428" s="373"/>
      <c r="G428" s="373"/>
      <c r="H428" s="373"/>
      <c r="I428" s="373"/>
      <c r="J428" s="373"/>
      <c r="K428" s="373"/>
      <c r="L428" s="373"/>
      <c r="M428" s="373"/>
      <c r="N428" s="373"/>
      <c r="O428" s="373"/>
      <c r="P428" s="373"/>
      <c r="Q428" s="373"/>
    </row>
    <row r="429" spans="1:17" ht="14.4">
      <c r="A429" s="369"/>
      <c r="B429" s="373"/>
      <c r="C429" s="373"/>
      <c r="D429" s="373"/>
      <c r="E429" s="373"/>
      <c r="F429" s="373"/>
      <c r="G429" s="373"/>
      <c r="H429" s="373"/>
      <c r="I429" s="373"/>
      <c r="J429" s="373"/>
      <c r="K429" s="373"/>
      <c r="L429" s="373"/>
      <c r="M429" s="373"/>
      <c r="N429" s="373"/>
      <c r="O429" s="373"/>
      <c r="P429" s="373"/>
      <c r="Q429" s="373"/>
    </row>
    <row r="430" spans="1:17" ht="14.4">
      <c r="A430" s="369"/>
      <c r="B430" s="373"/>
      <c r="C430" s="373"/>
      <c r="D430" s="373"/>
      <c r="E430" s="373"/>
      <c r="F430" s="373"/>
      <c r="G430" s="373"/>
      <c r="H430" s="373"/>
      <c r="I430" s="373"/>
      <c r="J430" s="373"/>
      <c r="K430" s="373"/>
      <c r="L430" s="373"/>
      <c r="M430" s="373"/>
      <c r="N430" s="373"/>
      <c r="O430" s="373"/>
      <c r="P430" s="373"/>
      <c r="Q430" s="373"/>
    </row>
    <row r="431" spans="1:17" ht="14.4">
      <c r="A431" s="369"/>
      <c r="B431" s="373"/>
      <c r="C431" s="373"/>
      <c r="D431" s="373"/>
      <c r="E431" s="373"/>
      <c r="F431" s="373"/>
      <c r="G431" s="373"/>
      <c r="H431" s="373"/>
      <c r="I431" s="373"/>
      <c r="J431" s="373"/>
      <c r="K431" s="373"/>
      <c r="L431" s="373"/>
      <c r="M431" s="373"/>
      <c r="N431" s="373"/>
      <c r="O431" s="373"/>
      <c r="P431" s="373"/>
      <c r="Q431" s="373"/>
    </row>
    <row r="432" spans="1:17" ht="14.4">
      <c r="A432" s="369"/>
      <c r="B432" s="373"/>
      <c r="C432" s="373"/>
      <c r="D432" s="373"/>
      <c r="E432" s="373"/>
      <c r="F432" s="373"/>
      <c r="G432" s="373"/>
      <c r="H432" s="373"/>
      <c r="I432" s="373"/>
      <c r="J432" s="373"/>
      <c r="K432" s="373"/>
      <c r="L432" s="373"/>
      <c r="M432" s="373"/>
      <c r="N432" s="373"/>
      <c r="O432" s="373"/>
      <c r="P432" s="373"/>
      <c r="Q432" s="373"/>
    </row>
    <row r="433" spans="1:17" ht="14.4">
      <c r="A433" s="369"/>
      <c r="B433" s="373"/>
      <c r="C433" s="373"/>
      <c r="D433" s="373"/>
      <c r="E433" s="373"/>
      <c r="F433" s="373"/>
      <c r="G433" s="373"/>
      <c r="H433" s="373"/>
      <c r="I433" s="373"/>
      <c r="J433" s="373"/>
      <c r="K433" s="373"/>
      <c r="L433" s="373"/>
      <c r="M433" s="373"/>
      <c r="N433" s="373"/>
      <c r="O433" s="373"/>
      <c r="P433" s="373"/>
      <c r="Q433" s="373"/>
    </row>
    <row r="434" spans="1:17" ht="14.4">
      <c r="A434" s="369"/>
      <c r="B434" s="373"/>
      <c r="C434" s="373"/>
      <c r="D434" s="373"/>
      <c r="E434" s="373"/>
      <c r="F434" s="373"/>
      <c r="G434" s="373"/>
      <c r="H434" s="373"/>
      <c r="I434" s="373"/>
      <c r="J434" s="373"/>
      <c r="K434" s="373"/>
      <c r="L434" s="373"/>
      <c r="M434" s="373"/>
      <c r="N434" s="373"/>
      <c r="O434" s="373"/>
      <c r="P434" s="373"/>
      <c r="Q434" s="373"/>
    </row>
    <row r="435" spans="1:17" ht="14.4">
      <c r="A435" s="369"/>
      <c r="B435" s="373"/>
      <c r="C435" s="373"/>
      <c r="D435" s="373"/>
      <c r="E435" s="373"/>
      <c r="F435" s="373"/>
      <c r="G435" s="373"/>
      <c r="H435" s="373"/>
      <c r="I435" s="373"/>
      <c r="J435" s="373"/>
      <c r="K435" s="373"/>
      <c r="L435" s="373"/>
      <c r="M435" s="373"/>
      <c r="N435" s="373"/>
      <c r="O435" s="373"/>
      <c r="P435" s="373"/>
      <c r="Q435" s="373"/>
    </row>
    <row r="436" spans="1:17" ht="14.4">
      <c r="A436" s="369"/>
      <c r="B436" s="373"/>
      <c r="C436" s="373"/>
      <c r="D436" s="373"/>
      <c r="E436" s="373"/>
      <c r="F436" s="373"/>
      <c r="G436" s="373"/>
      <c r="H436" s="373"/>
      <c r="I436" s="373"/>
      <c r="J436" s="373"/>
      <c r="K436" s="373"/>
      <c r="L436" s="373"/>
      <c r="M436" s="373"/>
      <c r="N436" s="373"/>
      <c r="O436" s="373"/>
      <c r="P436" s="373"/>
      <c r="Q436" s="373"/>
    </row>
    <row r="437" spans="1:17" ht="14.4">
      <c r="A437" s="369"/>
      <c r="B437" s="373"/>
      <c r="C437" s="373"/>
      <c r="D437" s="373"/>
      <c r="E437" s="373"/>
      <c r="F437" s="373"/>
      <c r="G437" s="373"/>
      <c r="H437" s="373"/>
      <c r="I437" s="373"/>
      <c r="J437" s="373"/>
      <c r="K437" s="373"/>
      <c r="L437" s="373"/>
      <c r="M437" s="373"/>
      <c r="N437" s="373"/>
      <c r="O437" s="373"/>
      <c r="P437" s="373"/>
      <c r="Q437" s="373"/>
    </row>
    <row r="438" spans="1:17" ht="14.4">
      <c r="A438" s="369"/>
      <c r="B438" s="373"/>
      <c r="C438" s="373"/>
      <c r="D438" s="373"/>
      <c r="E438" s="373"/>
      <c r="F438" s="373"/>
      <c r="G438" s="373"/>
      <c r="H438" s="373"/>
      <c r="I438" s="373"/>
      <c r="J438" s="373"/>
      <c r="K438" s="373"/>
      <c r="L438" s="373"/>
      <c r="M438" s="373"/>
      <c r="N438" s="373"/>
      <c r="O438" s="373"/>
      <c r="P438" s="373"/>
      <c r="Q438" s="373"/>
    </row>
    <row r="439" spans="1:17" ht="14.4">
      <c r="A439" s="369"/>
      <c r="B439" s="373"/>
      <c r="C439" s="373"/>
      <c r="D439" s="373"/>
      <c r="E439" s="373"/>
      <c r="F439" s="373"/>
      <c r="G439" s="373"/>
      <c r="H439" s="373"/>
      <c r="I439" s="373"/>
      <c r="J439" s="373"/>
      <c r="K439" s="373"/>
      <c r="L439" s="373"/>
      <c r="M439" s="373"/>
      <c r="N439" s="373"/>
      <c r="O439" s="373"/>
      <c r="P439" s="373"/>
      <c r="Q439" s="373"/>
    </row>
    <row r="440" spans="1:17" ht="14.4">
      <c r="A440" s="369"/>
      <c r="B440" s="373"/>
      <c r="C440" s="373"/>
      <c r="D440" s="373"/>
      <c r="E440" s="373"/>
      <c r="F440" s="373"/>
      <c r="G440" s="373"/>
      <c r="H440" s="373"/>
      <c r="I440" s="373"/>
      <c r="J440" s="373"/>
      <c r="K440" s="373"/>
      <c r="L440" s="373"/>
      <c r="M440" s="373"/>
      <c r="N440" s="373"/>
      <c r="O440" s="373"/>
      <c r="P440" s="373"/>
      <c r="Q440" s="373"/>
    </row>
    <row r="441" spans="1:17" ht="14.4">
      <c r="A441" s="369"/>
      <c r="B441" s="373"/>
      <c r="C441" s="373"/>
      <c r="D441" s="373"/>
      <c r="E441" s="373"/>
      <c r="F441" s="373"/>
      <c r="G441" s="373"/>
      <c r="H441" s="373"/>
      <c r="I441" s="373"/>
      <c r="J441" s="373"/>
      <c r="K441" s="373"/>
      <c r="L441" s="373"/>
      <c r="M441" s="373"/>
      <c r="N441" s="373"/>
      <c r="O441" s="373"/>
      <c r="P441" s="373"/>
      <c r="Q441" s="373"/>
    </row>
    <row r="442" spans="1:17" ht="14.4">
      <c r="A442" s="369"/>
      <c r="B442" s="373"/>
      <c r="C442" s="373"/>
      <c r="D442" s="373"/>
      <c r="E442" s="373"/>
      <c r="F442" s="373"/>
      <c r="G442" s="373"/>
      <c r="H442" s="373"/>
      <c r="I442" s="373"/>
      <c r="J442" s="373"/>
      <c r="K442" s="373"/>
      <c r="L442" s="373"/>
      <c r="M442" s="373"/>
      <c r="N442" s="373"/>
      <c r="O442" s="373"/>
      <c r="P442" s="373"/>
      <c r="Q442" s="373"/>
    </row>
    <row r="443" spans="1:17" ht="14.4">
      <c r="A443" s="369"/>
      <c r="B443" s="373"/>
      <c r="C443" s="373"/>
      <c r="D443" s="373"/>
      <c r="E443" s="373"/>
      <c r="F443" s="373"/>
      <c r="G443" s="373"/>
      <c r="H443" s="373"/>
      <c r="I443" s="373"/>
      <c r="J443" s="373"/>
      <c r="K443" s="373"/>
      <c r="L443" s="373"/>
      <c r="M443" s="373"/>
      <c r="N443" s="373"/>
      <c r="O443" s="373"/>
      <c r="P443" s="373"/>
      <c r="Q443" s="373"/>
    </row>
    <row r="444" spans="1:17" ht="14.4">
      <c r="A444" s="369"/>
      <c r="B444" s="373"/>
      <c r="C444" s="373"/>
      <c r="D444" s="373"/>
      <c r="E444" s="373"/>
      <c r="F444" s="373"/>
      <c r="G444" s="373"/>
      <c r="H444" s="373"/>
      <c r="I444" s="373"/>
      <c r="J444" s="373"/>
      <c r="K444" s="373"/>
      <c r="L444" s="373"/>
      <c r="M444" s="373"/>
      <c r="N444" s="373"/>
      <c r="O444" s="373"/>
      <c r="P444" s="373"/>
      <c r="Q444" s="373"/>
    </row>
    <row r="445" spans="1:17" ht="14.4">
      <c r="A445" s="369"/>
      <c r="B445" s="373"/>
      <c r="C445" s="373"/>
      <c r="D445" s="373"/>
      <c r="E445" s="373"/>
      <c r="F445" s="373"/>
      <c r="G445" s="373"/>
      <c r="H445" s="373"/>
      <c r="I445" s="373"/>
      <c r="J445" s="373"/>
      <c r="K445" s="373"/>
      <c r="L445" s="373"/>
      <c r="M445" s="373"/>
      <c r="N445" s="373"/>
      <c r="O445" s="373"/>
      <c r="P445" s="373"/>
      <c r="Q445" s="373"/>
    </row>
    <row r="446" spans="1:17" ht="14.4">
      <c r="A446" s="369"/>
      <c r="B446" s="373"/>
      <c r="C446" s="373"/>
      <c r="D446" s="373"/>
      <c r="E446" s="373"/>
      <c r="F446" s="373"/>
      <c r="G446" s="373"/>
      <c r="H446" s="373"/>
      <c r="I446" s="373"/>
      <c r="J446" s="373"/>
      <c r="K446" s="373"/>
      <c r="L446" s="373"/>
      <c r="M446" s="373"/>
      <c r="N446" s="373"/>
      <c r="O446" s="373"/>
      <c r="P446" s="373"/>
      <c r="Q446" s="373"/>
    </row>
    <row r="447" spans="1:17" ht="14.4">
      <c r="A447" s="369"/>
      <c r="B447" s="373"/>
      <c r="C447" s="373"/>
      <c r="D447" s="373"/>
      <c r="E447" s="373"/>
      <c r="F447" s="373"/>
      <c r="G447" s="373"/>
      <c r="H447" s="373"/>
      <c r="I447" s="373"/>
      <c r="J447" s="373"/>
      <c r="K447" s="373"/>
      <c r="L447" s="373"/>
      <c r="M447" s="373"/>
      <c r="N447" s="373"/>
      <c r="O447" s="373"/>
      <c r="P447" s="373"/>
      <c r="Q447" s="373"/>
    </row>
    <row r="448" spans="1:17" ht="14.4">
      <c r="A448" s="369"/>
      <c r="B448" s="373"/>
      <c r="C448" s="373"/>
      <c r="D448" s="373"/>
      <c r="E448" s="373"/>
      <c r="F448" s="373"/>
      <c r="G448" s="373"/>
      <c r="H448" s="373"/>
      <c r="I448" s="373"/>
      <c r="J448" s="373"/>
      <c r="K448" s="373"/>
      <c r="L448" s="373"/>
      <c r="M448" s="373"/>
      <c r="N448" s="373"/>
      <c r="O448" s="373"/>
      <c r="P448" s="373"/>
      <c r="Q448" s="373"/>
    </row>
    <row r="449" spans="1:17" ht="14.4">
      <c r="A449" s="369"/>
      <c r="B449" s="373"/>
      <c r="C449" s="373"/>
      <c r="D449" s="373"/>
      <c r="E449" s="373"/>
      <c r="F449" s="373"/>
      <c r="G449" s="373"/>
      <c r="H449" s="373"/>
      <c r="I449" s="373"/>
      <c r="J449" s="373"/>
      <c r="K449" s="373"/>
      <c r="L449" s="373"/>
      <c r="M449" s="373"/>
      <c r="N449" s="373"/>
      <c r="O449" s="373"/>
      <c r="P449" s="373"/>
      <c r="Q449" s="373"/>
    </row>
    <row r="450" spans="1:17" ht="14.4">
      <c r="A450" s="369"/>
      <c r="B450" s="373"/>
      <c r="C450" s="373"/>
      <c r="D450" s="373"/>
      <c r="E450" s="373"/>
      <c r="F450" s="373"/>
      <c r="G450" s="373"/>
      <c r="H450" s="373"/>
      <c r="I450" s="373"/>
      <c r="J450" s="373"/>
      <c r="K450" s="373"/>
      <c r="L450" s="373"/>
      <c r="M450" s="373"/>
      <c r="N450" s="373"/>
      <c r="O450" s="373"/>
      <c r="P450" s="373"/>
      <c r="Q450" s="373"/>
    </row>
    <row r="451" spans="1:17" ht="14.4">
      <c r="A451" s="369"/>
      <c r="B451" s="373"/>
      <c r="C451" s="373"/>
      <c r="D451" s="373"/>
      <c r="E451" s="373"/>
      <c r="F451" s="373"/>
      <c r="G451" s="373"/>
      <c r="H451" s="373"/>
      <c r="I451" s="373"/>
      <c r="J451" s="373"/>
      <c r="K451" s="373"/>
      <c r="L451" s="373"/>
      <c r="M451" s="373"/>
      <c r="N451" s="373"/>
      <c r="O451" s="373"/>
      <c r="P451" s="373"/>
      <c r="Q451" s="373"/>
    </row>
    <row r="452" spans="1:17" ht="14.4">
      <c r="A452" s="369"/>
      <c r="B452" s="373"/>
      <c r="C452" s="373"/>
      <c r="D452" s="373"/>
      <c r="E452" s="373"/>
      <c r="F452" s="373"/>
      <c r="G452" s="373"/>
      <c r="H452" s="373"/>
      <c r="I452" s="373"/>
      <c r="J452" s="373"/>
      <c r="K452" s="373"/>
      <c r="L452" s="373"/>
      <c r="M452" s="373"/>
      <c r="N452" s="373"/>
      <c r="O452" s="373"/>
      <c r="P452" s="373"/>
      <c r="Q452" s="373"/>
    </row>
    <row r="453" spans="1:17" ht="14.4">
      <c r="A453" s="369"/>
      <c r="B453" s="373"/>
      <c r="C453" s="373"/>
      <c r="D453" s="373"/>
      <c r="E453" s="373"/>
      <c r="F453" s="373"/>
      <c r="G453" s="373"/>
      <c r="H453" s="373"/>
      <c r="I453" s="373"/>
      <c r="J453" s="373"/>
      <c r="K453" s="373"/>
      <c r="L453" s="373"/>
      <c r="M453" s="373"/>
      <c r="N453" s="373"/>
      <c r="O453" s="373"/>
      <c r="P453" s="373"/>
      <c r="Q453" s="373"/>
    </row>
    <row r="454" spans="1:17" ht="14.4">
      <c r="A454" s="369"/>
      <c r="B454" s="373"/>
      <c r="C454" s="373"/>
      <c r="D454" s="373"/>
      <c r="E454" s="373"/>
      <c r="F454" s="373"/>
      <c r="G454" s="373"/>
      <c r="H454" s="373"/>
      <c r="I454" s="373"/>
      <c r="J454" s="373"/>
      <c r="K454" s="373"/>
      <c r="L454" s="373"/>
      <c r="M454" s="373"/>
      <c r="N454" s="373"/>
      <c r="O454" s="373"/>
      <c r="P454" s="373"/>
      <c r="Q454" s="373"/>
    </row>
    <row r="455" spans="1:17" ht="14.4">
      <c r="A455" s="369"/>
      <c r="B455" s="373"/>
      <c r="C455" s="373"/>
      <c r="D455" s="373"/>
      <c r="E455" s="373"/>
      <c r="F455" s="373"/>
      <c r="G455" s="373"/>
      <c r="H455" s="373"/>
      <c r="I455" s="373"/>
      <c r="J455" s="373"/>
      <c r="K455" s="373"/>
      <c r="L455" s="373"/>
      <c r="M455" s="373"/>
      <c r="N455" s="373"/>
      <c r="O455" s="373"/>
      <c r="P455" s="373"/>
      <c r="Q455" s="373"/>
    </row>
    <row r="456" spans="1:17" ht="14.4">
      <c r="A456" s="369"/>
      <c r="B456" s="373"/>
      <c r="C456" s="373"/>
      <c r="D456" s="373"/>
      <c r="E456" s="373"/>
      <c r="F456" s="373"/>
      <c r="G456" s="373"/>
      <c r="H456" s="373"/>
      <c r="I456" s="373"/>
      <c r="J456" s="373"/>
      <c r="K456" s="373"/>
      <c r="L456" s="373"/>
      <c r="M456" s="373"/>
      <c r="N456" s="373"/>
      <c r="O456" s="373"/>
      <c r="P456" s="373"/>
      <c r="Q456" s="373"/>
    </row>
    <row r="457" spans="1:17" ht="14.4">
      <c r="A457" s="369"/>
      <c r="B457" s="373"/>
      <c r="C457" s="373"/>
      <c r="D457" s="373"/>
      <c r="E457" s="373"/>
      <c r="F457" s="373"/>
      <c r="G457" s="373"/>
      <c r="H457" s="373"/>
      <c r="I457" s="373"/>
      <c r="J457" s="373"/>
      <c r="K457" s="373"/>
      <c r="L457" s="373"/>
      <c r="M457" s="373"/>
      <c r="N457" s="373"/>
      <c r="O457" s="373"/>
      <c r="P457" s="373"/>
      <c r="Q457" s="373"/>
    </row>
    <row r="458" spans="1:17" ht="14.4">
      <c r="A458" s="369"/>
      <c r="B458" s="373"/>
      <c r="C458" s="373"/>
      <c r="D458" s="373"/>
      <c r="E458" s="373"/>
      <c r="F458" s="373"/>
      <c r="G458" s="373"/>
      <c r="H458" s="373"/>
      <c r="I458" s="373"/>
      <c r="J458" s="373"/>
      <c r="K458" s="373"/>
      <c r="L458" s="373"/>
      <c r="M458" s="373"/>
      <c r="N458" s="373"/>
      <c r="O458" s="373"/>
      <c r="P458" s="373"/>
      <c r="Q458" s="373"/>
    </row>
    <row r="459" spans="1:17" ht="14.4">
      <c r="A459" s="369"/>
      <c r="B459" s="373"/>
      <c r="C459" s="373"/>
      <c r="D459" s="373"/>
      <c r="E459" s="373"/>
      <c r="F459" s="373"/>
      <c r="G459" s="373"/>
      <c r="H459" s="373"/>
      <c r="I459" s="373"/>
      <c r="J459" s="373"/>
      <c r="K459" s="373"/>
      <c r="L459" s="373"/>
      <c r="M459" s="373"/>
      <c r="N459" s="373"/>
      <c r="O459" s="373"/>
      <c r="P459" s="373"/>
      <c r="Q459" s="373"/>
    </row>
    <row r="460" spans="1:17" ht="14.4">
      <c r="A460" s="369"/>
      <c r="B460" s="373"/>
      <c r="C460" s="373"/>
      <c r="D460" s="373"/>
      <c r="E460" s="373"/>
      <c r="F460" s="373"/>
      <c r="G460" s="373"/>
      <c r="H460" s="373"/>
      <c r="I460" s="373"/>
      <c r="J460" s="373"/>
      <c r="K460" s="373"/>
      <c r="L460" s="373"/>
      <c r="M460" s="373"/>
      <c r="N460" s="373"/>
      <c r="O460" s="373"/>
      <c r="P460" s="373"/>
      <c r="Q460" s="373"/>
    </row>
    <row r="461" spans="1:17" ht="14.4">
      <c r="A461" s="369"/>
      <c r="B461" s="373"/>
      <c r="C461" s="373"/>
      <c r="D461" s="373"/>
      <c r="E461" s="373"/>
      <c r="F461" s="373"/>
      <c r="G461" s="373"/>
      <c r="H461" s="373"/>
      <c r="I461" s="373"/>
      <c r="J461" s="373"/>
      <c r="K461" s="373"/>
      <c r="L461" s="373"/>
      <c r="M461" s="373"/>
      <c r="N461" s="373"/>
      <c r="O461" s="373"/>
      <c r="P461" s="373"/>
      <c r="Q461" s="373"/>
    </row>
    <row r="462" spans="1:17" ht="14.4">
      <c r="A462" s="369"/>
      <c r="B462" s="373"/>
      <c r="C462" s="373"/>
      <c r="D462" s="373"/>
      <c r="E462" s="373"/>
      <c r="F462" s="373"/>
      <c r="G462" s="373"/>
      <c r="H462" s="373"/>
      <c r="I462" s="373"/>
      <c r="J462" s="373"/>
      <c r="K462" s="373"/>
      <c r="L462" s="373"/>
      <c r="M462" s="373"/>
      <c r="N462" s="373"/>
      <c r="O462" s="373"/>
      <c r="P462" s="373"/>
      <c r="Q462" s="373"/>
    </row>
    <row r="463" spans="1:17" ht="14.4">
      <c r="A463" s="369"/>
      <c r="B463" s="373"/>
      <c r="C463" s="373"/>
      <c r="D463" s="373"/>
      <c r="E463" s="373"/>
      <c r="F463" s="373"/>
      <c r="G463" s="373"/>
      <c r="H463" s="373"/>
      <c r="I463" s="373"/>
      <c r="J463" s="373"/>
      <c r="K463" s="373"/>
      <c r="L463" s="373"/>
      <c r="M463" s="373"/>
      <c r="N463" s="373"/>
      <c r="O463" s="373"/>
      <c r="P463" s="373"/>
      <c r="Q463" s="373"/>
    </row>
    <row r="464" spans="1:17" ht="14.4">
      <c r="A464" s="369"/>
      <c r="B464" s="373"/>
      <c r="C464" s="373"/>
      <c r="D464" s="373"/>
      <c r="E464" s="373"/>
      <c r="F464" s="373"/>
      <c r="G464" s="373"/>
      <c r="H464" s="373"/>
      <c r="I464" s="373"/>
      <c r="J464" s="373"/>
      <c r="K464" s="373"/>
      <c r="L464" s="373"/>
      <c r="M464" s="373"/>
      <c r="N464" s="373"/>
      <c r="O464" s="373"/>
      <c r="P464" s="373"/>
      <c r="Q464" s="373"/>
    </row>
    <row r="465" spans="1:17" ht="14.4">
      <c r="A465" s="369"/>
      <c r="B465" s="373"/>
      <c r="C465" s="373"/>
      <c r="D465" s="373"/>
      <c r="E465" s="373"/>
      <c r="F465" s="373"/>
      <c r="G465" s="373"/>
      <c r="H465" s="373"/>
      <c r="I465" s="373"/>
      <c r="J465" s="373"/>
      <c r="K465" s="373"/>
      <c r="L465" s="373"/>
      <c r="M465" s="373"/>
      <c r="N465" s="373"/>
      <c r="O465" s="373"/>
      <c r="P465" s="373"/>
      <c r="Q465" s="373"/>
    </row>
    <row r="466" spans="1:17" ht="14.4">
      <c r="A466" s="369"/>
      <c r="B466" s="373"/>
      <c r="C466" s="373"/>
      <c r="D466" s="373"/>
      <c r="E466" s="373"/>
      <c r="F466" s="373"/>
      <c r="G466" s="373"/>
      <c r="H466" s="373"/>
      <c r="I466" s="373"/>
      <c r="J466" s="373"/>
      <c r="K466" s="373"/>
      <c r="L466" s="373"/>
      <c r="M466" s="373"/>
      <c r="N466" s="373"/>
      <c r="O466" s="373"/>
      <c r="P466" s="373"/>
      <c r="Q466" s="373"/>
    </row>
    <row r="467" spans="1:17" ht="14.4">
      <c r="A467" s="369"/>
      <c r="B467" s="373"/>
      <c r="C467" s="373"/>
      <c r="D467" s="373"/>
      <c r="E467" s="373"/>
      <c r="F467" s="373"/>
      <c r="G467" s="373"/>
      <c r="H467" s="373"/>
      <c r="I467" s="373"/>
      <c r="J467" s="373"/>
      <c r="K467" s="373"/>
      <c r="L467" s="373"/>
      <c r="M467" s="373"/>
      <c r="N467" s="373"/>
      <c r="O467" s="373"/>
      <c r="P467" s="373"/>
      <c r="Q467" s="373"/>
    </row>
    <row r="468" spans="1:17" ht="14.4">
      <c r="A468" s="369"/>
      <c r="B468" s="373"/>
      <c r="C468" s="373"/>
      <c r="D468" s="373"/>
      <c r="E468" s="373"/>
      <c r="F468" s="373"/>
      <c r="G468" s="373"/>
      <c r="H468" s="373"/>
      <c r="I468" s="373"/>
      <c r="J468" s="373"/>
      <c r="K468" s="373"/>
      <c r="L468" s="373"/>
      <c r="M468" s="373"/>
      <c r="N468" s="373"/>
      <c r="O468" s="373"/>
      <c r="P468" s="373"/>
      <c r="Q468" s="373"/>
    </row>
    <row r="469" spans="1:17" ht="14.4">
      <c r="A469" s="369"/>
      <c r="B469" s="373"/>
      <c r="C469" s="373"/>
      <c r="D469" s="373"/>
      <c r="E469" s="373"/>
      <c r="F469" s="373"/>
      <c r="G469" s="373"/>
      <c r="H469" s="373"/>
      <c r="I469" s="373"/>
      <c r="J469" s="373"/>
      <c r="K469" s="373"/>
      <c r="L469" s="373"/>
      <c r="M469" s="373"/>
      <c r="N469" s="373"/>
      <c r="O469" s="373"/>
      <c r="P469" s="373"/>
      <c r="Q469" s="373"/>
    </row>
    <row r="470" spans="1:17" ht="14.4">
      <c r="A470" s="369"/>
      <c r="B470" s="373"/>
      <c r="C470" s="373"/>
      <c r="D470" s="373"/>
      <c r="E470" s="373"/>
      <c r="F470" s="373"/>
      <c r="G470" s="373"/>
      <c r="H470" s="373"/>
      <c r="I470" s="373"/>
      <c r="J470" s="373"/>
      <c r="K470" s="373"/>
      <c r="L470" s="373"/>
      <c r="M470" s="373"/>
      <c r="N470" s="373"/>
      <c r="O470" s="373"/>
      <c r="P470" s="373"/>
      <c r="Q470" s="373"/>
    </row>
    <row r="471" spans="1:17" ht="14.4">
      <c r="A471" s="369"/>
      <c r="B471" s="373"/>
      <c r="C471" s="373"/>
      <c r="D471" s="373"/>
      <c r="E471" s="373"/>
      <c r="F471" s="373"/>
      <c r="G471" s="373"/>
      <c r="H471" s="373"/>
      <c r="I471" s="373"/>
      <c r="J471" s="373"/>
      <c r="K471" s="373"/>
      <c r="L471" s="373"/>
      <c r="M471" s="373"/>
      <c r="N471" s="373"/>
      <c r="O471" s="373"/>
      <c r="P471" s="373"/>
      <c r="Q471" s="373"/>
    </row>
    <row r="472" spans="1:17" ht="14.4">
      <c r="A472" s="369"/>
      <c r="B472" s="373"/>
      <c r="C472" s="373"/>
      <c r="D472" s="373"/>
      <c r="E472" s="373"/>
      <c r="F472" s="373"/>
      <c r="G472" s="373"/>
      <c r="H472" s="373"/>
      <c r="I472" s="373"/>
      <c r="J472" s="373"/>
      <c r="K472" s="373"/>
      <c r="L472" s="373"/>
      <c r="M472" s="373"/>
      <c r="N472" s="373"/>
      <c r="O472" s="373"/>
      <c r="P472" s="373"/>
      <c r="Q472" s="373"/>
    </row>
    <row r="473" spans="1:17" ht="14.4">
      <c r="A473" s="369"/>
      <c r="B473" s="373"/>
      <c r="C473" s="373"/>
      <c r="D473" s="373"/>
      <c r="E473" s="373"/>
      <c r="F473" s="373"/>
      <c r="G473" s="373"/>
      <c r="H473" s="373"/>
      <c r="I473" s="373"/>
      <c r="J473" s="373"/>
      <c r="K473" s="373"/>
      <c r="L473" s="373"/>
      <c r="M473" s="373"/>
      <c r="N473" s="373"/>
      <c r="O473" s="373"/>
      <c r="P473" s="373"/>
      <c r="Q473" s="373"/>
    </row>
    <row r="474" spans="1:17" ht="14.4">
      <c r="A474" s="369"/>
      <c r="B474" s="373"/>
      <c r="C474" s="373"/>
      <c r="D474" s="373"/>
      <c r="E474" s="373"/>
      <c r="F474" s="373"/>
      <c r="G474" s="373"/>
      <c r="H474" s="373"/>
      <c r="I474" s="373"/>
      <c r="J474" s="373"/>
      <c r="K474" s="373"/>
      <c r="L474" s="373"/>
      <c r="M474" s="373"/>
      <c r="N474" s="373"/>
      <c r="O474" s="373"/>
      <c r="P474" s="373"/>
      <c r="Q474" s="373"/>
    </row>
    <row r="475" spans="1:17" ht="14.4">
      <c r="A475" s="369"/>
      <c r="B475" s="373"/>
      <c r="C475" s="373"/>
      <c r="D475" s="373"/>
      <c r="E475" s="373"/>
      <c r="F475" s="373"/>
      <c r="G475" s="373"/>
      <c r="H475" s="373"/>
      <c r="I475" s="373"/>
      <c r="J475" s="373"/>
      <c r="K475" s="373"/>
      <c r="L475" s="373"/>
      <c r="M475" s="373"/>
      <c r="N475" s="373"/>
      <c r="O475" s="373"/>
      <c r="P475" s="373"/>
      <c r="Q475" s="373"/>
    </row>
    <row r="476" spans="1:17" ht="14.4">
      <c r="A476" s="369"/>
      <c r="B476" s="373"/>
      <c r="C476" s="373"/>
      <c r="D476" s="373"/>
      <c r="E476" s="373"/>
      <c r="F476" s="373"/>
      <c r="G476" s="373"/>
      <c r="H476" s="373"/>
      <c r="I476" s="373"/>
      <c r="J476" s="373"/>
      <c r="K476" s="373"/>
      <c r="L476" s="373"/>
      <c r="M476" s="373"/>
      <c r="N476" s="373"/>
      <c r="O476" s="373"/>
      <c r="P476" s="373"/>
      <c r="Q476" s="373"/>
    </row>
    <row r="477" spans="1:17" ht="14.4">
      <c r="A477" s="369"/>
      <c r="B477" s="373"/>
      <c r="C477" s="373"/>
      <c r="D477" s="373"/>
      <c r="E477" s="373"/>
      <c r="F477" s="373"/>
      <c r="G477" s="373"/>
      <c r="H477" s="373"/>
      <c r="I477" s="373"/>
      <c r="J477" s="373"/>
      <c r="K477" s="373"/>
      <c r="L477" s="373"/>
      <c r="M477" s="373"/>
      <c r="N477" s="373"/>
      <c r="O477" s="373"/>
      <c r="P477" s="373"/>
      <c r="Q477" s="373"/>
    </row>
    <row r="478" spans="1:17" ht="14.4">
      <c r="A478" s="369"/>
      <c r="B478" s="373"/>
      <c r="C478" s="373"/>
      <c r="D478" s="373"/>
      <c r="E478" s="373"/>
      <c r="F478" s="373"/>
      <c r="G478" s="373"/>
      <c r="H478" s="373"/>
      <c r="I478" s="373"/>
      <c r="J478" s="373"/>
      <c r="K478" s="373"/>
      <c r="L478" s="373"/>
      <c r="M478" s="373"/>
      <c r="N478" s="373"/>
      <c r="O478" s="373"/>
      <c r="P478" s="373"/>
      <c r="Q478" s="373"/>
    </row>
    <row r="479" spans="1:17" ht="14.4">
      <c r="A479" s="369"/>
      <c r="B479" s="373"/>
      <c r="C479" s="373"/>
      <c r="D479" s="373"/>
      <c r="E479" s="373"/>
      <c r="F479" s="373"/>
      <c r="G479" s="373"/>
      <c r="H479" s="373"/>
      <c r="I479" s="373"/>
      <c r="J479" s="373"/>
      <c r="K479" s="373"/>
      <c r="L479" s="373"/>
      <c r="M479" s="373"/>
      <c r="N479" s="373"/>
      <c r="O479" s="373"/>
      <c r="P479" s="373"/>
      <c r="Q479" s="373"/>
    </row>
    <row r="480" spans="1:17" ht="14.4">
      <c r="A480" s="369"/>
      <c r="B480" s="373"/>
      <c r="C480" s="373"/>
      <c r="D480" s="373"/>
      <c r="E480" s="373"/>
      <c r="F480" s="373"/>
      <c r="G480" s="373"/>
      <c r="H480" s="373"/>
      <c r="I480" s="373"/>
      <c r="J480" s="373"/>
      <c r="K480" s="373"/>
      <c r="L480" s="373"/>
      <c r="M480" s="373"/>
      <c r="N480" s="373"/>
      <c r="O480" s="373"/>
      <c r="P480" s="373"/>
      <c r="Q480" s="373"/>
    </row>
    <row r="481" spans="1:17" ht="14.4">
      <c r="A481" s="369"/>
      <c r="B481" s="373"/>
      <c r="C481" s="373"/>
      <c r="D481" s="373"/>
      <c r="E481" s="373"/>
      <c r="F481" s="373"/>
      <c r="G481" s="373"/>
      <c r="H481" s="373"/>
      <c r="I481" s="373"/>
      <c r="J481" s="373"/>
      <c r="K481" s="373"/>
      <c r="L481" s="373"/>
      <c r="M481" s="373"/>
      <c r="N481" s="373"/>
      <c r="O481" s="373"/>
      <c r="P481" s="373"/>
      <c r="Q481" s="373"/>
    </row>
    <row r="482" spans="1:17" ht="14.4">
      <c r="A482" s="369"/>
      <c r="B482" s="373"/>
      <c r="C482" s="373"/>
      <c r="D482" s="373"/>
      <c r="E482" s="373"/>
      <c r="F482" s="373"/>
      <c r="G482" s="373"/>
      <c r="H482" s="373"/>
      <c r="I482" s="373"/>
      <c r="J482" s="373"/>
      <c r="K482" s="373"/>
      <c r="L482" s="373"/>
      <c r="M482" s="373"/>
      <c r="N482" s="373"/>
      <c r="O482" s="373"/>
      <c r="P482" s="373"/>
      <c r="Q482" s="373"/>
    </row>
    <row r="483" spans="1:17" ht="14.4">
      <c r="A483" s="369"/>
      <c r="B483" s="373"/>
      <c r="C483" s="373"/>
      <c r="D483" s="373"/>
      <c r="E483" s="373"/>
      <c r="F483" s="373"/>
      <c r="G483" s="373"/>
      <c r="H483" s="373"/>
      <c r="I483" s="373"/>
      <c r="J483" s="373"/>
      <c r="K483" s="373"/>
      <c r="L483" s="373"/>
      <c r="M483" s="373"/>
      <c r="N483" s="373"/>
      <c r="O483" s="373"/>
      <c r="P483" s="373"/>
      <c r="Q483" s="373"/>
    </row>
    <row r="484" spans="1:17" ht="14.4">
      <c r="A484" s="369"/>
      <c r="B484" s="373"/>
      <c r="C484" s="373"/>
      <c r="D484" s="373"/>
      <c r="E484" s="373"/>
      <c r="F484" s="373"/>
      <c r="G484" s="373"/>
      <c r="H484" s="373"/>
      <c r="I484" s="373"/>
      <c r="J484" s="373"/>
      <c r="K484" s="373"/>
      <c r="L484" s="373"/>
      <c r="M484" s="373"/>
      <c r="N484" s="373"/>
      <c r="O484" s="373"/>
      <c r="P484" s="373"/>
      <c r="Q484" s="373"/>
    </row>
    <row r="485" spans="1:17" ht="14.4">
      <c r="A485" s="369"/>
      <c r="B485" s="373"/>
      <c r="C485" s="373"/>
      <c r="D485" s="373"/>
      <c r="E485" s="373"/>
      <c r="F485" s="373"/>
      <c r="G485" s="373"/>
      <c r="H485" s="373"/>
      <c r="I485" s="373"/>
      <c r="J485" s="373"/>
      <c r="K485" s="373"/>
      <c r="L485" s="373"/>
      <c r="M485" s="373"/>
      <c r="N485" s="373"/>
      <c r="O485" s="373"/>
      <c r="P485" s="373"/>
      <c r="Q485" s="373"/>
    </row>
    <row r="486" spans="1:17" ht="14.4">
      <c r="A486" s="369"/>
      <c r="B486" s="373"/>
      <c r="C486" s="373"/>
      <c r="D486" s="373"/>
      <c r="E486" s="373"/>
      <c r="F486" s="373"/>
      <c r="G486" s="373"/>
      <c r="H486" s="373"/>
      <c r="I486" s="373"/>
      <c r="J486" s="373"/>
      <c r="K486" s="373"/>
      <c r="L486" s="373"/>
      <c r="M486" s="373"/>
      <c r="N486" s="373"/>
      <c r="O486" s="373"/>
      <c r="P486" s="373"/>
      <c r="Q486" s="373"/>
    </row>
    <row r="487" spans="1:17" ht="14.4">
      <c r="A487" s="369"/>
      <c r="B487" s="373"/>
      <c r="C487" s="373"/>
      <c r="D487" s="373"/>
      <c r="E487" s="373"/>
      <c r="F487" s="373"/>
      <c r="G487" s="373"/>
      <c r="H487" s="373"/>
      <c r="I487" s="373"/>
      <c r="J487" s="373"/>
      <c r="K487" s="373"/>
      <c r="L487" s="373"/>
      <c r="M487" s="373"/>
      <c r="N487" s="373"/>
      <c r="O487" s="373"/>
      <c r="P487" s="373"/>
      <c r="Q487" s="373"/>
    </row>
    <row r="488" spans="1:17" ht="14.4">
      <c r="A488" s="369"/>
      <c r="B488" s="373"/>
      <c r="C488" s="373"/>
      <c r="D488" s="373"/>
      <c r="E488" s="373"/>
      <c r="F488" s="373"/>
      <c r="G488" s="373"/>
      <c r="H488" s="373"/>
      <c r="I488" s="373"/>
      <c r="J488" s="373"/>
      <c r="K488" s="373"/>
      <c r="L488" s="373"/>
      <c r="M488" s="373"/>
      <c r="N488" s="373"/>
      <c r="O488" s="373"/>
      <c r="P488" s="373"/>
      <c r="Q488" s="373"/>
    </row>
    <row r="489" spans="1:17" ht="14.4">
      <c r="A489" s="369"/>
      <c r="B489" s="373"/>
      <c r="C489" s="373"/>
      <c r="D489" s="373"/>
      <c r="E489" s="373"/>
      <c r="F489" s="373"/>
      <c r="G489" s="373"/>
      <c r="H489" s="373"/>
      <c r="I489" s="373"/>
      <c r="J489" s="373"/>
      <c r="K489" s="373"/>
      <c r="L489" s="373"/>
      <c r="M489" s="373"/>
      <c r="N489" s="373"/>
      <c r="O489" s="373"/>
      <c r="P489" s="373"/>
      <c r="Q489" s="373"/>
    </row>
    <row r="490" spans="1:17" ht="14.4">
      <c r="A490" s="369"/>
      <c r="B490" s="373"/>
      <c r="C490" s="373"/>
      <c r="D490" s="373"/>
      <c r="E490" s="373"/>
      <c r="F490" s="373"/>
      <c r="G490" s="373"/>
      <c r="H490" s="373"/>
      <c r="I490" s="373"/>
      <c r="J490" s="373"/>
      <c r="K490" s="373"/>
      <c r="L490" s="373"/>
      <c r="M490" s="373"/>
      <c r="N490" s="373"/>
      <c r="O490" s="373"/>
      <c r="P490" s="373"/>
      <c r="Q490" s="373"/>
    </row>
    <row r="491" spans="1:17" ht="14.4">
      <c r="A491" s="369"/>
      <c r="B491" s="373"/>
      <c r="C491" s="373"/>
      <c r="D491" s="373"/>
      <c r="E491" s="373"/>
      <c r="F491" s="373"/>
      <c r="G491" s="373"/>
      <c r="H491" s="373"/>
      <c r="I491" s="373"/>
      <c r="J491" s="373"/>
      <c r="K491" s="373"/>
      <c r="L491" s="373"/>
      <c r="M491" s="373"/>
      <c r="N491" s="373"/>
      <c r="O491" s="373"/>
      <c r="P491" s="373"/>
      <c r="Q491" s="373"/>
    </row>
    <row r="492" spans="1:17" ht="14.4">
      <c r="A492" s="369"/>
      <c r="B492" s="373"/>
      <c r="C492" s="373"/>
      <c r="D492" s="373"/>
      <c r="E492" s="373"/>
      <c r="F492" s="373"/>
      <c r="G492" s="373"/>
      <c r="H492" s="373"/>
      <c r="I492" s="373"/>
      <c r="J492" s="373"/>
      <c r="K492" s="373"/>
      <c r="L492" s="373"/>
      <c r="M492" s="373"/>
      <c r="N492" s="373"/>
      <c r="O492" s="373"/>
      <c r="P492" s="373"/>
      <c r="Q492" s="373"/>
    </row>
    <row r="493" spans="1:17" ht="14.4">
      <c r="A493" s="369"/>
      <c r="B493" s="373"/>
      <c r="C493" s="373"/>
      <c r="D493" s="373"/>
      <c r="E493" s="373"/>
      <c r="F493" s="373"/>
      <c r="G493" s="373"/>
      <c r="H493" s="373"/>
      <c r="I493" s="373"/>
      <c r="J493" s="373"/>
      <c r="K493" s="373"/>
      <c r="L493" s="373"/>
      <c r="M493" s="373"/>
      <c r="N493" s="373"/>
      <c r="O493" s="373"/>
      <c r="P493" s="373"/>
      <c r="Q493" s="373"/>
    </row>
    <row r="494" spans="1:17" ht="14.4">
      <c r="A494" s="369"/>
      <c r="B494" s="373"/>
      <c r="C494" s="373"/>
      <c r="D494" s="373"/>
      <c r="E494" s="373"/>
      <c r="F494" s="373"/>
      <c r="G494" s="373"/>
      <c r="H494" s="373"/>
      <c r="I494" s="373"/>
      <c r="J494" s="373"/>
      <c r="K494" s="373"/>
      <c r="L494" s="373"/>
      <c r="M494" s="373"/>
      <c r="N494" s="373"/>
      <c r="O494" s="373"/>
      <c r="P494" s="373"/>
      <c r="Q494" s="373"/>
    </row>
    <row r="495" spans="1:17" ht="14.4">
      <c r="A495" s="369"/>
      <c r="B495" s="373"/>
      <c r="C495" s="373"/>
      <c r="D495" s="373"/>
      <c r="E495" s="373"/>
      <c r="F495" s="373"/>
      <c r="G495" s="373"/>
      <c r="H495" s="373"/>
      <c r="I495" s="373"/>
      <c r="J495" s="373"/>
      <c r="K495" s="373"/>
      <c r="L495" s="373"/>
      <c r="M495" s="373"/>
      <c r="N495" s="373"/>
      <c r="O495" s="373"/>
      <c r="P495" s="373"/>
      <c r="Q495" s="373"/>
    </row>
    <row r="496" spans="1:17" ht="14.4">
      <c r="A496" s="369"/>
      <c r="B496" s="373"/>
      <c r="C496" s="373"/>
      <c r="D496" s="373"/>
      <c r="E496" s="373"/>
      <c r="F496" s="373"/>
      <c r="G496" s="373"/>
      <c r="H496" s="373"/>
      <c r="I496" s="373"/>
      <c r="J496" s="373"/>
      <c r="K496" s="373"/>
      <c r="L496" s="373"/>
      <c r="M496" s="373"/>
      <c r="N496" s="373"/>
      <c r="O496" s="373"/>
      <c r="P496" s="373"/>
      <c r="Q496" s="373"/>
    </row>
    <row r="497" spans="1:17" ht="14.4">
      <c r="A497" s="369"/>
      <c r="B497" s="373"/>
      <c r="C497" s="373"/>
      <c r="D497" s="373"/>
      <c r="E497" s="373"/>
      <c r="F497" s="373"/>
      <c r="G497" s="373"/>
      <c r="H497" s="373"/>
      <c r="I497" s="373"/>
      <c r="J497" s="373"/>
      <c r="K497" s="373"/>
      <c r="L497" s="373"/>
      <c r="M497" s="373"/>
      <c r="N497" s="373"/>
      <c r="O497" s="373"/>
      <c r="P497" s="373"/>
      <c r="Q497" s="373"/>
    </row>
    <row r="498" spans="1:17" ht="14.4">
      <c r="A498" s="369"/>
      <c r="B498" s="373"/>
      <c r="C498" s="373"/>
      <c r="D498" s="373"/>
      <c r="E498" s="373"/>
      <c r="F498" s="373"/>
      <c r="G498" s="373"/>
      <c r="H498" s="373"/>
      <c r="I498" s="373"/>
      <c r="J498" s="373"/>
      <c r="K498" s="373"/>
      <c r="L498" s="373"/>
      <c r="M498" s="373"/>
      <c r="N498" s="373"/>
      <c r="O498" s="373"/>
      <c r="P498" s="373"/>
      <c r="Q498" s="373"/>
    </row>
    <row r="499" spans="1:17" ht="14.4">
      <c r="A499" s="369"/>
      <c r="B499" s="373"/>
      <c r="C499" s="373"/>
      <c r="D499" s="373"/>
      <c r="E499" s="373"/>
      <c r="F499" s="373"/>
      <c r="G499" s="373"/>
      <c r="H499" s="373"/>
      <c r="I499" s="373"/>
      <c r="J499" s="373"/>
      <c r="K499" s="373"/>
      <c r="L499" s="373"/>
      <c r="M499" s="373"/>
      <c r="N499" s="373"/>
      <c r="O499" s="373"/>
      <c r="P499" s="373"/>
      <c r="Q499" s="373"/>
    </row>
    <row r="500" spans="1:17" ht="14.4">
      <c r="A500" s="369"/>
      <c r="B500" s="373"/>
      <c r="C500" s="373"/>
      <c r="D500" s="373"/>
      <c r="E500" s="373"/>
      <c r="F500" s="373"/>
      <c r="G500" s="373"/>
      <c r="H500" s="373"/>
      <c r="I500" s="373"/>
      <c r="J500" s="373"/>
      <c r="K500" s="373"/>
      <c r="L500" s="373"/>
      <c r="M500" s="373"/>
      <c r="N500" s="373"/>
      <c r="O500" s="373"/>
      <c r="P500" s="373"/>
      <c r="Q500" s="373"/>
    </row>
    <row r="501" spans="1:17" ht="14.4">
      <c r="A501" s="369"/>
      <c r="B501" s="373"/>
      <c r="C501" s="373"/>
      <c r="D501" s="373"/>
      <c r="E501" s="373"/>
      <c r="F501" s="373"/>
      <c r="G501" s="373"/>
      <c r="H501" s="373"/>
      <c r="I501" s="373"/>
      <c r="J501" s="373"/>
      <c r="K501" s="373"/>
      <c r="L501" s="373"/>
      <c r="M501" s="373"/>
      <c r="N501" s="373"/>
      <c r="O501" s="373"/>
      <c r="P501" s="373"/>
      <c r="Q501" s="373"/>
    </row>
    <row r="502" spans="1:17" ht="14.4">
      <c r="A502" s="369"/>
      <c r="B502" s="373"/>
      <c r="C502" s="373"/>
      <c r="D502" s="373"/>
      <c r="E502" s="373"/>
      <c r="F502" s="373"/>
      <c r="G502" s="373"/>
      <c r="H502" s="373"/>
      <c r="I502" s="373"/>
      <c r="J502" s="373"/>
      <c r="K502" s="373"/>
      <c r="L502" s="373"/>
      <c r="M502" s="373"/>
      <c r="N502" s="373"/>
      <c r="O502" s="373"/>
      <c r="P502" s="373"/>
      <c r="Q502" s="373"/>
    </row>
    <row r="503" spans="1:17" ht="14.4">
      <c r="A503" s="369"/>
      <c r="B503" s="373"/>
      <c r="C503" s="373"/>
      <c r="D503" s="373"/>
      <c r="E503" s="373"/>
      <c r="F503" s="373"/>
      <c r="G503" s="373"/>
      <c r="H503" s="373"/>
      <c r="I503" s="373"/>
      <c r="J503" s="373"/>
      <c r="K503" s="373"/>
      <c r="L503" s="373"/>
      <c r="M503" s="373"/>
      <c r="N503" s="373"/>
      <c r="O503" s="373"/>
      <c r="P503" s="373"/>
      <c r="Q503" s="373"/>
    </row>
    <row r="504" spans="1:17" ht="14.4">
      <c r="A504" s="369"/>
      <c r="B504" s="373"/>
      <c r="C504" s="373"/>
      <c r="D504" s="373"/>
      <c r="E504" s="373"/>
      <c r="F504" s="373"/>
      <c r="G504" s="373"/>
      <c r="H504" s="373"/>
      <c r="I504" s="373"/>
      <c r="J504" s="373"/>
      <c r="K504" s="373"/>
      <c r="L504" s="373"/>
      <c r="M504" s="373"/>
      <c r="N504" s="373"/>
      <c r="O504" s="373"/>
      <c r="P504" s="373"/>
      <c r="Q504" s="373"/>
    </row>
    <row r="505" spans="1:17" ht="14.4">
      <c r="A505" s="369"/>
      <c r="B505" s="373"/>
      <c r="C505" s="373"/>
      <c r="D505" s="373"/>
      <c r="E505" s="373"/>
      <c r="F505" s="373"/>
      <c r="G505" s="373"/>
      <c r="H505" s="373"/>
      <c r="I505" s="373"/>
      <c r="J505" s="373"/>
      <c r="K505" s="373"/>
      <c r="L505" s="373"/>
      <c r="M505" s="373"/>
      <c r="N505" s="373"/>
      <c r="O505" s="373"/>
      <c r="P505" s="373"/>
      <c r="Q505" s="373"/>
    </row>
    <row r="506" spans="1:17" ht="14.4">
      <c r="A506" s="369"/>
      <c r="B506" s="373"/>
      <c r="C506" s="373"/>
      <c r="D506" s="373"/>
      <c r="E506" s="373"/>
      <c r="F506" s="373"/>
      <c r="G506" s="373"/>
      <c r="H506" s="373"/>
      <c r="I506" s="373"/>
      <c r="J506" s="373"/>
      <c r="K506" s="373"/>
      <c r="L506" s="373"/>
      <c r="M506" s="373"/>
      <c r="N506" s="373"/>
      <c r="O506" s="373"/>
      <c r="P506" s="373"/>
      <c r="Q506" s="373"/>
    </row>
    <row r="507" spans="1:17" ht="14.4">
      <c r="A507" s="369"/>
      <c r="B507" s="373"/>
      <c r="C507" s="373"/>
      <c r="D507" s="373"/>
      <c r="E507" s="373"/>
      <c r="F507" s="373"/>
      <c r="G507" s="373"/>
      <c r="H507" s="373"/>
      <c r="I507" s="373"/>
      <c r="J507" s="373"/>
      <c r="K507" s="373"/>
      <c r="L507" s="373"/>
      <c r="M507" s="373"/>
      <c r="N507" s="373"/>
      <c r="O507" s="373"/>
      <c r="P507" s="373"/>
      <c r="Q507" s="373"/>
    </row>
    <row r="508" spans="1:17" ht="14.4">
      <c r="A508" s="369"/>
      <c r="B508" s="373"/>
      <c r="C508" s="373"/>
      <c r="D508" s="373"/>
      <c r="E508" s="373"/>
      <c r="F508" s="373"/>
      <c r="G508" s="373"/>
      <c r="H508" s="373"/>
      <c r="I508" s="373"/>
      <c r="J508" s="373"/>
      <c r="K508" s="373"/>
      <c r="L508" s="373"/>
      <c r="M508" s="373"/>
      <c r="N508" s="373"/>
      <c r="O508" s="373"/>
      <c r="P508" s="373"/>
      <c r="Q508" s="373"/>
    </row>
    <row r="509" spans="1:17" ht="14.4">
      <c r="A509" s="369"/>
      <c r="B509" s="373"/>
      <c r="C509" s="373"/>
      <c r="D509" s="373"/>
      <c r="E509" s="373"/>
      <c r="F509" s="373"/>
      <c r="G509" s="373"/>
      <c r="H509" s="373"/>
      <c r="I509" s="373"/>
      <c r="J509" s="373"/>
      <c r="K509" s="373"/>
      <c r="L509" s="373"/>
      <c r="M509" s="373"/>
      <c r="N509" s="373"/>
      <c r="O509" s="373"/>
      <c r="P509" s="373"/>
      <c r="Q509" s="373"/>
    </row>
    <row r="510" spans="1:17" ht="14.4">
      <c r="A510" s="369"/>
      <c r="B510" s="373"/>
      <c r="C510" s="373"/>
      <c r="D510" s="373"/>
      <c r="E510" s="373"/>
      <c r="F510" s="373"/>
      <c r="G510" s="373"/>
      <c r="H510" s="373"/>
      <c r="I510" s="373"/>
      <c r="J510" s="373"/>
      <c r="K510" s="373"/>
      <c r="L510" s="373"/>
      <c r="M510" s="373"/>
      <c r="N510" s="373"/>
      <c r="O510" s="373"/>
      <c r="P510" s="373"/>
      <c r="Q510" s="373"/>
    </row>
    <row r="511" spans="1:17" ht="14.4">
      <c r="A511" s="369"/>
      <c r="B511" s="373"/>
      <c r="C511" s="373"/>
      <c r="D511" s="373"/>
      <c r="E511" s="373"/>
      <c r="F511" s="373"/>
      <c r="G511" s="373"/>
      <c r="H511" s="373"/>
      <c r="I511" s="373"/>
      <c r="J511" s="373"/>
      <c r="K511" s="373"/>
      <c r="L511" s="373"/>
      <c r="M511" s="373"/>
      <c r="N511" s="373"/>
      <c r="O511" s="373"/>
      <c r="P511" s="373"/>
      <c r="Q511" s="373"/>
    </row>
    <row r="512" spans="1:17" ht="14.4">
      <c r="A512" s="369"/>
      <c r="B512" s="373"/>
      <c r="C512" s="373"/>
      <c r="D512" s="373"/>
      <c r="E512" s="373"/>
      <c r="F512" s="373"/>
      <c r="G512" s="373"/>
      <c r="H512" s="373"/>
      <c r="I512" s="373"/>
      <c r="J512" s="373"/>
      <c r="K512" s="373"/>
      <c r="L512" s="373"/>
      <c r="M512" s="373"/>
      <c r="N512" s="373"/>
      <c r="O512" s="373"/>
      <c r="P512" s="373"/>
      <c r="Q512" s="373"/>
    </row>
    <row r="513" spans="1:17" ht="14.4">
      <c r="A513" s="369"/>
      <c r="B513" s="373"/>
      <c r="C513" s="373"/>
      <c r="D513" s="373"/>
      <c r="E513" s="373"/>
      <c r="F513" s="373"/>
      <c r="G513" s="373"/>
      <c r="H513" s="373"/>
      <c r="I513" s="373"/>
      <c r="J513" s="373"/>
      <c r="K513" s="373"/>
      <c r="L513" s="373"/>
      <c r="M513" s="373"/>
      <c r="N513" s="373"/>
      <c r="O513" s="373"/>
      <c r="P513" s="373"/>
      <c r="Q513" s="373"/>
    </row>
    <row r="514" spans="1:17" ht="14.4">
      <c r="A514" s="369"/>
      <c r="B514" s="373"/>
      <c r="C514" s="373"/>
      <c r="D514" s="373"/>
      <c r="E514" s="373"/>
      <c r="F514" s="373"/>
      <c r="G514" s="373"/>
      <c r="H514" s="373"/>
      <c r="I514" s="373"/>
      <c r="J514" s="373"/>
      <c r="K514" s="373"/>
      <c r="L514" s="373"/>
      <c r="M514" s="373"/>
      <c r="N514" s="373"/>
      <c r="O514" s="373"/>
      <c r="P514" s="373"/>
      <c r="Q514" s="373"/>
    </row>
    <row r="515" spans="1:17" ht="14.4">
      <c r="A515" s="369"/>
      <c r="B515" s="373"/>
      <c r="C515" s="373"/>
      <c r="D515" s="373"/>
      <c r="E515" s="373"/>
      <c r="F515" s="373"/>
      <c r="G515" s="373"/>
      <c r="H515" s="373"/>
      <c r="I515" s="373"/>
      <c r="J515" s="373"/>
      <c r="K515" s="373"/>
      <c r="L515" s="373"/>
      <c r="M515" s="373"/>
      <c r="N515" s="373"/>
      <c r="O515" s="373"/>
      <c r="P515" s="373"/>
      <c r="Q515" s="373"/>
    </row>
    <row r="516" spans="1:17" ht="14.4">
      <c r="A516" s="369"/>
      <c r="B516" s="373"/>
      <c r="C516" s="373"/>
      <c r="D516" s="373"/>
      <c r="E516" s="373"/>
      <c r="F516" s="373"/>
      <c r="G516" s="373"/>
      <c r="H516" s="373"/>
      <c r="I516" s="373"/>
      <c r="J516" s="373"/>
      <c r="K516" s="373"/>
      <c r="L516" s="373"/>
      <c r="M516" s="373"/>
      <c r="N516" s="373"/>
      <c r="O516" s="373"/>
      <c r="P516" s="373"/>
      <c r="Q516" s="373"/>
    </row>
    <row r="517" spans="1:17" ht="14.4">
      <c r="A517" s="369"/>
      <c r="B517" s="373"/>
      <c r="C517" s="373"/>
      <c r="D517" s="373"/>
      <c r="E517" s="373"/>
      <c r="F517" s="373"/>
      <c r="G517" s="373"/>
      <c r="H517" s="373"/>
      <c r="I517" s="373"/>
      <c r="J517" s="373"/>
      <c r="K517" s="373"/>
      <c r="L517" s="373"/>
      <c r="M517" s="373"/>
      <c r="N517" s="373"/>
      <c r="O517" s="373"/>
      <c r="P517" s="373"/>
      <c r="Q517" s="373"/>
    </row>
    <row r="518" spans="1:17" ht="14.4">
      <c r="A518" s="369"/>
      <c r="B518" s="373"/>
      <c r="C518" s="373"/>
      <c r="D518" s="373"/>
      <c r="E518" s="373"/>
      <c r="F518" s="373"/>
      <c r="G518" s="373"/>
      <c r="H518" s="373"/>
      <c r="I518" s="373"/>
      <c r="J518" s="373"/>
      <c r="K518" s="373"/>
      <c r="L518" s="373"/>
      <c r="M518" s="373"/>
      <c r="N518" s="373"/>
      <c r="O518" s="373"/>
      <c r="P518" s="373"/>
      <c r="Q518" s="373"/>
    </row>
    <row r="519" spans="1:17" ht="14.4">
      <c r="A519" s="369"/>
      <c r="B519" s="373"/>
      <c r="C519" s="373"/>
      <c r="D519" s="373"/>
      <c r="E519" s="373"/>
      <c r="F519" s="373"/>
      <c r="G519" s="373"/>
      <c r="H519" s="373"/>
      <c r="I519" s="373"/>
      <c r="J519" s="373"/>
      <c r="K519" s="373"/>
      <c r="L519" s="373"/>
      <c r="M519" s="373"/>
      <c r="N519" s="373"/>
      <c r="O519" s="373"/>
      <c r="P519" s="373"/>
      <c r="Q519" s="373"/>
    </row>
    <row r="520" spans="1:17" ht="14.4">
      <c r="A520" s="369"/>
      <c r="B520" s="373"/>
      <c r="C520" s="373"/>
      <c r="D520" s="373"/>
      <c r="E520" s="373"/>
      <c r="F520" s="373"/>
      <c r="G520" s="373"/>
      <c r="H520" s="373"/>
      <c r="I520" s="373"/>
      <c r="J520" s="373"/>
      <c r="K520" s="373"/>
      <c r="L520" s="373"/>
      <c r="M520" s="373"/>
      <c r="N520" s="373"/>
      <c r="O520" s="373"/>
      <c r="P520" s="373"/>
      <c r="Q520" s="373"/>
    </row>
    <row r="521" spans="1:17" ht="14.4">
      <c r="A521" s="369"/>
      <c r="B521" s="373"/>
      <c r="C521" s="373"/>
      <c r="D521" s="373"/>
      <c r="E521" s="373"/>
      <c r="F521" s="373"/>
      <c r="G521" s="373"/>
      <c r="H521" s="373"/>
      <c r="I521" s="373"/>
      <c r="J521" s="373"/>
      <c r="K521" s="373"/>
      <c r="L521" s="373"/>
      <c r="M521" s="373"/>
      <c r="N521" s="373"/>
      <c r="O521" s="373"/>
      <c r="P521" s="373"/>
      <c r="Q521" s="373"/>
    </row>
    <row r="522" spans="1:17" ht="14.4">
      <c r="A522" s="369"/>
      <c r="B522" s="373"/>
      <c r="C522" s="373"/>
      <c r="D522" s="373"/>
      <c r="E522" s="373"/>
      <c r="F522" s="373"/>
      <c r="G522" s="373"/>
      <c r="H522" s="373"/>
      <c r="I522" s="373"/>
      <c r="J522" s="373"/>
      <c r="K522" s="373"/>
      <c r="L522" s="373"/>
      <c r="M522" s="373"/>
      <c r="N522" s="373"/>
      <c r="O522" s="373"/>
      <c r="P522" s="373"/>
      <c r="Q522" s="373"/>
    </row>
    <row r="523" spans="1:17" ht="14.4">
      <c r="A523" s="369"/>
      <c r="B523" s="373"/>
      <c r="C523" s="373"/>
      <c r="D523" s="373"/>
      <c r="E523" s="373"/>
      <c r="F523" s="373"/>
      <c r="G523" s="373"/>
      <c r="H523" s="373"/>
      <c r="I523" s="373"/>
      <c r="J523" s="373"/>
      <c r="K523" s="373"/>
      <c r="L523" s="373"/>
      <c r="M523" s="373"/>
      <c r="N523" s="373"/>
      <c r="O523" s="373"/>
      <c r="P523" s="373"/>
      <c r="Q523" s="373"/>
    </row>
    <row r="524" spans="1:17" ht="14.4">
      <c r="A524" s="369"/>
      <c r="B524" s="373"/>
      <c r="C524" s="373"/>
      <c r="D524" s="373"/>
      <c r="E524" s="373"/>
      <c r="F524" s="373"/>
      <c r="G524" s="373"/>
      <c r="H524" s="373"/>
      <c r="I524" s="373"/>
      <c r="J524" s="373"/>
      <c r="K524" s="373"/>
      <c r="L524" s="373"/>
      <c r="M524" s="373"/>
      <c r="N524" s="373"/>
      <c r="O524" s="373"/>
      <c r="P524" s="373"/>
      <c r="Q524" s="373"/>
    </row>
    <row r="525" spans="1:17" ht="14.4">
      <c r="A525" s="369"/>
      <c r="B525" s="373"/>
      <c r="C525" s="373"/>
      <c r="D525" s="373"/>
      <c r="E525" s="373"/>
      <c r="F525" s="373"/>
      <c r="G525" s="373"/>
      <c r="H525" s="373"/>
      <c r="I525" s="373"/>
      <c r="J525" s="373"/>
      <c r="K525" s="373"/>
      <c r="L525" s="373"/>
      <c r="M525" s="373"/>
      <c r="N525" s="373"/>
      <c r="O525" s="373"/>
      <c r="P525" s="373"/>
      <c r="Q525" s="373"/>
    </row>
    <row r="526" spans="1:17" ht="14.4">
      <c r="A526" s="369"/>
      <c r="B526" s="373"/>
      <c r="C526" s="373"/>
      <c r="D526" s="373"/>
      <c r="E526" s="373"/>
      <c r="F526" s="373"/>
      <c r="G526" s="373"/>
      <c r="H526" s="373"/>
      <c r="I526" s="373"/>
      <c r="J526" s="373"/>
      <c r="K526" s="373"/>
      <c r="L526" s="373"/>
      <c r="M526" s="373"/>
      <c r="N526" s="373"/>
      <c r="O526" s="373"/>
      <c r="P526" s="373"/>
      <c r="Q526" s="373"/>
    </row>
    <row r="527" spans="1:17" ht="14.4">
      <c r="A527" s="369"/>
      <c r="B527" s="373"/>
      <c r="C527" s="373"/>
      <c r="D527" s="373"/>
      <c r="E527" s="373"/>
      <c r="F527" s="373"/>
      <c r="G527" s="373"/>
      <c r="H527" s="373"/>
      <c r="I527" s="373"/>
      <c r="J527" s="373"/>
      <c r="K527" s="373"/>
      <c r="L527" s="373"/>
      <c r="M527" s="373"/>
      <c r="N527" s="373"/>
      <c r="O527" s="373"/>
      <c r="P527" s="373"/>
      <c r="Q527" s="373"/>
    </row>
    <row r="528" spans="1:17" ht="14.4">
      <c r="A528" s="369"/>
      <c r="B528" s="373"/>
      <c r="C528" s="373"/>
      <c r="D528" s="373"/>
      <c r="E528" s="373"/>
      <c r="F528" s="373"/>
      <c r="G528" s="373"/>
      <c r="H528" s="373"/>
      <c r="I528" s="373"/>
      <c r="J528" s="373"/>
      <c r="K528" s="373"/>
      <c r="L528" s="373"/>
      <c r="M528" s="373"/>
      <c r="N528" s="373"/>
      <c r="O528" s="373"/>
      <c r="P528" s="373"/>
      <c r="Q528" s="373"/>
    </row>
    <row r="529" spans="1:17" ht="14.4">
      <c r="A529" s="369"/>
      <c r="B529" s="373"/>
      <c r="C529" s="373"/>
      <c r="D529" s="373"/>
      <c r="E529" s="373"/>
      <c r="F529" s="373"/>
      <c r="G529" s="373"/>
      <c r="H529" s="373"/>
      <c r="I529" s="373"/>
      <c r="J529" s="373"/>
      <c r="K529" s="373"/>
      <c r="L529" s="373"/>
      <c r="M529" s="373"/>
      <c r="N529" s="373"/>
      <c r="O529" s="373"/>
      <c r="P529" s="373"/>
      <c r="Q529" s="373"/>
    </row>
    <row r="530" spans="1:17" ht="14.4">
      <c r="A530" s="369"/>
      <c r="B530" s="373"/>
      <c r="C530" s="373"/>
      <c r="D530" s="373"/>
      <c r="E530" s="373"/>
      <c r="F530" s="373"/>
      <c r="G530" s="373"/>
      <c r="H530" s="373"/>
      <c r="I530" s="373"/>
      <c r="J530" s="373"/>
      <c r="K530" s="373"/>
      <c r="L530" s="373"/>
      <c r="M530" s="373"/>
      <c r="N530" s="373"/>
      <c r="O530" s="373"/>
      <c r="P530" s="373"/>
      <c r="Q530" s="373"/>
    </row>
    <row r="531" spans="1:17" ht="14.4">
      <c r="A531" s="369"/>
      <c r="B531" s="373"/>
      <c r="C531" s="373"/>
      <c r="D531" s="373"/>
      <c r="E531" s="373"/>
      <c r="F531" s="373"/>
      <c r="G531" s="373"/>
      <c r="H531" s="373"/>
      <c r="I531" s="373"/>
      <c r="J531" s="373"/>
      <c r="K531" s="373"/>
      <c r="L531" s="373"/>
      <c r="M531" s="373"/>
      <c r="N531" s="373"/>
      <c r="O531" s="373"/>
      <c r="P531" s="373"/>
      <c r="Q531" s="373"/>
    </row>
    <row r="532" spans="1:17" ht="14.4">
      <c r="A532" s="369"/>
      <c r="B532" s="373"/>
      <c r="C532" s="373"/>
      <c r="D532" s="373"/>
      <c r="E532" s="373"/>
      <c r="F532" s="373"/>
      <c r="G532" s="373"/>
      <c r="H532" s="373"/>
      <c r="I532" s="373"/>
      <c r="J532" s="373"/>
      <c r="K532" s="373"/>
      <c r="L532" s="373"/>
      <c r="M532" s="373"/>
      <c r="N532" s="373"/>
      <c r="O532" s="373"/>
      <c r="P532" s="373"/>
      <c r="Q532" s="373"/>
    </row>
    <row r="533" spans="1:17" ht="14.4">
      <c r="A533" s="369"/>
      <c r="B533" s="373"/>
      <c r="C533" s="373"/>
      <c r="D533" s="373"/>
      <c r="E533" s="373"/>
      <c r="F533" s="373"/>
      <c r="G533" s="373"/>
      <c r="H533" s="373"/>
      <c r="I533" s="373"/>
      <c r="J533" s="373"/>
      <c r="K533" s="373"/>
      <c r="L533" s="373"/>
      <c r="M533" s="373"/>
      <c r="N533" s="373"/>
      <c r="O533" s="373"/>
      <c r="P533" s="373"/>
      <c r="Q533" s="373"/>
    </row>
    <row r="534" spans="1:17" ht="14.4">
      <c r="A534" s="369"/>
      <c r="B534" s="373"/>
      <c r="C534" s="373"/>
      <c r="D534" s="373"/>
      <c r="E534" s="373"/>
      <c r="F534" s="373"/>
      <c r="G534" s="373"/>
      <c r="H534" s="373"/>
      <c r="I534" s="373"/>
      <c r="J534" s="373"/>
      <c r="K534" s="373"/>
      <c r="L534" s="373"/>
      <c r="M534" s="373"/>
      <c r="N534" s="373"/>
      <c r="O534" s="373"/>
      <c r="P534" s="373"/>
      <c r="Q534" s="373"/>
    </row>
    <row r="535" spans="1:17" ht="14.4">
      <c r="A535" s="369"/>
      <c r="B535" s="373"/>
      <c r="C535" s="373"/>
      <c r="D535" s="373"/>
      <c r="E535" s="373"/>
      <c r="F535" s="373"/>
      <c r="G535" s="373"/>
      <c r="H535" s="373"/>
      <c r="I535" s="373"/>
      <c r="J535" s="373"/>
      <c r="K535" s="373"/>
      <c r="L535" s="373"/>
      <c r="M535" s="373"/>
      <c r="N535" s="373"/>
      <c r="O535" s="373"/>
      <c r="P535" s="373"/>
      <c r="Q535" s="373"/>
    </row>
    <row r="536" spans="1:17" ht="14.4">
      <c r="A536" s="369"/>
      <c r="B536" s="373"/>
      <c r="C536" s="373"/>
      <c r="D536" s="373"/>
      <c r="E536" s="373"/>
      <c r="F536" s="373"/>
      <c r="G536" s="373"/>
      <c r="H536" s="373"/>
      <c r="I536" s="373"/>
      <c r="J536" s="373"/>
      <c r="K536" s="373"/>
      <c r="L536" s="373"/>
      <c r="M536" s="373"/>
      <c r="N536" s="373"/>
      <c r="O536" s="373"/>
      <c r="P536" s="373"/>
      <c r="Q536" s="373"/>
    </row>
    <row r="537" spans="1:17" ht="14.4">
      <c r="A537" s="369"/>
      <c r="B537" s="373"/>
      <c r="C537" s="373"/>
      <c r="D537" s="373"/>
      <c r="E537" s="373"/>
      <c r="F537" s="373"/>
      <c r="G537" s="373"/>
      <c r="H537" s="373"/>
      <c r="I537" s="373"/>
      <c r="J537" s="373"/>
      <c r="K537" s="373"/>
      <c r="L537" s="373"/>
      <c r="M537" s="373"/>
      <c r="N537" s="373"/>
      <c r="O537" s="373"/>
      <c r="P537" s="373"/>
      <c r="Q537" s="373"/>
    </row>
    <row r="538" spans="1:17" ht="14.4">
      <c r="A538" s="369"/>
      <c r="B538" s="373"/>
      <c r="C538" s="373"/>
      <c r="D538" s="373"/>
      <c r="E538" s="373"/>
      <c r="F538" s="373"/>
      <c r="G538" s="373"/>
      <c r="H538" s="373"/>
      <c r="I538" s="373"/>
      <c r="J538" s="373"/>
      <c r="K538" s="373"/>
      <c r="L538" s="373"/>
      <c r="M538" s="373"/>
      <c r="N538" s="373"/>
      <c r="O538" s="373"/>
      <c r="P538" s="373"/>
      <c r="Q538" s="373"/>
    </row>
    <row r="539" spans="1:17" ht="14.4">
      <c r="A539" s="369"/>
      <c r="B539" s="373"/>
      <c r="C539" s="373"/>
      <c r="D539" s="373"/>
      <c r="E539" s="373"/>
      <c r="F539" s="373"/>
      <c r="G539" s="373"/>
      <c r="H539" s="373"/>
      <c r="I539" s="373"/>
      <c r="J539" s="373"/>
      <c r="K539" s="373"/>
      <c r="L539" s="373"/>
      <c r="M539" s="373"/>
      <c r="N539" s="373"/>
      <c r="O539" s="373"/>
      <c r="P539" s="373"/>
      <c r="Q539" s="373"/>
    </row>
    <row r="540" spans="1:17" ht="14.4">
      <c r="A540" s="369"/>
      <c r="B540" s="373"/>
      <c r="C540" s="373"/>
      <c r="D540" s="373"/>
      <c r="E540" s="373"/>
      <c r="F540" s="373"/>
      <c r="G540" s="373"/>
      <c r="H540" s="373"/>
      <c r="I540" s="373"/>
      <c r="J540" s="373"/>
      <c r="K540" s="373"/>
      <c r="L540" s="373"/>
      <c r="M540" s="373"/>
      <c r="N540" s="373"/>
      <c r="O540" s="373"/>
      <c r="P540" s="373"/>
      <c r="Q540" s="373"/>
    </row>
    <row r="541" spans="1:17" ht="14.4">
      <c r="A541" s="369"/>
      <c r="B541" s="373"/>
      <c r="C541" s="373"/>
      <c r="D541" s="373"/>
      <c r="E541" s="373"/>
      <c r="F541" s="373"/>
      <c r="G541" s="373"/>
      <c r="H541" s="373"/>
      <c r="I541" s="373"/>
      <c r="J541" s="373"/>
      <c r="K541" s="373"/>
      <c r="L541" s="373"/>
      <c r="M541" s="373"/>
      <c r="N541" s="373"/>
      <c r="O541" s="373"/>
      <c r="P541" s="373"/>
      <c r="Q541" s="373"/>
    </row>
    <row r="542" spans="1:17" ht="14.4">
      <c r="A542" s="369"/>
      <c r="B542" s="373"/>
      <c r="C542" s="373"/>
      <c r="D542" s="373"/>
      <c r="E542" s="373"/>
      <c r="F542" s="373"/>
      <c r="G542" s="373"/>
      <c r="H542" s="373"/>
      <c r="I542" s="373"/>
      <c r="J542" s="373"/>
      <c r="K542" s="373"/>
      <c r="L542" s="373"/>
      <c r="M542" s="373"/>
      <c r="N542" s="373"/>
      <c r="O542" s="373"/>
      <c r="P542" s="373"/>
      <c r="Q542" s="373"/>
    </row>
    <row r="543" spans="1:17" ht="14.4">
      <c r="A543" s="369"/>
      <c r="B543" s="373"/>
      <c r="C543" s="373"/>
      <c r="D543" s="373"/>
      <c r="E543" s="373"/>
      <c r="F543" s="373"/>
      <c r="G543" s="373"/>
      <c r="H543" s="373"/>
      <c r="I543" s="373"/>
      <c r="J543" s="373"/>
      <c r="K543" s="373"/>
      <c r="L543" s="373"/>
      <c r="M543" s="373"/>
      <c r="N543" s="373"/>
      <c r="O543" s="373"/>
      <c r="P543" s="373"/>
      <c r="Q543" s="373"/>
    </row>
    <row r="544" spans="1:17" ht="14.4">
      <c r="A544" s="369"/>
      <c r="B544" s="373"/>
      <c r="C544" s="373"/>
      <c r="D544" s="373"/>
      <c r="E544" s="373"/>
      <c r="F544" s="373"/>
      <c r="G544" s="373"/>
      <c r="H544" s="373"/>
      <c r="I544" s="373"/>
      <c r="J544" s="373"/>
      <c r="K544" s="373"/>
      <c r="L544" s="373"/>
      <c r="M544" s="373"/>
      <c r="N544" s="373"/>
      <c r="O544" s="373"/>
      <c r="P544" s="373"/>
      <c r="Q544" s="373"/>
    </row>
    <row r="545" spans="1:17" ht="14.4">
      <c r="A545" s="369"/>
      <c r="B545" s="373"/>
      <c r="C545" s="373"/>
      <c r="D545" s="373"/>
      <c r="E545" s="373"/>
      <c r="F545" s="373"/>
      <c r="G545" s="373"/>
      <c r="H545" s="373"/>
      <c r="I545" s="373"/>
      <c r="J545" s="373"/>
      <c r="K545" s="373"/>
      <c r="L545" s="373"/>
      <c r="M545" s="373"/>
      <c r="N545" s="373"/>
      <c r="O545" s="373"/>
      <c r="P545" s="373"/>
      <c r="Q545" s="373"/>
    </row>
    <row r="546" spans="1:17" ht="14.4">
      <c r="A546" s="369"/>
      <c r="B546" s="373"/>
      <c r="C546" s="373"/>
      <c r="D546" s="373"/>
      <c r="E546" s="373"/>
      <c r="F546" s="373"/>
      <c r="G546" s="373"/>
      <c r="H546" s="373"/>
      <c r="I546" s="373"/>
      <c r="J546" s="373"/>
      <c r="K546" s="373"/>
      <c r="L546" s="373"/>
      <c r="M546" s="373"/>
      <c r="N546" s="373"/>
      <c r="O546" s="373"/>
      <c r="P546" s="373"/>
      <c r="Q546" s="373"/>
    </row>
    <row r="547" spans="1:17" ht="14.4">
      <c r="A547" s="369"/>
      <c r="B547" s="373"/>
      <c r="C547" s="373"/>
      <c r="D547" s="373"/>
      <c r="E547" s="373"/>
      <c r="F547" s="373"/>
      <c r="G547" s="373"/>
      <c r="H547" s="373"/>
      <c r="I547" s="373"/>
      <c r="J547" s="373"/>
      <c r="K547" s="373"/>
      <c r="L547" s="373"/>
      <c r="M547" s="373"/>
      <c r="N547" s="373"/>
      <c r="O547" s="373"/>
      <c r="P547" s="373"/>
      <c r="Q547" s="373"/>
    </row>
    <row r="548" spans="1:17" ht="14.4">
      <c r="A548" s="369"/>
      <c r="B548" s="373"/>
      <c r="C548" s="373"/>
      <c r="D548" s="373"/>
      <c r="E548" s="373"/>
      <c r="F548" s="373"/>
      <c r="G548" s="373"/>
      <c r="H548" s="373"/>
      <c r="I548" s="373"/>
      <c r="J548" s="373"/>
      <c r="K548" s="373"/>
      <c r="L548" s="373"/>
      <c r="M548" s="373"/>
      <c r="N548" s="373"/>
      <c r="O548" s="373"/>
      <c r="P548" s="373"/>
      <c r="Q548" s="373"/>
    </row>
    <row r="549" spans="1:17" ht="14.4">
      <c r="A549" s="369"/>
      <c r="B549" s="373"/>
      <c r="C549" s="373"/>
      <c r="D549" s="373"/>
      <c r="E549" s="373"/>
      <c r="F549" s="373"/>
      <c r="G549" s="373"/>
      <c r="H549" s="373"/>
      <c r="I549" s="373"/>
      <c r="J549" s="373"/>
      <c r="K549" s="373"/>
      <c r="L549" s="373"/>
      <c r="M549" s="373"/>
      <c r="N549" s="373"/>
      <c r="O549" s="373"/>
      <c r="P549" s="373"/>
      <c r="Q549" s="373"/>
    </row>
    <row r="550" spans="1:17" ht="14.4">
      <c r="A550" s="369"/>
      <c r="B550" s="373"/>
      <c r="C550" s="373"/>
      <c r="D550" s="373"/>
      <c r="E550" s="373"/>
      <c r="F550" s="373"/>
      <c r="G550" s="373"/>
      <c r="H550" s="373"/>
      <c r="I550" s="373"/>
      <c r="J550" s="373"/>
      <c r="K550" s="373"/>
      <c r="L550" s="373"/>
      <c r="M550" s="373"/>
      <c r="N550" s="373"/>
      <c r="O550" s="373"/>
      <c r="P550" s="373"/>
      <c r="Q550" s="373"/>
    </row>
    <row r="551" spans="1:17" ht="14.4">
      <c r="A551" s="369"/>
      <c r="B551" s="373"/>
      <c r="C551" s="373"/>
      <c r="D551" s="373"/>
      <c r="E551" s="373"/>
      <c r="F551" s="373"/>
      <c r="G551" s="373"/>
      <c r="H551" s="373"/>
      <c r="I551" s="373"/>
      <c r="J551" s="373"/>
      <c r="K551" s="373"/>
      <c r="L551" s="373"/>
      <c r="M551" s="373"/>
      <c r="N551" s="373"/>
      <c r="O551" s="373"/>
      <c r="P551" s="373"/>
      <c r="Q551" s="373"/>
    </row>
    <row r="552" spans="1:17" ht="14.4">
      <c r="A552" s="369"/>
      <c r="B552" s="373"/>
      <c r="C552" s="373"/>
      <c r="D552" s="373"/>
      <c r="E552" s="373"/>
      <c r="F552" s="373"/>
      <c r="G552" s="373"/>
      <c r="H552" s="373"/>
      <c r="I552" s="373"/>
      <c r="J552" s="373"/>
      <c r="K552" s="373"/>
      <c r="L552" s="373"/>
      <c r="M552" s="373"/>
      <c r="N552" s="373"/>
      <c r="O552" s="373"/>
      <c r="P552" s="373"/>
      <c r="Q552" s="373"/>
    </row>
    <row r="553" spans="1:17" ht="14.4">
      <c r="A553" s="369"/>
      <c r="B553" s="373"/>
      <c r="C553" s="373"/>
      <c r="D553" s="373"/>
      <c r="E553" s="373"/>
      <c r="F553" s="373"/>
      <c r="G553" s="373"/>
      <c r="H553" s="373"/>
      <c r="I553" s="373"/>
      <c r="J553" s="373"/>
      <c r="K553" s="373"/>
      <c r="L553" s="373"/>
      <c r="M553" s="373"/>
      <c r="N553" s="373"/>
      <c r="O553" s="373"/>
      <c r="P553" s="373"/>
      <c r="Q553" s="373"/>
    </row>
    <row r="554" spans="1:17" ht="14.4">
      <c r="A554" s="369"/>
      <c r="B554" s="373"/>
      <c r="C554" s="373"/>
      <c r="D554" s="373"/>
      <c r="E554" s="373"/>
      <c r="F554" s="373"/>
      <c r="G554" s="373"/>
      <c r="H554" s="373"/>
      <c r="I554" s="373"/>
      <c r="J554" s="373"/>
      <c r="K554" s="373"/>
      <c r="L554" s="373"/>
      <c r="M554" s="373"/>
      <c r="N554" s="373"/>
      <c r="O554" s="373"/>
      <c r="P554" s="373"/>
      <c r="Q554" s="373"/>
    </row>
    <row r="555" spans="1:17" ht="14.4">
      <c r="A555" s="369"/>
      <c r="B555" s="373"/>
      <c r="C555" s="373"/>
      <c r="D555" s="373"/>
      <c r="E555" s="373"/>
      <c r="F555" s="373"/>
      <c r="G555" s="373"/>
      <c r="H555" s="373"/>
      <c r="I555" s="373"/>
      <c r="J555" s="373"/>
      <c r="K555" s="373"/>
      <c r="L555" s="373"/>
      <c r="M555" s="373"/>
      <c r="N555" s="373"/>
      <c r="O555" s="373"/>
      <c r="P555" s="373"/>
      <c r="Q555" s="373"/>
    </row>
    <row r="556" spans="1:17" ht="14.4">
      <c r="A556" s="369"/>
      <c r="B556" s="373"/>
      <c r="C556" s="373"/>
      <c r="D556" s="373"/>
      <c r="E556" s="373"/>
      <c r="F556" s="373"/>
      <c r="G556" s="373"/>
      <c r="H556" s="373"/>
      <c r="I556" s="373"/>
      <c r="J556" s="373"/>
      <c r="K556" s="373"/>
      <c r="L556" s="373"/>
      <c r="M556" s="373"/>
      <c r="N556" s="373"/>
      <c r="O556" s="373"/>
      <c r="P556" s="373"/>
      <c r="Q556" s="373"/>
    </row>
    <row r="557" spans="1:17" ht="14.4">
      <c r="A557" s="369"/>
      <c r="B557" s="373"/>
      <c r="C557" s="373"/>
      <c r="D557" s="373"/>
      <c r="E557" s="373"/>
      <c r="F557" s="373"/>
      <c r="G557" s="373"/>
      <c r="H557" s="373"/>
      <c r="I557" s="373"/>
      <c r="J557" s="373"/>
      <c r="K557" s="373"/>
      <c r="L557" s="373"/>
      <c r="M557" s="373"/>
      <c r="N557" s="373"/>
      <c r="O557" s="373"/>
      <c r="P557" s="373"/>
      <c r="Q557" s="373"/>
    </row>
    <row r="558" spans="1:17" ht="14.4">
      <c r="A558" s="369"/>
      <c r="B558" s="373"/>
      <c r="C558" s="373"/>
      <c r="D558" s="373"/>
      <c r="E558" s="373"/>
      <c r="F558" s="373"/>
      <c r="G558" s="373"/>
      <c r="H558" s="373"/>
      <c r="I558" s="373"/>
      <c r="J558" s="373"/>
      <c r="K558" s="373"/>
      <c r="L558" s="373"/>
      <c r="M558" s="373"/>
      <c r="N558" s="373"/>
      <c r="O558" s="373"/>
      <c r="P558" s="373"/>
      <c r="Q558" s="373"/>
    </row>
    <row r="559" spans="1:17" ht="14.4">
      <c r="A559" s="369"/>
      <c r="B559" s="373"/>
      <c r="C559" s="373"/>
      <c r="D559" s="373"/>
      <c r="E559" s="373"/>
      <c r="F559" s="373"/>
      <c r="G559" s="373"/>
      <c r="H559" s="373"/>
      <c r="I559" s="373"/>
      <c r="J559" s="373"/>
      <c r="K559" s="373"/>
      <c r="L559" s="373"/>
      <c r="M559" s="373"/>
      <c r="N559" s="373"/>
      <c r="O559" s="373"/>
      <c r="P559" s="373"/>
      <c r="Q559" s="373"/>
    </row>
    <row r="560" spans="1:17" ht="14.4">
      <c r="A560" s="369"/>
      <c r="B560" s="373"/>
      <c r="C560" s="373"/>
      <c r="D560" s="373"/>
      <c r="E560" s="373"/>
      <c r="F560" s="373"/>
      <c r="G560" s="373"/>
      <c r="H560" s="373"/>
      <c r="I560" s="373"/>
      <c r="J560" s="373"/>
      <c r="K560" s="373"/>
      <c r="L560" s="373"/>
      <c r="M560" s="373"/>
      <c r="N560" s="373"/>
      <c r="O560" s="373"/>
      <c r="P560" s="373"/>
      <c r="Q560" s="373"/>
    </row>
    <row r="561" spans="1:17" ht="14.4">
      <c r="A561" s="369"/>
      <c r="B561" s="373"/>
      <c r="C561" s="373"/>
      <c r="D561" s="373"/>
      <c r="E561" s="373"/>
      <c r="F561" s="373"/>
      <c r="G561" s="373"/>
      <c r="H561" s="373"/>
      <c r="I561" s="373"/>
      <c r="J561" s="373"/>
      <c r="K561" s="373"/>
      <c r="L561" s="373"/>
      <c r="M561" s="373"/>
      <c r="N561" s="373"/>
      <c r="O561" s="373"/>
      <c r="P561" s="373"/>
      <c r="Q561" s="373"/>
    </row>
    <row r="562" spans="1:17" ht="14.4">
      <c r="A562" s="369"/>
      <c r="B562" s="373"/>
      <c r="C562" s="373"/>
      <c r="D562" s="373"/>
      <c r="E562" s="373"/>
      <c r="F562" s="373"/>
      <c r="G562" s="373"/>
      <c r="H562" s="373"/>
      <c r="I562" s="373"/>
      <c r="J562" s="373"/>
      <c r="K562" s="373"/>
      <c r="L562" s="373"/>
      <c r="M562" s="373"/>
      <c r="N562" s="373"/>
      <c r="O562" s="373"/>
      <c r="P562" s="373"/>
      <c r="Q562" s="373"/>
    </row>
    <row r="563" spans="1:17" ht="14.4">
      <c r="A563" s="369"/>
      <c r="B563" s="373"/>
      <c r="C563" s="373"/>
      <c r="D563" s="373"/>
      <c r="E563" s="373"/>
      <c r="F563" s="373"/>
      <c r="G563" s="373"/>
      <c r="H563" s="373"/>
      <c r="I563" s="373"/>
      <c r="J563" s="373"/>
      <c r="K563" s="373"/>
      <c r="L563" s="373"/>
      <c r="M563" s="373"/>
      <c r="N563" s="373"/>
      <c r="O563" s="373"/>
      <c r="P563" s="373"/>
      <c r="Q563" s="373"/>
    </row>
    <row r="564" spans="1:17" ht="14.4">
      <c r="A564" s="369"/>
      <c r="B564" s="373"/>
      <c r="C564" s="373"/>
      <c r="D564" s="373"/>
      <c r="E564" s="373"/>
      <c r="F564" s="373"/>
      <c r="G564" s="373"/>
      <c r="H564" s="373"/>
      <c r="I564" s="373"/>
      <c r="J564" s="373"/>
      <c r="K564" s="373"/>
      <c r="L564" s="373"/>
      <c r="M564" s="373"/>
      <c r="N564" s="373"/>
      <c r="O564" s="373"/>
      <c r="P564" s="373"/>
      <c r="Q564" s="373"/>
    </row>
    <row r="565" spans="1:17" ht="14.4">
      <c r="A565" s="369"/>
      <c r="B565" s="373"/>
      <c r="C565" s="373"/>
      <c r="D565" s="373"/>
      <c r="E565" s="373"/>
      <c r="F565" s="373"/>
      <c r="G565" s="373"/>
      <c r="H565" s="373"/>
      <c r="I565" s="373"/>
      <c r="J565" s="373"/>
      <c r="K565" s="373"/>
      <c r="L565" s="373"/>
      <c r="M565" s="373"/>
      <c r="N565" s="373"/>
      <c r="O565" s="373"/>
      <c r="P565" s="373"/>
      <c r="Q565" s="373"/>
    </row>
    <row r="566" spans="1:17" ht="14.4">
      <c r="A566" s="369"/>
      <c r="B566" s="373"/>
      <c r="C566" s="373"/>
      <c r="D566" s="373"/>
      <c r="E566" s="373"/>
      <c r="F566" s="373"/>
      <c r="G566" s="373"/>
      <c r="H566" s="373"/>
      <c r="I566" s="373"/>
      <c r="J566" s="373"/>
      <c r="K566" s="373"/>
      <c r="L566" s="373"/>
      <c r="M566" s="373"/>
      <c r="N566" s="373"/>
      <c r="O566" s="373"/>
      <c r="P566" s="373"/>
      <c r="Q566" s="373"/>
    </row>
    <row r="567" spans="1:17" ht="14.4">
      <c r="A567" s="369"/>
      <c r="B567" s="373"/>
      <c r="C567" s="373"/>
      <c r="D567" s="373"/>
      <c r="E567" s="373"/>
      <c r="F567" s="373"/>
      <c r="G567" s="373"/>
      <c r="H567" s="373"/>
      <c r="I567" s="373"/>
      <c r="J567" s="373"/>
      <c r="K567" s="373"/>
      <c r="L567" s="373"/>
      <c r="M567" s="373"/>
      <c r="N567" s="373"/>
      <c r="O567" s="373"/>
      <c r="P567" s="373"/>
      <c r="Q567" s="373"/>
    </row>
    <row r="568" spans="1:17" ht="14.4">
      <c r="A568" s="369"/>
      <c r="B568" s="373"/>
      <c r="C568" s="373"/>
      <c r="D568" s="373"/>
      <c r="E568" s="373"/>
      <c r="F568" s="373"/>
      <c r="G568" s="373"/>
      <c r="H568" s="373"/>
      <c r="I568" s="373"/>
      <c r="J568" s="373"/>
      <c r="K568" s="373"/>
      <c r="L568" s="373"/>
      <c r="M568" s="373"/>
      <c r="N568" s="373"/>
      <c r="O568" s="373"/>
      <c r="P568" s="373"/>
      <c r="Q568" s="373"/>
    </row>
    <row r="569" spans="1:17" ht="14.4">
      <c r="A569" s="369"/>
      <c r="B569" s="373"/>
      <c r="C569" s="373"/>
      <c r="D569" s="373"/>
      <c r="E569" s="373"/>
      <c r="F569" s="373"/>
      <c r="G569" s="373"/>
      <c r="H569" s="373"/>
      <c r="I569" s="373"/>
      <c r="J569" s="373"/>
      <c r="K569" s="373"/>
      <c r="L569" s="373"/>
      <c r="M569" s="373"/>
      <c r="N569" s="373"/>
      <c r="O569" s="373"/>
      <c r="P569" s="373"/>
      <c r="Q569" s="373"/>
    </row>
    <row r="570" spans="1:17" ht="14.4">
      <c r="A570" s="369"/>
      <c r="B570" s="373"/>
      <c r="C570" s="373"/>
      <c r="D570" s="373"/>
      <c r="E570" s="373"/>
      <c r="F570" s="373"/>
      <c r="G570" s="373"/>
      <c r="H570" s="373"/>
      <c r="I570" s="373"/>
      <c r="J570" s="373"/>
      <c r="K570" s="373"/>
      <c r="L570" s="373"/>
      <c r="M570" s="373"/>
      <c r="N570" s="373"/>
      <c r="O570" s="373"/>
      <c r="P570" s="373"/>
      <c r="Q570" s="373"/>
    </row>
    <row r="571" spans="1:17" ht="14.4">
      <c r="A571" s="369"/>
      <c r="B571" s="373"/>
      <c r="C571" s="373"/>
      <c r="D571" s="373"/>
      <c r="E571" s="373"/>
      <c r="F571" s="373"/>
      <c r="G571" s="373"/>
      <c r="H571" s="373"/>
      <c r="I571" s="373"/>
      <c r="J571" s="373"/>
      <c r="K571" s="373"/>
      <c r="L571" s="373"/>
      <c r="M571" s="373"/>
      <c r="N571" s="373"/>
      <c r="O571" s="373"/>
      <c r="P571" s="373"/>
      <c r="Q571" s="373"/>
    </row>
    <row r="572" spans="1:17" ht="14.4">
      <c r="A572" s="369"/>
      <c r="B572" s="373"/>
      <c r="C572" s="373"/>
      <c r="D572" s="373"/>
      <c r="E572" s="373"/>
      <c r="F572" s="373"/>
      <c r="G572" s="373"/>
      <c r="H572" s="373"/>
      <c r="I572" s="373"/>
      <c r="J572" s="373"/>
      <c r="K572" s="373"/>
      <c r="L572" s="373"/>
      <c r="M572" s="373"/>
      <c r="N572" s="373"/>
      <c r="O572" s="373"/>
      <c r="P572" s="373"/>
      <c r="Q572" s="373"/>
    </row>
    <row r="573" spans="1:17" ht="14.4">
      <c r="A573" s="369"/>
      <c r="B573" s="373"/>
      <c r="C573" s="373"/>
      <c r="D573" s="373"/>
      <c r="E573" s="373"/>
      <c r="F573" s="373"/>
      <c r="G573" s="373"/>
      <c r="H573" s="373"/>
      <c r="I573" s="373"/>
      <c r="J573" s="373"/>
      <c r="K573" s="373"/>
      <c r="L573" s="373"/>
      <c r="M573" s="373"/>
      <c r="N573" s="373"/>
      <c r="O573" s="373"/>
      <c r="P573" s="373"/>
      <c r="Q573" s="373"/>
    </row>
    <row r="574" spans="1:17" ht="14.4">
      <c r="A574" s="369"/>
      <c r="B574" s="373"/>
      <c r="C574" s="373"/>
      <c r="D574" s="373"/>
      <c r="E574" s="373"/>
      <c r="F574" s="373"/>
      <c r="G574" s="373"/>
      <c r="H574" s="373"/>
      <c r="I574" s="373"/>
      <c r="J574" s="373"/>
      <c r="K574" s="373"/>
      <c r="L574" s="373"/>
      <c r="M574" s="373"/>
      <c r="N574" s="373"/>
      <c r="O574" s="373"/>
      <c r="P574" s="373"/>
      <c r="Q574" s="373"/>
    </row>
    <row r="575" spans="1:17" ht="14.4">
      <c r="A575" s="369"/>
      <c r="B575" s="373"/>
      <c r="C575" s="373"/>
      <c r="D575" s="373"/>
      <c r="E575" s="373"/>
      <c r="F575" s="373"/>
      <c r="G575" s="373"/>
      <c r="H575" s="373"/>
      <c r="I575" s="373"/>
      <c r="J575" s="373"/>
      <c r="K575" s="373"/>
      <c r="L575" s="373"/>
      <c r="M575" s="373"/>
      <c r="N575" s="373"/>
      <c r="O575" s="373"/>
      <c r="P575" s="373"/>
      <c r="Q575" s="373"/>
    </row>
    <row r="576" spans="1:17" ht="14.4">
      <c r="A576" s="369"/>
      <c r="B576" s="373"/>
      <c r="C576" s="373"/>
      <c r="D576" s="373"/>
      <c r="E576" s="373"/>
      <c r="F576" s="373"/>
      <c r="G576" s="373"/>
      <c r="H576" s="373"/>
      <c r="I576" s="373"/>
      <c r="J576" s="373"/>
      <c r="K576" s="373"/>
      <c r="L576" s="373"/>
      <c r="M576" s="373"/>
      <c r="N576" s="373"/>
      <c r="O576" s="373"/>
      <c r="P576" s="373"/>
      <c r="Q576" s="373"/>
    </row>
    <row r="577" spans="1:17" ht="14.4">
      <c r="A577" s="369"/>
      <c r="B577" s="373"/>
      <c r="C577" s="373"/>
      <c r="D577" s="373"/>
      <c r="E577" s="373"/>
      <c r="F577" s="373"/>
      <c r="G577" s="373"/>
      <c r="H577" s="373"/>
      <c r="I577" s="373"/>
      <c r="J577" s="373"/>
      <c r="K577" s="373"/>
      <c r="L577" s="373"/>
      <c r="M577" s="373"/>
      <c r="N577" s="373"/>
      <c r="O577" s="373"/>
      <c r="P577" s="373"/>
      <c r="Q577" s="373"/>
    </row>
    <row r="578" spans="1:17" ht="14.4">
      <c r="A578" s="369"/>
      <c r="B578" s="373"/>
      <c r="C578" s="373"/>
      <c r="D578" s="373"/>
      <c r="E578" s="373"/>
      <c r="F578" s="373"/>
      <c r="G578" s="373"/>
      <c r="H578" s="373"/>
      <c r="I578" s="373"/>
      <c r="J578" s="373"/>
      <c r="K578" s="373"/>
      <c r="L578" s="373"/>
      <c r="M578" s="373"/>
      <c r="N578" s="373"/>
      <c r="O578" s="373"/>
      <c r="P578" s="373"/>
      <c r="Q578" s="373"/>
    </row>
    <row r="579" spans="1:17" ht="14.4">
      <c r="A579" s="369"/>
      <c r="B579" s="373"/>
      <c r="C579" s="373"/>
      <c r="D579" s="373"/>
      <c r="E579" s="373"/>
      <c r="F579" s="373"/>
      <c r="G579" s="373"/>
      <c r="H579" s="373"/>
      <c r="I579" s="373"/>
      <c r="J579" s="373"/>
      <c r="K579" s="373"/>
      <c r="L579" s="373"/>
      <c r="M579" s="373"/>
      <c r="N579" s="373"/>
      <c r="O579" s="373"/>
      <c r="P579" s="373"/>
      <c r="Q579" s="373"/>
    </row>
    <row r="580" spans="1:17" ht="14.4">
      <c r="A580" s="369"/>
      <c r="B580" s="373"/>
      <c r="C580" s="373"/>
      <c r="D580" s="373"/>
      <c r="E580" s="373"/>
      <c r="F580" s="373"/>
      <c r="G580" s="373"/>
      <c r="H580" s="373"/>
      <c r="I580" s="373"/>
      <c r="J580" s="373"/>
      <c r="K580" s="373"/>
      <c r="L580" s="373"/>
      <c r="M580" s="373"/>
      <c r="N580" s="373"/>
      <c r="O580" s="373"/>
      <c r="P580" s="373"/>
      <c r="Q580" s="373"/>
    </row>
    <row r="581" spans="1:17" ht="14.4">
      <c r="A581" s="369"/>
      <c r="B581" s="373"/>
      <c r="C581" s="373"/>
      <c r="D581" s="373"/>
      <c r="E581" s="373"/>
      <c r="F581" s="373"/>
      <c r="G581" s="373"/>
      <c r="H581" s="373"/>
      <c r="I581" s="373"/>
      <c r="J581" s="373"/>
      <c r="K581" s="373"/>
      <c r="L581" s="373"/>
      <c r="M581" s="373"/>
      <c r="N581" s="373"/>
      <c r="O581" s="373"/>
      <c r="P581" s="373"/>
      <c r="Q581" s="373"/>
    </row>
    <row r="582" spans="1:17" ht="14.4">
      <c r="A582" s="369"/>
      <c r="B582" s="373"/>
      <c r="C582" s="373"/>
      <c r="D582" s="373"/>
      <c r="E582" s="373"/>
      <c r="F582" s="373"/>
      <c r="G582" s="373"/>
      <c r="H582" s="373"/>
      <c r="I582" s="373"/>
      <c r="J582" s="373"/>
      <c r="K582" s="373"/>
      <c r="L582" s="373"/>
      <c r="M582" s="373"/>
      <c r="N582" s="373"/>
      <c r="O582" s="373"/>
      <c r="P582" s="373"/>
      <c r="Q582" s="373"/>
    </row>
    <row r="583" spans="1:17" ht="14.4">
      <c r="A583" s="369"/>
      <c r="B583" s="373"/>
      <c r="C583" s="373"/>
      <c r="D583" s="373"/>
      <c r="E583" s="373"/>
      <c r="F583" s="373"/>
      <c r="G583" s="373"/>
      <c r="H583" s="373"/>
      <c r="I583" s="373"/>
      <c r="J583" s="373"/>
      <c r="K583" s="373"/>
      <c r="L583" s="373"/>
      <c r="M583" s="373"/>
      <c r="N583" s="373"/>
      <c r="O583" s="373"/>
      <c r="P583" s="373"/>
      <c r="Q583" s="373"/>
    </row>
    <row r="584" spans="1:17" ht="14.4">
      <c r="A584" s="369"/>
      <c r="B584" s="373"/>
      <c r="C584" s="373"/>
      <c r="D584" s="373"/>
      <c r="E584" s="373"/>
      <c r="F584" s="373"/>
      <c r="G584" s="373"/>
      <c r="H584" s="373"/>
      <c r="I584" s="373"/>
      <c r="J584" s="373"/>
      <c r="K584" s="373"/>
      <c r="L584" s="373"/>
      <c r="M584" s="373"/>
      <c r="N584" s="373"/>
      <c r="O584" s="373"/>
      <c r="P584" s="373"/>
      <c r="Q584" s="373"/>
    </row>
    <row r="585" spans="1:17" ht="14.4">
      <c r="A585" s="369"/>
      <c r="B585" s="373"/>
      <c r="C585" s="373"/>
      <c r="D585" s="373"/>
      <c r="E585" s="373"/>
      <c r="F585" s="373"/>
      <c r="G585" s="373"/>
      <c r="H585" s="373"/>
      <c r="I585" s="373"/>
      <c r="J585" s="373"/>
      <c r="K585" s="373"/>
      <c r="L585" s="373"/>
      <c r="M585" s="373"/>
      <c r="N585" s="373"/>
      <c r="O585" s="373"/>
      <c r="P585" s="373"/>
      <c r="Q585" s="373"/>
    </row>
    <row r="586" spans="1:17" ht="14.4">
      <c r="A586" s="369"/>
      <c r="B586" s="373"/>
      <c r="C586" s="373"/>
      <c r="D586" s="373"/>
      <c r="E586" s="373"/>
      <c r="F586" s="373"/>
      <c r="G586" s="373"/>
      <c r="H586" s="373"/>
      <c r="I586" s="373"/>
      <c r="J586" s="373"/>
      <c r="K586" s="373"/>
      <c r="L586" s="373"/>
      <c r="M586" s="373"/>
      <c r="N586" s="373"/>
      <c r="O586" s="373"/>
      <c r="P586" s="373"/>
      <c r="Q586" s="373"/>
    </row>
    <row r="587" spans="1:17" ht="14.4">
      <c r="A587" s="369"/>
      <c r="B587" s="373"/>
      <c r="C587" s="373"/>
      <c r="D587" s="373"/>
      <c r="E587" s="373"/>
      <c r="F587" s="373"/>
      <c r="G587" s="373"/>
      <c r="H587" s="373"/>
      <c r="I587" s="373"/>
      <c r="J587" s="373"/>
      <c r="K587" s="373"/>
      <c r="L587" s="373"/>
      <c r="M587" s="373"/>
      <c r="N587" s="373"/>
      <c r="O587" s="373"/>
      <c r="P587" s="373"/>
      <c r="Q587" s="373"/>
    </row>
    <row r="588" spans="1:17" ht="14.4">
      <c r="A588" s="369"/>
      <c r="B588" s="373"/>
      <c r="C588" s="373"/>
      <c r="D588" s="373"/>
      <c r="E588" s="373"/>
      <c r="F588" s="373"/>
      <c r="G588" s="373"/>
      <c r="H588" s="373"/>
      <c r="I588" s="373"/>
      <c r="J588" s="373"/>
      <c r="K588" s="373"/>
      <c r="L588" s="373"/>
      <c r="M588" s="373"/>
      <c r="N588" s="373"/>
      <c r="O588" s="373"/>
      <c r="P588" s="373"/>
      <c r="Q588" s="373"/>
    </row>
    <row r="589" spans="1:17" ht="14.4">
      <c r="A589" s="369"/>
      <c r="B589" s="373"/>
      <c r="C589" s="373"/>
      <c r="D589" s="373"/>
      <c r="E589" s="373"/>
      <c r="F589" s="373"/>
      <c r="G589" s="373"/>
      <c r="H589" s="373"/>
      <c r="I589" s="373"/>
      <c r="J589" s="373"/>
      <c r="K589" s="373"/>
      <c r="L589" s="373"/>
      <c r="M589" s="373"/>
      <c r="N589" s="373"/>
      <c r="O589" s="373"/>
      <c r="P589" s="373"/>
      <c r="Q589" s="373"/>
    </row>
    <row r="590" spans="1:17" ht="14.4">
      <c r="A590" s="369"/>
      <c r="B590" s="373"/>
      <c r="C590" s="373"/>
      <c r="D590" s="373"/>
      <c r="E590" s="373"/>
      <c r="F590" s="373"/>
      <c r="G590" s="373"/>
      <c r="H590" s="373"/>
      <c r="I590" s="373"/>
      <c r="J590" s="373"/>
      <c r="K590" s="373"/>
      <c r="L590" s="373"/>
      <c r="M590" s="373"/>
      <c r="N590" s="373"/>
      <c r="O590" s="373"/>
      <c r="P590" s="373"/>
      <c r="Q590" s="373"/>
    </row>
    <row r="591" spans="1:17" ht="14.4">
      <c r="A591" s="369"/>
      <c r="B591" s="373"/>
      <c r="C591" s="373"/>
      <c r="D591" s="373"/>
      <c r="E591" s="373"/>
      <c r="F591" s="373"/>
      <c r="G591" s="373"/>
      <c r="H591" s="373"/>
      <c r="I591" s="373"/>
      <c r="J591" s="373"/>
      <c r="K591" s="373"/>
      <c r="L591" s="373"/>
      <c r="M591" s="373"/>
      <c r="N591" s="373"/>
      <c r="O591" s="373"/>
      <c r="P591" s="373"/>
      <c r="Q591" s="373"/>
    </row>
    <row r="592" spans="1:17" ht="14.4">
      <c r="A592" s="369"/>
      <c r="B592" s="373"/>
      <c r="C592" s="373"/>
      <c r="D592" s="373"/>
      <c r="E592" s="373"/>
      <c r="F592" s="373"/>
      <c r="G592" s="373"/>
      <c r="H592" s="373"/>
      <c r="I592" s="373"/>
      <c r="J592" s="373"/>
      <c r="K592" s="373"/>
      <c r="L592" s="373"/>
      <c r="M592" s="373"/>
      <c r="N592" s="373"/>
      <c r="O592" s="373"/>
      <c r="P592" s="373"/>
      <c r="Q592" s="373"/>
    </row>
    <row r="593" spans="1:17" ht="14.4">
      <c r="A593" s="369"/>
      <c r="B593" s="373"/>
      <c r="C593" s="373"/>
      <c r="D593" s="373"/>
      <c r="E593" s="373"/>
      <c r="F593" s="373"/>
      <c r="G593" s="373"/>
      <c r="H593" s="373"/>
      <c r="I593" s="373"/>
      <c r="J593" s="373"/>
      <c r="K593" s="373"/>
      <c r="L593" s="373"/>
      <c r="M593" s="373"/>
      <c r="N593" s="373"/>
      <c r="O593" s="373"/>
      <c r="P593" s="373"/>
      <c r="Q593" s="373"/>
    </row>
    <row r="594" spans="1:17" ht="14.4">
      <c r="A594" s="369"/>
      <c r="B594" s="373"/>
      <c r="C594" s="373"/>
      <c r="D594" s="373"/>
      <c r="E594" s="373"/>
      <c r="F594" s="373"/>
      <c r="G594" s="373"/>
      <c r="H594" s="373"/>
      <c r="I594" s="373"/>
      <c r="J594" s="373"/>
      <c r="K594" s="373"/>
      <c r="L594" s="373"/>
      <c r="M594" s="373"/>
      <c r="N594" s="373"/>
      <c r="O594" s="373"/>
      <c r="P594" s="373"/>
      <c r="Q594" s="373"/>
    </row>
    <row r="595" spans="1:17" ht="14.4">
      <c r="A595" s="369"/>
      <c r="B595" s="373"/>
      <c r="C595" s="373"/>
      <c r="D595" s="373"/>
      <c r="E595" s="373"/>
      <c r="F595" s="373"/>
      <c r="G595" s="373"/>
      <c r="H595" s="373"/>
      <c r="I595" s="373"/>
      <c r="J595" s="373"/>
      <c r="K595" s="373"/>
      <c r="L595" s="373"/>
      <c r="M595" s="373"/>
      <c r="N595" s="373"/>
      <c r="O595" s="373"/>
      <c r="P595" s="373"/>
      <c r="Q595" s="373"/>
    </row>
    <row r="596" spans="1:17" ht="14.4">
      <c r="A596" s="369"/>
      <c r="B596" s="373"/>
      <c r="C596" s="373"/>
      <c r="D596" s="373"/>
      <c r="E596" s="373"/>
      <c r="F596" s="373"/>
      <c r="G596" s="373"/>
      <c r="H596" s="373"/>
      <c r="I596" s="373"/>
      <c r="J596" s="373"/>
      <c r="K596" s="373"/>
      <c r="L596" s="373"/>
      <c r="M596" s="373"/>
      <c r="N596" s="373"/>
      <c r="O596" s="373"/>
      <c r="P596" s="373"/>
      <c r="Q596" s="373"/>
    </row>
    <row r="597" spans="1:17" ht="14.4">
      <c r="A597" s="369"/>
      <c r="B597" s="373"/>
      <c r="C597" s="373"/>
      <c r="D597" s="373"/>
      <c r="E597" s="373"/>
      <c r="F597" s="373"/>
      <c r="G597" s="373"/>
      <c r="H597" s="373"/>
      <c r="I597" s="373"/>
      <c r="J597" s="373"/>
      <c r="K597" s="373"/>
      <c r="L597" s="373"/>
      <c r="M597" s="373"/>
      <c r="N597" s="373"/>
      <c r="O597" s="373"/>
      <c r="P597" s="373"/>
      <c r="Q597" s="373"/>
    </row>
    <row r="598" spans="1:17" ht="14.4">
      <c r="A598" s="369"/>
      <c r="B598" s="373"/>
      <c r="C598" s="373"/>
      <c r="D598" s="373"/>
      <c r="E598" s="373"/>
      <c r="F598" s="373"/>
      <c r="G598" s="373"/>
      <c r="H598" s="373"/>
      <c r="I598" s="373"/>
      <c r="J598" s="373"/>
      <c r="K598" s="373"/>
      <c r="L598" s="373"/>
      <c r="M598" s="373"/>
      <c r="N598" s="373"/>
      <c r="O598" s="373"/>
      <c r="P598" s="373"/>
      <c r="Q598" s="373"/>
    </row>
    <row r="599" spans="1:17" ht="14.4">
      <c r="A599" s="369"/>
      <c r="B599" s="373"/>
      <c r="C599" s="373"/>
      <c r="D599" s="373"/>
      <c r="E599" s="373"/>
      <c r="F599" s="373"/>
      <c r="G599" s="373"/>
      <c r="H599" s="373"/>
      <c r="I599" s="373"/>
      <c r="J599" s="373"/>
      <c r="K599" s="373"/>
      <c r="L599" s="373"/>
      <c r="M599" s="373"/>
      <c r="N599" s="373"/>
      <c r="O599" s="373"/>
      <c r="P599" s="373"/>
      <c r="Q599" s="373"/>
    </row>
    <row r="600" spans="1:17" ht="14.4">
      <c r="A600" s="369"/>
      <c r="B600" s="373"/>
      <c r="C600" s="373"/>
      <c r="D600" s="373"/>
      <c r="E600" s="373"/>
      <c r="F600" s="373"/>
      <c r="G600" s="373"/>
      <c r="H600" s="373"/>
      <c r="I600" s="373"/>
      <c r="J600" s="373"/>
      <c r="K600" s="373"/>
      <c r="L600" s="373"/>
      <c r="M600" s="373"/>
      <c r="N600" s="373"/>
      <c r="O600" s="373"/>
      <c r="P600" s="373"/>
      <c r="Q600" s="373"/>
    </row>
    <row r="601" spans="1:17" ht="14.4">
      <c r="A601" s="369"/>
      <c r="B601" s="373"/>
      <c r="C601" s="373"/>
      <c r="D601" s="373"/>
      <c r="E601" s="373"/>
      <c r="F601" s="373"/>
      <c r="G601" s="373"/>
      <c r="H601" s="373"/>
      <c r="I601" s="373"/>
      <c r="J601" s="373"/>
      <c r="K601" s="373"/>
      <c r="L601" s="373"/>
      <c r="M601" s="373"/>
      <c r="N601" s="373"/>
      <c r="O601" s="373"/>
      <c r="P601" s="373"/>
      <c r="Q601" s="373"/>
    </row>
    <row r="602" spans="1:17" ht="14.4">
      <c r="A602" s="369"/>
      <c r="B602" s="373"/>
      <c r="C602" s="373"/>
      <c r="D602" s="373"/>
      <c r="E602" s="373"/>
      <c r="F602" s="373"/>
      <c r="G602" s="373"/>
      <c r="H602" s="373"/>
      <c r="I602" s="373"/>
      <c r="J602" s="373"/>
      <c r="K602" s="373"/>
      <c r="L602" s="373"/>
      <c r="M602" s="373"/>
      <c r="N602" s="373"/>
      <c r="O602" s="373"/>
      <c r="P602" s="373"/>
      <c r="Q602" s="373"/>
    </row>
    <row r="603" spans="1:17" ht="14.4">
      <c r="A603" s="369"/>
      <c r="B603" s="373"/>
      <c r="C603" s="373"/>
      <c r="D603" s="373"/>
      <c r="E603" s="373"/>
      <c r="F603" s="373"/>
      <c r="G603" s="373"/>
      <c r="H603" s="373"/>
      <c r="I603" s="373"/>
      <c r="J603" s="373"/>
      <c r="K603" s="373"/>
      <c r="L603" s="373"/>
      <c r="M603" s="373"/>
      <c r="N603" s="373"/>
      <c r="O603" s="373"/>
      <c r="P603" s="373"/>
      <c r="Q603" s="373"/>
    </row>
    <row r="604" spans="1:17" ht="14.4">
      <c r="A604" s="369"/>
      <c r="B604" s="373"/>
      <c r="C604" s="373"/>
      <c r="D604" s="373"/>
      <c r="E604" s="373"/>
      <c r="F604" s="373"/>
      <c r="G604" s="373"/>
      <c r="H604" s="373"/>
      <c r="I604" s="373"/>
      <c r="J604" s="373"/>
      <c r="K604" s="373"/>
      <c r="L604" s="373"/>
      <c r="M604" s="373"/>
      <c r="N604" s="373"/>
      <c r="O604" s="373"/>
      <c r="P604" s="373"/>
      <c r="Q604" s="373"/>
    </row>
    <row r="605" spans="1:17" ht="14.4">
      <c r="A605" s="369"/>
      <c r="B605" s="373"/>
      <c r="C605" s="373"/>
      <c r="D605" s="373"/>
      <c r="E605" s="373"/>
      <c r="F605" s="373"/>
      <c r="G605" s="373"/>
      <c r="H605" s="373"/>
      <c r="I605" s="373"/>
      <c r="J605" s="373"/>
      <c r="K605" s="373"/>
      <c r="L605" s="373"/>
      <c r="M605" s="373"/>
      <c r="N605" s="373"/>
      <c r="O605" s="373"/>
      <c r="P605" s="373"/>
      <c r="Q605" s="373"/>
    </row>
    <row r="606" spans="1:17" ht="14.4">
      <c r="A606" s="369"/>
      <c r="B606" s="373"/>
      <c r="C606" s="373"/>
      <c r="D606" s="373"/>
      <c r="E606" s="373"/>
      <c r="F606" s="373"/>
      <c r="G606" s="373"/>
      <c r="H606" s="373"/>
      <c r="I606" s="373"/>
      <c r="J606" s="373"/>
      <c r="K606" s="373"/>
      <c r="L606" s="373"/>
      <c r="M606" s="373"/>
      <c r="N606" s="373"/>
      <c r="O606" s="373"/>
      <c r="P606" s="373"/>
      <c r="Q606" s="373"/>
    </row>
    <row r="607" spans="1:17" ht="14.4">
      <c r="A607" s="369"/>
      <c r="B607" s="373"/>
      <c r="C607" s="373"/>
      <c r="D607" s="373"/>
      <c r="E607" s="373"/>
      <c r="F607" s="373"/>
      <c r="G607" s="373"/>
      <c r="H607" s="373"/>
      <c r="I607" s="373"/>
      <c r="J607" s="373"/>
      <c r="K607" s="373"/>
      <c r="L607" s="373"/>
      <c r="M607" s="373"/>
      <c r="N607" s="373"/>
      <c r="O607" s="373"/>
      <c r="P607" s="373"/>
      <c r="Q607" s="373"/>
    </row>
    <row r="608" spans="1:17" ht="14.4">
      <c r="A608" s="369"/>
      <c r="B608" s="373"/>
      <c r="C608" s="373"/>
      <c r="D608" s="373"/>
      <c r="E608" s="373"/>
      <c r="F608" s="373"/>
      <c r="G608" s="373"/>
      <c r="H608" s="373"/>
      <c r="I608" s="373"/>
      <c r="J608" s="373"/>
      <c r="K608" s="373"/>
      <c r="L608" s="373"/>
      <c r="M608" s="373"/>
      <c r="N608" s="373"/>
      <c r="O608" s="373"/>
      <c r="P608" s="373"/>
      <c r="Q608" s="373"/>
    </row>
    <row r="609" spans="1:17" ht="14.4">
      <c r="A609" s="369"/>
      <c r="B609" s="373"/>
      <c r="C609" s="373"/>
      <c r="D609" s="373"/>
      <c r="E609" s="373"/>
      <c r="F609" s="373"/>
      <c r="G609" s="373"/>
      <c r="H609" s="373"/>
      <c r="I609" s="373"/>
      <c r="J609" s="373"/>
      <c r="K609" s="373"/>
      <c r="L609" s="373"/>
      <c r="M609" s="373"/>
      <c r="N609" s="373"/>
      <c r="O609" s="373"/>
      <c r="P609" s="373"/>
      <c r="Q609" s="373"/>
    </row>
    <row r="610" spans="1:17" ht="14.4">
      <c r="A610" s="369"/>
      <c r="B610" s="373"/>
      <c r="C610" s="373"/>
      <c r="D610" s="373"/>
      <c r="E610" s="373"/>
      <c r="F610" s="373"/>
      <c r="G610" s="373"/>
      <c r="H610" s="373"/>
      <c r="I610" s="373"/>
      <c r="J610" s="373"/>
      <c r="K610" s="373"/>
      <c r="L610" s="373"/>
      <c r="M610" s="373"/>
      <c r="N610" s="373"/>
      <c r="O610" s="373"/>
      <c r="P610" s="373"/>
      <c r="Q610" s="373"/>
    </row>
    <row r="611" spans="1:17" ht="14.4">
      <c r="A611" s="369"/>
      <c r="B611" s="373"/>
      <c r="C611" s="373"/>
      <c r="D611" s="373"/>
      <c r="E611" s="373"/>
      <c r="F611" s="373"/>
      <c r="G611" s="373"/>
      <c r="H611" s="373"/>
      <c r="I611" s="373"/>
      <c r="J611" s="373"/>
      <c r="K611" s="373"/>
      <c r="L611" s="373"/>
      <c r="M611" s="373"/>
      <c r="N611" s="373"/>
      <c r="O611" s="373"/>
      <c r="P611" s="373"/>
      <c r="Q611" s="373"/>
    </row>
    <row r="612" spans="1:17" ht="14.4">
      <c r="A612" s="369"/>
      <c r="B612" s="373"/>
      <c r="C612" s="373"/>
      <c r="D612" s="373"/>
      <c r="E612" s="373"/>
      <c r="F612" s="373"/>
      <c r="G612" s="373"/>
      <c r="H612" s="373"/>
      <c r="I612" s="373"/>
      <c r="J612" s="373"/>
      <c r="K612" s="373"/>
      <c r="L612" s="373"/>
      <c r="M612" s="373"/>
      <c r="N612" s="373"/>
      <c r="O612" s="373"/>
      <c r="P612" s="373"/>
      <c r="Q612" s="373"/>
    </row>
    <row r="613" spans="1:17" ht="14.4">
      <c r="A613" s="369"/>
      <c r="B613" s="373"/>
      <c r="C613" s="373"/>
      <c r="D613" s="373"/>
      <c r="E613" s="373"/>
      <c r="F613" s="373"/>
      <c r="G613" s="373"/>
      <c r="H613" s="373"/>
      <c r="I613" s="373"/>
      <c r="J613" s="373"/>
      <c r="K613" s="373"/>
      <c r="L613" s="373"/>
      <c r="M613" s="373"/>
      <c r="N613" s="373"/>
      <c r="O613" s="373"/>
      <c r="P613" s="373"/>
      <c r="Q613" s="373"/>
    </row>
    <row r="614" spans="1:17" ht="14.4">
      <c r="A614" s="369"/>
      <c r="B614" s="373"/>
      <c r="C614" s="373"/>
      <c r="D614" s="373"/>
      <c r="E614" s="373"/>
      <c r="F614" s="373"/>
      <c r="G614" s="373"/>
      <c r="H614" s="373"/>
      <c r="I614" s="373"/>
      <c r="J614" s="373"/>
      <c r="K614" s="373"/>
      <c r="L614" s="373"/>
      <c r="M614" s="373"/>
      <c r="N614" s="373"/>
      <c r="O614" s="373"/>
      <c r="P614" s="373"/>
      <c r="Q614" s="373"/>
    </row>
    <row r="615" spans="1:17" ht="14.4">
      <c r="A615" s="369"/>
      <c r="B615" s="373"/>
      <c r="C615" s="373"/>
      <c r="D615" s="373"/>
      <c r="E615" s="373"/>
      <c r="F615" s="373"/>
      <c r="G615" s="373"/>
      <c r="H615" s="373"/>
      <c r="I615" s="373"/>
      <c r="J615" s="373"/>
      <c r="K615" s="373"/>
      <c r="L615" s="373"/>
      <c r="M615" s="373"/>
      <c r="N615" s="373"/>
      <c r="O615" s="373"/>
      <c r="P615" s="373"/>
      <c r="Q615" s="373"/>
    </row>
    <row r="616" spans="1:17" ht="14.4">
      <c r="A616" s="369"/>
      <c r="B616" s="373"/>
      <c r="C616" s="373"/>
      <c r="D616" s="373"/>
      <c r="E616" s="373"/>
      <c r="F616" s="373"/>
      <c r="G616" s="373"/>
      <c r="H616" s="373"/>
      <c r="I616" s="373"/>
      <c r="J616" s="373"/>
      <c r="K616" s="373"/>
      <c r="L616" s="373"/>
      <c r="M616" s="373"/>
      <c r="N616" s="373"/>
      <c r="O616" s="373"/>
      <c r="P616" s="373"/>
      <c r="Q616" s="373"/>
    </row>
    <row r="617" spans="1:17" ht="14.4">
      <c r="A617" s="369"/>
      <c r="B617" s="373"/>
      <c r="C617" s="373"/>
      <c r="D617" s="373"/>
      <c r="E617" s="373"/>
      <c r="F617" s="373"/>
      <c r="G617" s="373"/>
      <c r="H617" s="373"/>
      <c r="I617" s="373"/>
      <c r="J617" s="373"/>
      <c r="K617" s="373"/>
      <c r="L617" s="373"/>
      <c r="M617" s="373"/>
      <c r="N617" s="373"/>
      <c r="O617" s="373"/>
      <c r="P617" s="373"/>
      <c r="Q617" s="373"/>
    </row>
    <row r="618" spans="1:17" ht="14.4">
      <c r="A618" s="369"/>
      <c r="B618" s="373"/>
      <c r="C618" s="373"/>
      <c r="D618" s="373"/>
      <c r="E618" s="373"/>
      <c r="F618" s="373"/>
      <c r="G618" s="373"/>
      <c r="H618" s="373"/>
      <c r="I618" s="373"/>
      <c r="J618" s="373"/>
      <c r="K618" s="373"/>
      <c r="L618" s="373"/>
      <c r="M618" s="373"/>
      <c r="N618" s="373"/>
      <c r="O618" s="373"/>
      <c r="P618" s="373"/>
      <c r="Q618" s="373"/>
    </row>
    <row r="619" spans="1:17" ht="14.4">
      <c r="A619" s="369"/>
      <c r="B619" s="373"/>
      <c r="C619" s="373"/>
      <c r="D619" s="373"/>
      <c r="E619" s="373"/>
      <c r="F619" s="373"/>
      <c r="G619" s="373"/>
      <c r="H619" s="373"/>
      <c r="I619" s="373"/>
      <c r="J619" s="373"/>
      <c r="K619" s="373"/>
      <c r="L619" s="373"/>
      <c r="M619" s="373"/>
      <c r="N619" s="373"/>
      <c r="O619" s="373"/>
      <c r="P619" s="373"/>
      <c r="Q619" s="373"/>
    </row>
    <row r="620" spans="1:17" ht="14.4">
      <c r="A620" s="369"/>
      <c r="B620" s="373"/>
      <c r="C620" s="373"/>
      <c r="D620" s="373"/>
      <c r="E620" s="373"/>
      <c r="F620" s="373"/>
      <c r="G620" s="373"/>
      <c r="H620" s="373"/>
      <c r="I620" s="373"/>
      <c r="J620" s="373"/>
      <c r="K620" s="373"/>
      <c r="L620" s="373"/>
      <c r="M620" s="373"/>
      <c r="N620" s="373"/>
      <c r="O620" s="373"/>
      <c r="P620" s="373"/>
      <c r="Q620" s="373"/>
    </row>
    <row r="621" spans="1:17" ht="14.4">
      <c r="A621" s="369"/>
      <c r="B621" s="373"/>
      <c r="C621" s="373"/>
      <c r="D621" s="373"/>
      <c r="E621" s="373"/>
      <c r="F621" s="373"/>
      <c r="G621" s="373"/>
      <c r="H621" s="373"/>
      <c r="I621" s="373"/>
      <c r="J621" s="373"/>
      <c r="K621" s="373"/>
      <c r="L621" s="373"/>
      <c r="M621" s="373"/>
      <c r="N621" s="373"/>
      <c r="O621" s="373"/>
      <c r="P621" s="373"/>
      <c r="Q621" s="373"/>
    </row>
    <row r="622" spans="1:17" ht="14.4">
      <c r="A622" s="369"/>
      <c r="B622" s="373"/>
      <c r="C622" s="373"/>
      <c r="D622" s="373"/>
      <c r="E622" s="373"/>
      <c r="F622" s="373"/>
      <c r="G622" s="373"/>
      <c r="H622" s="373"/>
      <c r="I622" s="373"/>
      <c r="J622" s="373"/>
      <c r="K622" s="373"/>
      <c r="L622" s="373"/>
      <c r="M622" s="373"/>
      <c r="N622" s="373"/>
      <c r="O622" s="373"/>
      <c r="P622" s="373"/>
      <c r="Q622" s="373"/>
    </row>
    <row r="623" spans="1:17" ht="14.4">
      <c r="A623" s="369"/>
      <c r="B623" s="373"/>
      <c r="C623" s="373"/>
      <c r="D623" s="373"/>
      <c r="E623" s="373"/>
      <c r="F623" s="373"/>
      <c r="G623" s="373"/>
      <c r="H623" s="373"/>
      <c r="I623" s="373"/>
      <c r="J623" s="373"/>
      <c r="K623" s="373"/>
      <c r="L623" s="373"/>
      <c r="M623" s="373"/>
      <c r="N623" s="373"/>
      <c r="O623" s="373"/>
      <c r="P623" s="373"/>
      <c r="Q623" s="373"/>
    </row>
    <row r="624" spans="1:17" ht="14.4">
      <c r="A624" s="369"/>
      <c r="B624" s="373"/>
      <c r="C624" s="373"/>
      <c r="D624" s="373"/>
      <c r="E624" s="373"/>
      <c r="F624" s="373"/>
      <c r="G624" s="373"/>
      <c r="H624" s="373"/>
      <c r="I624" s="373"/>
      <c r="J624" s="373"/>
      <c r="K624" s="373"/>
      <c r="L624" s="373"/>
      <c r="M624" s="373"/>
      <c r="N624" s="373"/>
      <c r="O624" s="373"/>
      <c r="P624" s="373"/>
      <c r="Q624" s="373"/>
    </row>
    <row r="625" spans="1:17" ht="14.4">
      <c r="A625" s="369"/>
      <c r="B625" s="373"/>
      <c r="C625" s="373"/>
      <c r="D625" s="373"/>
      <c r="E625" s="373"/>
      <c r="F625" s="373"/>
      <c r="G625" s="373"/>
      <c r="H625" s="373"/>
      <c r="I625" s="373"/>
      <c r="J625" s="373"/>
      <c r="K625" s="373"/>
      <c r="L625" s="373"/>
      <c r="M625" s="373"/>
      <c r="N625" s="373"/>
      <c r="O625" s="373"/>
      <c r="P625" s="373"/>
      <c r="Q625" s="373"/>
    </row>
    <row r="626" spans="1:17" ht="14.4">
      <c r="A626" s="369"/>
      <c r="B626" s="373"/>
      <c r="C626" s="373"/>
      <c r="D626" s="373"/>
      <c r="E626" s="373"/>
      <c r="F626" s="373"/>
      <c r="G626" s="373"/>
      <c r="H626" s="373"/>
      <c r="I626" s="373"/>
      <c r="J626" s="373"/>
      <c r="K626" s="373"/>
      <c r="L626" s="373"/>
      <c r="M626" s="373"/>
      <c r="N626" s="373"/>
      <c r="O626" s="373"/>
      <c r="P626" s="373"/>
      <c r="Q626" s="373"/>
    </row>
    <row r="627" spans="1:17" ht="14.4">
      <c r="A627" s="369"/>
      <c r="B627" s="373"/>
      <c r="C627" s="373"/>
      <c r="D627" s="373"/>
      <c r="E627" s="373"/>
      <c r="F627" s="373"/>
      <c r="G627" s="373"/>
      <c r="H627" s="373"/>
      <c r="I627" s="373"/>
      <c r="J627" s="373"/>
      <c r="K627" s="373"/>
      <c r="L627" s="373"/>
      <c r="M627" s="373"/>
      <c r="N627" s="373"/>
      <c r="O627" s="373"/>
      <c r="P627" s="373"/>
      <c r="Q627" s="373"/>
    </row>
    <row r="628" spans="1:17" ht="14.4">
      <c r="A628" s="369"/>
      <c r="B628" s="373"/>
      <c r="C628" s="373"/>
      <c r="D628" s="373"/>
      <c r="E628" s="373"/>
      <c r="F628" s="373"/>
      <c r="G628" s="373"/>
      <c r="H628" s="373"/>
      <c r="I628" s="373"/>
      <c r="J628" s="373"/>
      <c r="K628" s="373"/>
      <c r="L628" s="373"/>
      <c r="M628" s="373"/>
      <c r="N628" s="373"/>
      <c r="O628" s="373"/>
      <c r="P628" s="373"/>
      <c r="Q628" s="373"/>
    </row>
    <row r="629" spans="1:17" ht="14.4">
      <c r="A629" s="369"/>
      <c r="B629" s="373"/>
      <c r="C629" s="373"/>
      <c r="D629" s="373"/>
      <c r="E629" s="373"/>
      <c r="F629" s="373"/>
      <c r="G629" s="373"/>
      <c r="H629" s="373"/>
      <c r="I629" s="373"/>
      <c r="J629" s="373"/>
      <c r="K629" s="373"/>
      <c r="L629" s="373"/>
      <c r="M629" s="373"/>
      <c r="N629" s="373"/>
      <c r="O629" s="373"/>
      <c r="P629" s="373"/>
      <c r="Q629" s="373"/>
    </row>
    <row r="630" spans="1:17" ht="14.4">
      <c r="A630" s="369"/>
      <c r="B630" s="373"/>
      <c r="C630" s="373"/>
      <c r="D630" s="373"/>
      <c r="E630" s="373"/>
      <c r="F630" s="373"/>
      <c r="G630" s="373"/>
      <c r="H630" s="373"/>
      <c r="I630" s="373"/>
      <c r="J630" s="373"/>
      <c r="K630" s="373"/>
      <c r="L630" s="373"/>
      <c r="M630" s="373"/>
      <c r="N630" s="373"/>
      <c r="O630" s="373"/>
      <c r="P630" s="373"/>
      <c r="Q630" s="373"/>
    </row>
    <row r="631" spans="1:17" ht="14.4">
      <c r="A631" s="369"/>
      <c r="B631" s="373"/>
      <c r="C631" s="373"/>
      <c r="D631" s="373"/>
      <c r="E631" s="373"/>
      <c r="F631" s="373"/>
      <c r="G631" s="373"/>
      <c r="H631" s="373"/>
      <c r="I631" s="373"/>
      <c r="J631" s="373"/>
      <c r="K631" s="373"/>
      <c r="L631" s="373"/>
      <c r="M631" s="373"/>
      <c r="N631" s="373"/>
      <c r="O631" s="373"/>
      <c r="P631" s="373"/>
      <c r="Q631" s="373"/>
    </row>
    <row r="632" spans="1:17" ht="14.4">
      <c r="A632" s="369"/>
      <c r="B632" s="373"/>
      <c r="C632" s="373"/>
      <c r="D632" s="373"/>
      <c r="E632" s="373"/>
      <c r="F632" s="373"/>
      <c r="G632" s="373"/>
      <c r="H632" s="373"/>
      <c r="I632" s="373"/>
      <c r="J632" s="373"/>
      <c r="K632" s="373"/>
      <c r="L632" s="373"/>
      <c r="M632" s="373"/>
      <c r="N632" s="373"/>
      <c r="O632" s="373"/>
      <c r="P632" s="373"/>
      <c r="Q632" s="373"/>
    </row>
    <row r="633" spans="1:17" ht="14.4">
      <c r="A633" s="369"/>
      <c r="B633" s="373"/>
      <c r="C633" s="373"/>
      <c r="D633" s="373"/>
      <c r="E633" s="373"/>
      <c r="F633" s="373"/>
      <c r="G633" s="373"/>
      <c r="H633" s="373"/>
      <c r="I633" s="373"/>
      <c r="J633" s="373"/>
      <c r="K633" s="373"/>
      <c r="L633" s="373"/>
      <c r="M633" s="373"/>
      <c r="N633" s="373"/>
      <c r="O633" s="373"/>
      <c r="P633" s="373"/>
      <c r="Q633" s="373"/>
    </row>
    <row r="634" spans="1:17" ht="14.4">
      <c r="A634" s="369"/>
      <c r="B634" s="373"/>
      <c r="C634" s="373"/>
      <c r="D634" s="373"/>
      <c r="E634" s="373"/>
      <c r="F634" s="373"/>
      <c r="G634" s="373"/>
      <c r="H634" s="373"/>
      <c r="I634" s="373"/>
      <c r="J634" s="373"/>
      <c r="K634" s="373"/>
      <c r="L634" s="373"/>
      <c r="M634" s="373"/>
      <c r="N634" s="373"/>
      <c r="O634" s="373"/>
      <c r="P634" s="373"/>
      <c r="Q634" s="373"/>
    </row>
    <row r="635" spans="1:17" ht="14.4">
      <c r="A635" s="369"/>
      <c r="B635" s="373"/>
      <c r="C635" s="373"/>
      <c r="D635" s="373"/>
      <c r="E635" s="373"/>
      <c r="F635" s="373"/>
      <c r="G635" s="373"/>
      <c r="H635" s="373"/>
      <c r="I635" s="373"/>
      <c r="J635" s="373"/>
      <c r="K635" s="373"/>
      <c r="L635" s="373"/>
      <c r="M635" s="373"/>
      <c r="N635" s="373"/>
      <c r="O635" s="373"/>
      <c r="P635" s="373"/>
      <c r="Q635" s="373"/>
    </row>
    <row r="636" spans="1:17" ht="14.4">
      <c r="A636" s="369"/>
      <c r="B636" s="373"/>
      <c r="C636" s="373"/>
      <c r="D636" s="373"/>
      <c r="E636" s="373"/>
      <c r="F636" s="373"/>
      <c r="G636" s="373"/>
      <c r="H636" s="373"/>
      <c r="I636" s="373"/>
      <c r="J636" s="373"/>
      <c r="K636" s="373"/>
      <c r="L636" s="373"/>
      <c r="M636" s="373"/>
      <c r="N636" s="373"/>
      <c r="O636" s="373"/>
      <c r="P636" s="373"/>
      <c r="Q636" s="373"/>
    </row>
    <row r="637" spans="1:17" ht="14.4">
      <c r="A637" s="369"/>
      <c r="B637" s="373"/>
      <c r="C637" s="373"/>
      <c r="D637" s="373"/>
      <c r="E637" s="373"/>
      <c r="F637" s="373"/>
      <c r="G637" s="373"/>
      <c r="H637" s="373"/>
      <c r="I637" s="373"/>
      <c r="J637" s="373"/>
      <c r="K637" s="373"/>
      <c r="L637" s="373"/>
      <c r="M637" s="373"/>
      <c r="N637" s="373"/>
      <c r="O637" s="373"/>
      <c r="P637" s="373"/>
      <c r="Q637" s="373"/>
    </row>
    <row r="638" spans="1:17" ht="14.4">
      <c r="A638" s="369"/>
      <c r="B638" s="373"/>
      <c r="C638" s="373"/>
      <c r="D638" s="373"/>
      <c r="E638" s="373"/>
      <c r="F638" s="373"/>
      <c r="G638" s="373"/>
      <c r="H638" s="373"/>
      <c r="I638" s="373"/>
      <c r="J638" s="373"/>
      <c r="K638" s="373"/>
      <c r="L638" s="373"/>
      <c r="M638" s="373"/>
      <c r="N638" s="373"/>
      <c r="O638" s="373"/>
      <c r="P638" s="373"/>
      <c r="Q638" s="373"/>
    </row>
    <row r="639" spans="1:17" ht="14.4">
      <c r="A639" s="369"/>
      <c r="B639" s="373"/>
      <c r="C639" s="373"/>
      <c r="D639" s="373"/>
      <c r="E639" s="373"/>
      <c r="F639" s="373"/>
      <c r="G639" s="373"/>
      <c r="H639" s="373"/>
      <c r="I639" s="373"/>
      <c r="J639" s="373"/>
      <c r="K639" s="373"/>
      <c r="L639" s="373"/>
      <c r="M639" s="373"/>
      <c r="N639" s="373"/>
      <c r="O639" s="373"/>
      <c r="P639" s="373"/>
      <c r="Q639" s="373"/>
    </row>
    <row r="640" spans="1:17" ht="14.4">
      <c r="A640" s="369"/>
      <c r="B640" s="373"/>
      <c r="C640" s="373"/>
      <c r="D640" s="373"/>
      <c r="E640" s="373"/>
      <c r="F640" s="373"/>
      <c r="G640" s="373"/>
      <c r="H640" s="373"/>
      <c r="I640" s="373"/>
      <c r="J640" s="373"/>
      <c r="K640" s="373"/>
      <c r="L640" s="373"/>
      <c r="M640" s="373"/>
      <c r="N640" s="373"/>
      <c r="O640" s="373"/>
      <c r="P640" s="373"/>
      <c r="Q640" s="373"/>
    </row>
    <row r="641" spans="1:17" ht="14.4">
      <c r="A641" s="369"/>
      <c r="B641" s="373"/>
      <c r="C641" s="373"/>
      <c r="D641" s="373"/>
      <c r="E641" s="373"/>
      <c r="F641" s="373"/>
      <c r="G641" s="373"/>
      <c r="H641" s="373"/>
      <c r="I641" s="373"/>
      <c r="J641" s="373"/>
      <c r="K641" s="373"/>
      <c r="L641" s="373"/>
      <c r="M641" s="373"/>
      <c r="N641" s="373"/>
      <c r="O641" s="373"/>
      <c r="P641" s="373"/>
      <c r="Q641" s="373"/>
    </row>
    <row r="642" spans="1:17" ht="14.4">
      <c r="A642" s="369"/>
      <c r="B642" s="373"/>
      <c r="C642" s="373"/>
      <c r="D642" s="373"/>
      <c r="E642" s="373"/>
      <c r="F642" s="373"/>
      <c r="G642" s="373"/>
      <c r="H642" s="373"/>
      <c r="I642" s="373"/>
      <c r="J642" s="373"/>
      <c r="K642" s="373"/>
      <c r="L642" s="373"/>
      <c r="M642" s="373"/>
      <c r="N642" s="373"/>
      <c r="O642" s="373"/>
      <c r="P642" s="373"/>
      <c r="Q642" s="373"/>
    </row>
    <row r="643" spans="1:17" ht="14.4">
      <c r="A643" s="369"/>
      <c r="B643" s="373"/>
      <c r="C643" s="373"/>
      <c r="D643" s="373"/>
      <c r="E643" s="373"/>
      <c r="F643" s="373"/>
      <c r="G643" s="373"/>
      <c r="H643" s="373"/>
      <c r="I643" s="373"/>
      <c r="J643" s="373"/>
      <c r="K643" s="373"/>
      <c r="L643" s="373"/>
      <c r="M643" s="373"/>
      <c r="N643" s="373"/>
      <c r="O643" s="373"/>
      <c r="P643" s="373"/>
      <c r="Q643" s="373"/>
    </row>
    <row r="644" spans="1:17" ht="14.4">
      <c r="A644" s="369"/>
      <c r="B644" s="373"/>
      <c r="C644" s="373"/>
      <c r="D644" s="373"/>
      <c r="E644" s="373"/>
      <c r="F644" s="373"/>
      <c r="G644" s="373"/>
      <c r="H644" s="373"/>
      <c r="I644" s="373"/>
      <c r="J644" s="373"/>
      <c r="K644" s="373"/>
      <c r="L644" s="373"/>
      <c r="M644" s="373"/>
      <c r="N644" s="373"/>
      <c r="O644" s="373"/>
      <c r="P644" s="373"/>
      <c r="Q644" s="373"/>
    </row>
    <row r="645" spans="1:17" ht="14.4">
      <c r="A645" s="369"/>
      <c r="B645" s="373"/>
      <c r="C645" s="373"/>
      <c r="D645" s="373"/>
      <c r="E645" s="373"/>
      <c r="F645" s="373"/>
      <c r="G645" s="373"/>
      <c r="H645" s="373"/>
      <c r="I645" s="373"/>
      <c r="J645" s="373"/>
      <c r="K645" s="373"/>
      <c r="L645" s="373"/>
      <c r="M645" s="373"/>
      <c r="N645" s="373"/>
      <c r="O645" s="373"/>
      <c r="P645" s="373"/>
      <c r="Q645" s="373"/>
    </row>
    <row r="646" spans="1:17" ht="14.4">
      <c r="A646" s="369"/>
      <c r="B646" s="373"/>
      <c r="C646" s="373"/>
      <c r="D646" s="373"/>
      <c r="E646" s="373"/>
      <c r="F646" s="373"/>
      <c r="G646" s="373"/>
      <c r="H646" s="373"/>
      <c r="I646" s="373"/>
      <c r="J646" s="373"/>
      <c r="K646" s="373"/>
      <c r="L646" s="373"/>
      <c r="M646" s="373"/>
      <c r="N646" s="373"/>
      <c r="O646" s="373"/>
      <c r="P646" s="373"/>
      <c r="Q646" s="373"/>
    </row>
    <row r="647" spans="1:17" ht="14.4">
      <c r="A647" s="369"/>
      <c r="B647" s="373"/>
      <c r="C647" s="373"/>
      <c r="D647" s="373"/>
      <c r="E647" s="373"/>
      <c r="F647" s="373"/>
      <c r="G647" s="373"/>
      <c r="H647" s="373"/>
      <c r="I647" s="373"/>
      <c r="J647" s="373"/>
      <c r="K647" s="373"/>
      <c r="L647" s="373"/>
      <c r="M647" s="373"/>
      <c r="N647" s="373"/>
      <c r="O647" s="373"/>
      <c r="P647" s="373"/>
      <c r="Q647" s="373"/>
    </row>
    <row r="648" spans="1:17" ht="14.4">
      <c r="A648" s="369"/>
      <c r="B648" s="373"/>
      <c r="C648" s="373"/>
      <c r="D648" s="373"/>
      <c r="E648" s="373"/>
      <c r="F648" s="373"/>
      <c r="G648" s="373"/>
      <c r="H648" s="373"/>
      <c r="I648" s="373"/>
      <c r="J648" s="373"/>
      <c r="K648" s="373"/>
      <c r="L648" s="373"/>
      <c r="M648" s="373"/>
      <c r="N648" s="373"/>
      <c r="O648" s="373"/>
      <c r="P648" s="373"/>
      <c r="Q648" s="373"/>
    </row>
    <row r="649" spans="1:17" ht="14.4">
      <c r="A649" s="369"/>
      <c r="B649" s="373"/>
      <c r="C649" s="373"/>
      <c r="D649" s="373"/>
      <c r="E649" s="373"/>
      <c r="F649" s="373"/>
      <c r="G649" s="373"/>
      <c r="H649" s="373"/>
      <c r="I649" s="373"/>
      <c r="J649" s="373"/>
      <c r="K649" s="373"/>
      <c r="L649" s="373"/>
      <c r="M649" s="373"/>
      <c r="N649" s="373"/>
      <c r="O649" s="373"/>
      <c r="P649" s="373"/>
      <c r="Q649" s="373"/>
    </row>
    <row r="650" spans="1:17" ht="14.4">
      <c r="A650" s="369"/>
      <c r="B650" s="373"/>
      <c r="C650" s="373"/>
      <c r="D650" s="373"/>
      <c r="E650" s="373"/>
      <c r="F650" s="373"/>
      <c r="G650" s="373"/>
      <c r="H650" s="373"/>
      <c r="I650" s="373"/>
      <c r="J650" s="373"/>
      <c r="K650" s="373"/>
      <c r="L650" s="373"/>
      <c r="M650" s="373"/>
      <c r="N650" s="373"/>
      <c r="O650" s="373"/>
      <c r="P650" s="373"/>
      <c r="Q650" s="373"/>
    </row>
    <row r="651" spans="1:17" ht="14.4">
      <c r="A651" s="369"/>
      <c r="B651" s="373"/>
      <c r="C651" s="373"/>
      <c r="D651" s="373"/>
      <c r="E651" s="373"/>
      <c r="F651" s="373"/>
      <c r="G651" s="373"/>
      <c r="H651" s="373"/>
      <c r="I651" s="373"/>
      <c r="J651" s="373"/>
      <c r="K651" s="373"/>
      <c r="L651" s="373"/>
      <c r="M651" s="373"/>
      <c r="N651" s="373"/>
      <c r="O651" s="373"/>
      <c r="P651" s="373"/>
      <c r="Q651" s="373"/>
    </row>
    <row r="652" spans="1:17" ht="14.4">
      <c r="A652" s="369"/>
      <c r="B652" s="373"/>
      <c r="C652" s="373"/>
      <c r="D652" s="373"/>
      <c r="E652" s="373"/>
      <c r="F652" s="373"/>
      <c r="G652" s="373"/>
      <c r="H652" s="373"/>
      <c r="I652" s="373"/>
      <c r="J652" s="373"/>
      <c r="K652" s="373"/>
      <c r="L652" s="373"/>
      <c r="M652" s="373"/>
      <c r="N652" s="373"/>
      <c r="O652" s="373"/>
      <c r="P652" s="373"/>
      <c r="Q652" s="373"/>
    </row>
    <row r="653" spans="1:17" ht="14.4">
      <c r="A653" s="369"/>
      <c r="B653" s="373"/>
      <c r="C653" s="373"/>
      <c r="D653" s="373"/>
      <c r="E653" s="373"/>
      <c r="F653" s="373"/>
      <c r="G653" s="373"/>
      <c r="H653" s="373"/>
      <c r="I653" s="373"/>
      <c r="J653" s="373"/>
      <c r="K653" s="373"/>
      <c r="L653" s="373"/>
      <c r="M653" s="373"/>
      <c r="N653" s="373"/>
      <c r="O653" s="373"/>
      <c r="P653" s="373"/>
      <c r="Q653" s="373"/>
    </row>
    <row r="654" spans="1:17" ht="14.4">
      <c r="A654" s="369"/>
      <c r="B654" s="373"/>
      <c r="C654" s="373"/>
      <c r="D654" s="373"/>
      <c r="E654" s="373"/>
      <c r="F654" s="373"/>
      <c r="G654" s="373"/>
      <c r="H654" s="373"/>
      <c r="I654" s="373"/>
      <c r="J654" s="373"/>
      <c r="K654" s="373"/>
      <c r="L654" s="373"/>
      <c r="M654" s="373"/>
      <c r="N654" s="373"/>
      <c r="O654" s="373"/>
      <c r="P654" s="373"/>
      <c r="Q654" s="373"/>
    </row>
    <row r="655" spans="1:17" ht="14.4">
      <c r="A655" s="369"/>
      <c r="B655" s="373"/>
      <c r="C655" s="373"/>
      <c r="D655" s="373"/>
      <c r="E655" s="373"/>
      <c r="F655" s="373"/>
      <c r="G655" s="373"/>
      <c r="H655" s="373"/>
      <c r="I655" s="373"/>
      <c r="J655" s="373"/>
      <c r="K655" s="373"/>
      <c r="L655" s="373"/>
      <c r="M655" s="373"/>
      <c r="N655" s="373"/>
      <c r="O655" s="373"/>
      <c r="P655" s="373"/>
      <c r="Q655" s="373"/>
    </row>
    <row r="656" spans="1:17" ht="14.4">
      <c r="A656" s="369"/>
      <c r="B656" s="373"/>
      <c r="C656" s="373"/>
      <c r="D656" s="373"/>
      <c r="E656" s="373"/>
      <c r="F656" s="373"/>
      <c r="G656" s="373"/>
      <c r="H656" s="373"/>
      <c r="I656" s="373"/>
      <c r="J656" s="373"/>
      <c r="K656" s="373"/>
      <c r="L656" s="373"/>
      <c r="M656" s="373"/>
      <c r="N656" s="373"/>
      <c r="O656" s="373"/>
      <c r="P656" s="373"/>
      <c r="Q656" s="373"/>
    </row>
    <row r="657" spans="1:17" ht="14.4">
      <c r="A657" s="369"/>
      <c r="B657" s="373"/>
      <c r="C657" s="373"/>
      <c r="D657" s="373"/>
      <c r="E657" s="373"/>
      <c r="F657" s="373"/>
      <c r="G657" s="373"/>
      <c r="H657" s="373"/>
      <c r="I657" s="373"/>
      <c r="J657" s="373"/>
      <c r="K657" s="373"/>
      <c r="L657" s="373"/>
      <c r="M657" s="373"/>
      <c r="N657" s="373"/>
      <c r="O657" s="373"/>
      <c r="P657" s="373"/>
      <c r="Q657" s="373"/>
    </row>
    <row r="658" spans="1:17" ht="14.4">
      <c r="A658" s="369"/>
      <c r="B658" s="373"/>
      <c r="C658" s="373"/>
      <c r="D658" s="373"/>
      <c r="E658" s="373"/>
      <c r="F658" s="373"/>
      <c r="G658" s="373"/>
      <c r="H658" s="373"/>
      <c r="I658" s="373"/>
      <c r="J658" s="373"/>
      <c r="K658" s="373"/>
      <c r="L658" s="373"/>
      <c r="M658" s="373"/>
      <c r="N658" s="373"/>
      <c r="O658" s="373"/>
      <c r="P658" s="373"/>
      <c r="Q658" s="373"/>
    </row>
    <row r="659" spans="1:17" ht="14.4">
      <c r="A659" s="369"/>
      <c r="B659" s="373"/>
      <c r="C659" s="373"/>
      <c r="D659" s="373"/>
      <c r="E659" s="373"/>
      <c r="F659" s="373"/>
      <c r="G659" s="373"/>
      <c r="H659" s="373"/>
      <c r="I659" s="373"/>
      <c r="J659" s="373"/>
      <c r="K659" s="373"/>
      <c r="L659" s="373"/>
      <c r="M659" s="373"/>
      <c r="N659" s="373"/>
      <c r="O659" s="373"/>
      <c r="P659" s="373"/>
      <c r="Q659" s="373"/>
    </row>
    <row r="660" spans="1:17" ht="14.4">
      <c r="A660" s="369"/>
      <c r="B660" s="373"/>
      <c r="C660" s="373"/>
      <c r="D660" s="373"/>
      <c r="E660" s="373"/>
      <c r="F660" s="373"/>
      <c r="G660" s="373"/>
      <c r="H660" s="373"/>
      <c r="I660" s="373"/>
      <c r="J660" s="373"/>
      <c r="K660" s="373"/>
      <c r="L660" s="373"/>
      <c r="M660" s="373"/>
      <c r="N660" s="373"/>
      <c r="O660" s="373"/>
      <c r="P660" s="373"/>
      <c r="Q660" s="373"/>
    </row>
    <row r="661" spans="1:17" ht="14.4">
      <c r="A661" s="369"/>
      <c r="B661" s="373"/>
      <c r="C661" s="373"/>
      <c r="D661" s="373"/>
      <c r="E661" s="373"/>
      <c r="F661" s="373"/>
      <c r="G661" s="373"/>
      <c r="H661" s="373"/>
      <c r="I661" s="373"/>
      <c r="J661" s="373"/>
      <c r="K661" s="373"/>
      <c r="L661" s="373"/>
      <c r="M661" s="373"/>
      <c r="N661" s="373"/>
      <c r="O661" s="373"/>
      <c r="P661" s="373"/>
      <c r="Q661" s="373"/>
    </row>
    <row r="662" spans="1:17" ht="14.4">
      <c r="A662" s="369"/>
      <c r="B662" s="373"/>
      <c r="C662" s="373"/>
      <c r="D662" s="373"/>
      <c r="E662" s="373"/>
      <c r="F662" s="373"/>
      <c r="G662" s="373"/>
      <c r="H662" s="373"/>
      <c r="I662" s="373"/>
      <c r="J662" s="373"/>
      <c r="K662" s="373"/>
      <c r="L662" s="373"/>
      <c r="M662" s="373"/>
      <c r="N662" s="373"/>
      <c r="O662" s="373"/>
      <c r="P662" s="373"/>
      <c r="Q662" s="373"/>
    </row>
    <row r="663" spans="1:17" ht="14.4">
      <c r="A663" s="369"/>
      <c r="B663" s="373"/>
      <c r="C663" s="373"/>
      <c r="D663" s="373"/>
      <c r="E663" s="373"/>
      <c r="F663" s="373"/>
      <c r="G663" s="373"/>
      <c r="H663" s="373"/>
      <c r="I663" s="373"/>
      <c r="J663" s="373"/>
      <c r="K663" s="373"/>
      <c r="L663" s="373"/>
      <c r="M663" s="373"/>
      <c r="N663" s="373"/>
      <c r="O663" s="373"/>
      <c r="P663" s="373"/>
      <c r="Q663" s="373"/>
    </row>
    <row r="664" spans="1:17" ht="14.4">
      <c r="A664" s="369"/>
      <c r="B664" s="373"/>
      <c r="C664" s="373"/>
      <c r="D664" s="373"/>
      <c r="E664" s="373"/>
      <c r="F664" s="373"/>
      <c r="G664" s="373"/>
      <c r="H664" s="373"/>
      <c r="I664" s="373"/>
      <c r="J664" s="373"/>
      <c r="K664" s="373"/>
      <c r="L664" s="373"/>
      <c r="M664" s="373"/>
      <c r="N664" s="373"/>
      <c r="O664" s="373"/>
      <c r="P664" s="373"/>
      <c r="Q664" s="373"/>
    </row>
    <row r="665" spans="1:17" ht="14.4">
      <c r="A665" s="369"/>
      <c r="B665" s="373"/>
      <c r="C665" s="373"/>
      <c r="D665" s="373"/>
      <c r="E665" s="373"/>
      <c r="F665" s="373"/>
      <c r="G665" s="373"/>
      <c r="H665" s="373"/>
      <c r="I665" s="373"/>
      <c r="J665" s="373"/>
      <c r="K665" s="373"/>
      <c r="L665" s="373"/>
      <c r="M665" s="373"/>
      <c r="N665" s="373"/>
      <c r="O665" s="373"/>
      <c r="P665" s="373"/>
      <c r="Q665" s="373"/>
    </row>
    <row r="666" spans="1:17" ht="14.4">
      <c r="A666" s="369"/>
      <c r="B666" s="373"/>
      <c r="C666" s="373"/>
      <c r="D666" s="373"/>
      <c r="E666" s="373"/>
      <c r="F666" s="373"/>
      <c r="G666" s="373"/>
      <c r="H666" s="373"/>
      <c r="I666" s="373"/>
      <c r="J666" s="373"/>
      <c r="K666" s="373"/>
      <c r="L666" s="373"/>
      <c r="M666" s="373"/>
      <c r="N666" s="373"/>
      <c r="O666" s="373"/>
      <c r="P666" s="373"/>
      <c r="Q666" s="373"/>
    </row>
    <row r="667" spans="1:17" ht="14.4">
      <c r="A667" s="369"/>
      <c r="B667" s="373"/>
      <c r="C667" s="373"/>
      <c r="D667" s="373"/>
      <c r="E667" s="373"/>
      <c r="F667" s="373"/>
      <c r="G667" s="373"/>
      <c r="H667" s="373"/>
      <c r="I667" s="373"/>
      <c r="J667" s="373"/>
      <c r="K667" s="373"/>
      <c r="L667" s="373"/>
      <c r="M667" s="373"/>
      <c r="N667" s="373"/>
      <c r="O667" s="373"/>
      <c r="P667" s="373"/>
      <c r="Q667" s="373"/>
    </row>
    <row r="668" spans="1:17" ht="14.4">
      <c r="A668" s="369"/>
      <c r="B668" s="373"/>
      <c r="C668" s="373"/>
      <c r="D668" s="373"/>
      <c r="E668" s="373"/>
      <c r="F668" s="373"/>
      <c r="G668" s="373"/>
      <c r="H668" s="373"/>
      <c r="I668" s="373"/>
      <c r="J668" s="373"/>
      <c r="K668" s="373"/>
      <c r="L668" s="373"/>
      <c r="M668" s="373"/>
      <c r="N668" s="373"/>
      <c r="O668" s="373"/>
      <c r="P668" s="373"/>
      <c r="Q668" s="373"/>
    </row>
    <row r="669" spans="1:17" ht="14.4">
      <c r="A669" s="369"/>
      <c r="B669" s="373"/>
      <c r="C669" s="373"/>
      <c r="D669" s="373"/>
      <c r="E669" s="373"/>
      <c r="F669" s="373"/>
      <c r="G669" s="373"/>
      <c r="H669" s="373"/>
      <c r="I669" s="373"/>
      <c r="J669" s="373"/>
      <c r="K669" s="373"/>
      <c r="L669" s="373"/>
      <c r="M669" s="373"/>
      <c r="N669" s="373"/>
      <c r="O669" s="373"/>
      <c r="P669" s="373"/>
      <c r="Q669" s="373"/>
    </row>
    <row r="670" spans="1:17" ht="14.4">
      <c r="A670" s="369"/>
      <c r="B670" s="373"/>
      <c r="C670" s="373"/>
      <c r="D670" s="373"/>
      <c r="E670" s="373"/>
      <c r="F670" s="373"/>
      <c r="G670" s="373"/>
      <c r="H670" s="373"/>
      <c r="I670" s="373"/>
      <c r="J670" s="373"/>
      <c r="K670" s="373"/>
      <c r="L670" s="373"/>
      <c r="M670" s="373"/>
      <c r="N670" s="373"/>
      <c r="O670" s="373"/>
      <c r="P670" s="373"/>
      <c r="Q670" s="373"/>
    </row>
    <row r="671" spans="1:17" ht="14.4">
      <c r="A671" s="369"/>
      <c r="B671" s="373"/>
      <c r="C671" s="373"/>
      <c r="D671" s="373"/>
      <c r="E671" s="373"/>
      <c r="F671" s="373"/>
      <c r="G671" s="373"/>
      <c r="H671" s="373"/>
      <c r="I671" s="373"/>
      <c r="J671" s="373"/>
      <c r="K671" s="373"/>
      <c r="L671" s="373"/>
      <c r="M671" s="373"/>
      <c r="N671" s="373"/>
      <c r="O671" s="373"/>
      <c r="P671" s="373"/>
      <c r="Q671" s="373"/>
    </row>
    <row r="672" spans="1:17" ht="14.4">
      <c r="A672" s="369"/>
      <c r="B672" s="373"/>
      <c r="C672" s="373"/>
      <c r="D672" s="373"/>
      <c r="E672" s="373"/>
      <c r="F672" s="373"/>
      <c r="G672" s="373"/>
      <c r="H672" s="373"/>
      <c r="I672" s="373"/>
      <c r="J672" s="373"/>
      <c r="K672" s="373"/>
      <c r="L672" s="373"/>
      <c r="M672" s="373"/>
      <c r="N672" s="373"/>
      <c r="O672" s="373"/>
      <c r="P672" s="373"/>
      <c r="Q672" s="373"/>
    </row>
    <row r="673" spans="1:17" ht="14.4">
      <c r="A673" s="369"/>
      <c r="B673" s="373"/>
      <c r="C673" s="373"/>
      <c r="D673" s="373"/>
      <c r="E673" s="373"/>
      <c r="F673" s="373"/>
      <c r="G673" s="373"/>
      <c r="H673" s="373"/>
      <c r="I673" s="373"/>
      <c r="J673" s="373"/>
      <c r="K673" s="373"/>
      <c r="L673" s="373"/>
      <c r="M673" s="373"/>
      <c r="N673" s="373"/>
      <c r="O673" s="373"/>
      <c r="P673" s="373"/>
      <c r="Q673" s="373"/>
    </row>
    <row r="674" spans="1:17" ht="14.4">
      <c r="A674" s="369"/>
      <c r="B674" s="373"/>
      <c r="C674" s="373"/>
      <c r="D674" s="373"/>
      <c r="E674" s="373"/>
      <c r="F674" s="373"/>
      <c r="G674" s="373"/>
      <c r="H674" s="373"/>
      <c r="I674" s="373"/>
      <c r="J674" s="373"/>
      <c r="K674" s="373"/>
      <c r="L674" s="373"/>
      <c r="M674" s="373"/>
      <c r="N674" s="373"/>
      <c r="O674" s="373"/>
      <c r="P674" s="373"/>
      <c r="Q674" s="373"/>
    </row>
    <row r="675" spans="1:17" ht="14.4">
      <c r="A675" s="369"/>
      <c r="B675" s="373"/>
      <c r="C675" s="373"/>
      <c r="D675" s="373"/>
      <c r="E675" s="373"/>
      <c r="F675" s="373"/>
      <c r="G675" s="373"/>
      <c r="H675" s="373"/>
      <c r="I675" s="373"/>
      <c r="J675" s="373"/>
      <c r="K675" s="373"/>
      <c r="L675" s="373"/>
      <c r="M675" s="373"/>
      <c r="N675" s="373"/>
      <c r="O675" s="373"/>
      <c r="P675" s="373"/>
      <c r="Q675" s="373"/>
    </row>
    <row r="676" spans="1:17" ht="14.4">
      <c r="A676" s="369"/>
      <c r="B676" s="373"/>
      <c r="C676" s="373"/>
      <c r="D676" s="373"/>
      <c r="E676" s="373"/>
      <c r="F676" s="373"/>
      <c r="G676" s="373"/>
      <c r="H676" s="373"/>
      <c r="I676" s="373"/>
      <c r="J676" s="373"/>
      <c r="K676" s="373"/>
      <c r="L676" s="373"/>
      <c r="M676" s="373"/>
      <c r="N676" s="373"/>
      <c r="O676" s="373"/>
      <c r="P676" s="373"/>
      <c r="Q676" s="373"/>
    </row>
    <row r="677" spans="1:17" ht="14.4">
      <c r="A677" s="369"/>
      <c r="B677" s="373"/>
      <c r="C677" s="373"/>
      <c r="D677" s="373"/>
      <c r="E677" s="373"/>
      <c r="F677" s="373"/>
      <c r="G677" s="373"/>
      <c r="H677" s="373"/>
      <c r="I677" s="373"/>
      <c r="J677" s="373"/>
      <c r="K677" s="373"/>
      <c r="L677" s="373"/>
      <c r="M677" s="373"/>
      <c r="N677" s="373"/>
      <c r="O677" s="373"/>
      <c r="P677" s="373"/>
      <c r="Q677" s="373"/>
    </row>
    <row r="678" spans="1:17" ht="14.4">
      <c r="A678" s="369"/>
      <c r="B678" s="373"/>
      <c r="C678" s="373"/>
      <c r="D678" s="373"/>
      <c r="E678" s="373"/>
      <c r="F678" s="373"/>
      <c r="G678" s="373"/>
      <c r="H678" s="373"/>
      <c r="I678" s="373"/>
      <c r="J678" s="373"/>
      <c r="K678" s="373"/>
      <c r="L678" s="373"/>
      <c r="M678" s="373"/>
      <c r="N678" s="373"/>
      <c r="O678" s="373"/>
      <c r="P678" s="373"/>
      <c r="Q678" s="373"/>
    </row>
    <row r="679" spans="1:17" ht="14.4">
      <c r="A679" s="369"/>
      <c r="B679" s="373"/>
      <c r="C679" s="373"/>
      <c r="D679" s="373"/>
      <c r="E679" s="373"/>
      <c r="F679" s="373"/>
      <c r="G679" s="373"/>
      <c r="H679" s="373"/>
      <c r="I679" s="373"/>
      <c r="J679" s="373"/>
      <c r="K679" s="373"/>
      <c r="L679" s="373"/>
      <c r="M679" s="373"/>
      <c r="N679" s="373"/>
      <c r="O679" s="373"/>
      <c r="P679" s="373"/>
      <c r="Q679" s="373"/>
    </row>
    <row r="680" spans="1:17" ht="14.4">
      <c r="A680" s="369"/>
      <c r="B680" s="373"/>
      <c r="C680" s="373"/>
      <c r="D680" s="373"/>
      <c r="E680" s="373"/>
      <c r="F680" s="373"/>
      <c r="G680" s="373"/>
      <c r="H680" s="373"/>
      <c r="I680" s="373"/>
      <c r="J680" s="373"/>
      <c r="K680" s="373"/>
      <c r="L680" s="373"/>
      <c r="M680" s="373"/>
      <c r="N680" s="373"/>
      <c r="O680" s="373"/>
      <c r="P680" s="373"/>
      <c r="Q680" s="373"/>
    </row>
    <row r="681" spans="1:17" ht="14.4">
      <c r="A681" s="369"/>
      <c r="B681" s="373"/>
      <c r="C681" s="373"/>
      <c r="D681" s="373"/>
      <c r="E681" s="373"/>
      <c r="F681" s="373"/>
      <c r="G681" s="373"/>
      <c r="H681" s="373"/>
      <c r="I681" s="373"/>
      <c r="J681" s="373"/>
      <c r="K681" s="373"/>
      <c r="L681" s="373"/>
      <c r="M681" s="373"/>
      <c r="N681" s="373"/>
      <c r="O681" s="373"/>
      <c r="P681" s="373"/>
      <c r="Q681" s="373"/>
    </row>
    <row r="682" spans="1:17" ht="14.4">
      <c r="A682" s="369"/>
      <c r="B682" s="373"/>
      <c r="C682" s="373"/>
      <c r="D682" s="373"/>
      <c r="E682" s="373"/>
      <c r="F682" s="373"/>
      <c r="G682" s="373"/>
      <c r="H682" s="373"/>
      <c r="I682" s="373"/>
      <c r="J682" s="373"/>
      <c r="K682" s="373"/>
      <c r="L682" s="373"/>
      <c r="M682" s="373"/>
      <c r="N682" s="373"/>
      <c r="O682" s="373"/>
      <c r="P682" s="373"/>
      <c r="Q682" s="373"/>
    </row>
    <row r="683" spans="1:17" ht="14.4">
      <c r="A683" s="369"/>
      <c r="B683" s="373"/>
      <c r="C683" s="373"/>
      <c r="D683" s="373"/>
      <c r="E683" s="373"/>
      <c r="F683" s="373"/>
      <c r="G683" s="373"/>
      <c r="H683" s="373"/>
      <c r="I683" s="373"/>
      <c r="J683" s="373"/>
      <c r="K683" s="373"/>
      <c r="L683" s="373"/>
      <c r="M683" s="373"/>
      <c r="N683" s="373"/>
      <c r="O683" s="373"/>
      <c r="P683" s="373"/>
      <c r="Q683" s="373"/>
    </row>
    <row r="684" spans="1:17" ht="14.4">
      <c r="A684" s="369"/>
      <c r="B684" s="373"/>
      <c r="C684" s="373"/>
      <c r="D684" s="373"/>
      <c r="E684" s="373"/>
      <c r="F684" s="373"/>
      <c r="G684" s="373"/>
      <c r="H684" s="373"/>
      <c r="I684" s="373"/>
      <c r="J684" s="373"/>
      <c r="K684" s="373"/>
      <c r="L684" s="373"/>
      <c r="M684" s="373"/>
      <c r="N684" s="373"/>
      <c r="O684" s="373"/>
      <c r="P684" s="373"/>
      <c r="Q684" s="373"/>
    </row>
    <row r="685" spans="1:17" ht="14.4">
      <c r="A685" s="369"/>
      <c r="B685" s="373"/>
      <c r="C685" s="373"/>
      <c r="D685" s="373"/>
      <c r="E685" s="373"/>
      <c r="F685" s="373"/>
      <c r="G685" s="373"/>
      <c r="H685" s="373"/>
      <c r="I685" s="373"/>
      <c r="J685" s="373"/>
      <c r="K685" s="373"/>
      <c r="L685" s="373"/>
      <c r="M685" s="373"/>
      <c r="N685" s="373"/>
      <c r="O685" s="373"/>
      <c r="P685" s="373"/>
      <c r="Q685" s="373"/>
    </row>
    <row r="686" spans="1:17" ht="14.4">
      <c r="A686" s="369"/>
      <c r="B686" s="373"/>
      <c r="C686" s="373"/>
      <c r="D686" s="373"/>
      <c r="E686" s="373"/>
      <c r="F686" s="373"/>
      <c r="G686" s="373"/>
      <c r="H686" s="373"/>
      <c r="I686" s="373"/>
      <c r="J686" s="373"/>
      <c r="K686" s="373"/>
      <c r="L686" s="373"/>
      <c r="M686" s="373"/>
      <c r="N686" s="373"/>
      <c r="O686" s="373"/>
      <c r="P686" s="373"/>
      <c r="Q686" s="373"/>
    </row>
    <row r="687" spans="1:17" ht="14.4">
      <c r="A687" s="369"/>
      <c r="B687" s="373"/>
      <c r="C687" s="373"/>
      <c r="D687" s="373"/>
      <c r="E687" s="373"/>
      <c r="F687" s="373"/>
      <c r="G687" s="373"/>
      <c r="H687" s="373"/>
      <c r="I687" s="373"/>
      <c r="J687" s="373"/>
      <c r="K687" s="373"/>
      <c r="L687" s="373"/>
      <c r="M687" s="373"/>
      <c r="N687" s="373"/>
      <c r="O687" s="373"/>
      <c r="P687" s="373"/>
      <c r="Q687" s="373"/>
    </row>
    <row r="688" spans="1:17" ht="14.4">
      <c r="A688" s="369"/>
      <c r="B688" s="373"/>
      <c r="C688" s="373"/>
      <c r="D688" s="373"/>
      <c r="E688" s="373"/>
      <c r="F688" s="373"/>
      <c r="G688" s="373"/>
      <c r="H688" s="373"/>
      <c r="I688" s="373"/>
      <c r="J688" s="373"/>
      <c r="K688" s="373"/>
      <c r="L688" s="373"/>
      <c r="M688" s="373"/>
      <c r="N688" s="373"/>
      <c r="O688" s="373"/>
      <c r="P688" s="373"/>
      <c r="Q688" s="373"/>
    </row>
    <row r="689" spans="1:17" ht="14.4">
      <c r="A689" s="369"/>
      <c r="B689" s="373"/>
      <c r="C689" s="373"/>
      <c r="D689" s="373"/>
      <c r="E689" s="373"/>
      <c r="F689" s="373"/>
      <c r="G689" s="373"/>
      <c r="H689" s="373"/>
      <c r="I689" s="373"/>
      <c r="J689" s="373"/>
      <c r="K689" s="373"/>
      <c r="L689" s="373"/>
      <c r="M689" s="373"/>
      <c r="N689" s="373"/>
      <c r="O689" s="373"/>
      <c r="P689" s="373"/>
      <c r="Q689" s="373"/>
    </row>
    <row r="690" spans="1:17" ht="14.4">
      <c r="A690" s="369"/>
      <c r="B690" s="373"/>
      <c r="C690" s="373"/>
      <c r="D690" s="373"/>
      <c r="E690" s="373"/>
      <c r="F690" s="373"/>
      <c r="G690" s="373"/>
      <c r="H690" s="373"/>
      <c r="I690" s="373"/>
      <c r="J690" s="373"/>
      <c r="K690" s="373"/>
      <c r="L690" s="373"/>
      <c r="M690" s="373"/>
      <c r="N690" s="373"/>
      <c r="O690" s="373"/>
      <c r="P690" s="373"/>
      <c r="Q690" s="373"/>
    </row>
    <row r="691" spans="1:17" ht="14.4">
      <c r="A691" s="369"/>
      <c r="B691" s="373"/>
      <c r="C691" s="373"/>
      <c r="D691" s="373"/>
      <c r="E691" s="373"/>
      <c r="F691" s="373"/>
      <c r="G691" s="373"/>
      <c r="H691" s="373"/>
      <c r="I691" s="373"/>
      <c r="J691" s="373"/>
      <c r="K691" s="373"/>
      <c r="L691" s="373"/>
      <c r="M691" s="373"/>
      <c r="N691" s="373"/>
      <c r="O691" s="373"/>
      <c r="P691" s="373"/>
      <c r="Q691" s="373"/>
    </row>
    <row r="692" spans="1:17" ht="14.4">
      <c r="A692" s="369"/>
      <c r="B692" s="373"/>
      <c r="C692" s="373"/>
      <c r="D692" s="373"/>
      <c r="E692" s="373"/>
      <c r="F692" s="373"/>
      <c r="G692" s="373"/>
      <c r="H692" s="373"/>
      <c r="I692" s="373"/>
      <c r="J692" s="373"/>
      <c r="K692" s="373"/>
      <c r="L692" s="373"/>
      <c r="M692" s="373"/>
      <c r="N692" s="373"/>
      <c r="O692" s="373"/>
      <c r="P692" s="373"/>
      <c r="Q692" s="373"/>
    </row>
    <row r="693" spans="1:17" ht="14.4">
      <c r="A693" s="369"/>
      <c r="B693" s="373"/>
      <c r="C693" s="373"/>
      <c r="D693" s="373"/>
      <c r="E693" s="373"/>
      <c r="F693" s="373"/>
      <c r="G693" s="373"/>
      <c r="H693" s="373"/>
      <c r="I693" s="373"/>
      <c r="J693" s="373"/>
      <c r="K693" s="373"/>
      <c r="L693" s="373"/>
      <c r="M693" s="373"/>
      <c r="N693" s="373"/>
      <c r="O693" s="373"/>
      <c r="P693" s="373"/>
      <c r="Q693" s="373"/>
    </row>
    <row r="694" spans="1:17" ht="14.4">
      <c r="A694" s="369"/>
      <c r="B694" s="373"/>
      <c r="C694" s="373"/>
      <c r="D694" s="373"/>
      <c r="E694" s="373"/>
      <c r="F694" s="373"/>
      <c r="G694" s="373"/>
      <c r="H694" s="373"/>
      <c r="I694" s="373"/>
      <c r="J694" s="373"/>
      <c r="K694" s="373"/>
      <c r="L694" s="373"/>
      <c r="M694" s="373"/>
      <c r="N694" s="373"/>
      <c r="O694" s="373"/>
      <c r="P694" s="373"/>
      <c r="Q694" s="373"/>
    </row>
    <row r="695" spans="1:17" ht="14.4">
      <c r="A695" s="369"/>
      <c r="B695" s="373"/>
      <c r="C695" s="373"/>
      <c r="D695" s="373"/>
      <c r="E695" s="373"/>
      <c r="F695" s="373"/>
      <c r="G695" s="373"/>
      <c r="H695" s="373"/>
      <c r="I695" s="373"/>
      <c r="J695" s="373"/>
      <c r="K695" s="373"/>
      <c r="L695" s="373"/>
      <c r="M695" s="373"/>
      <c r="N695" s="373"/>
      <c r="O695" s="373"/>
      <c r="P695" s="373"/>
      <c r="Q695" s="373"/>
    </row>
    <row r="696" spans="1:17" ht="14.4">
      <c r="A696" s="369"/>
      <c r="B696" s="373"/>
      <c r="C696" s="373"/>
      <c r="D696" s="373"/>
      <c r="E696" s="373"/>
      <c r="F696" s="373"/>
      <c r="G696" s="373"/>
      <c r="H696" s="373"/>
      <c r="I696" s="373"/>
      <c r="J696" s="373"/>
      <c r="K696" s="373"/>
      <c r="L696" s="373"/>
      <c r="M696" s="373"/>
      <c r="N696" s="373"/>
      <c r="O696" s="373"/>
      <c r="P696" s="373"/>
      <c r="Q696" s="373"/>
    </row>
    <row r="697" spans="1:17" ht="14.4">
      <c r="A697" s="369"/>
      <c r="B697" s="373"/>
      <c r="C697" s="373"/>
      <c r="D697" s="373"/>
      <c r="E697" s="373"/>
      <c r="F697" s="373"/>
      <c r="G697" s="373"/>
      <c r="H697" s="373"/>
      <c r="I697" s="373"/>
      <c r="J697" s="373"/>
      <c r="K697" s="373"/>
      <c r="L697" s="373"/>
      <c r="M697" s="373"/>
      <c r="N697" s="373"/>
      <c r="O697" s="373"/>
      <c r="P697" s="373"/>
      <c r="Q697" s="373"/>
    </row>
    <row r="698" spans="1:17" ht="14.4">
      <c r="A698" s="369"/>
      <c r="B698" s="373"/>
      <c r="C698" s="373"/>
      <c r="D698" s="373"/>
      <c r="E698" s="373"/>
      <c r="F698" s="373"/>
      <c r="G698" s="373"/>
      <c r="H698" s="373"/>
      <c r="I698" s="373"/>
      <c r="J698" s="373"/>
      <c r="K698" s="373"/>
      <c r="L698" s="373"/>
      <c r="M698" s="373"/>
      <c r="N698" s="373"/>
      <c r="O698" s="373"/>
      <c r="P698" s="373"/>
      <c r="Q698" s="373"/>
    </row>
    <row r="699" spans="1:17" ht="14.4">
      <c r="A699" s="369"/>
      <c r="B699" s="373"/>
      <c r="C699" s="373"/>
      <c r="D699" s="373"/>
      <c r="E699" s="373"/>
      <c r="F699" s="373"/>
      <c r="G699" s="373"/>
      <c r="H699" s="373"/>
      <c r="I699" s="373"/>
      <c r="J699" s="373"/>
      <c r="K699" s="373"/>
      <c r="L699" s="373"/>
      <c r="M699" s="373"/>
      <c r="N699" s="373"/>
      <c r="O699" s="373"/>
      <c r="P699" s="373"/>
      <c r="Q699" s="373"/>
    </row>
    <row r="700" spans="1:17" ht="14.4">
      <c r="A700" s="369"/>
      <c r="B700" s="373"/>
      <c r="C700" s="373"/>
      <c r="D700" s="373"/>
      <c r="E700" s="373"/>
      <c r="F700" s="373"/>
      <c r="G700" s="373"/>
      <c r="H700" s="373"/>
      <c r="I700" s="373"/>
      <c r="J700" s="373"/>
      <c r="K700" s="373"/>
      <c r="L700" s="373"/>
      <c r="M700" s="373"/>
      <c r="N700" s="373"/>
      <c r="O700" s="373"/>
      <c r="P700" s="373"/>
      <c r="Q700" s="373"/>
    </row>
    <row r="701" spans="1:17" ht="14.4">
      <c r="A701" s="369"/>
      <c r="B701" s="373"/>
      <c r="C701" s="373"/>
      <c r="D701" s="373"/>
      <c r="E701" s="373"/>
      <c r="F701" s="373"/>
      <c r="G701" s="373"/>
      <c r="H701" s="373"/>
      <c r="I701" s="373"/>
      <c r="J701" s="373"/>
      <c r="K701" s="373"/>
      <c r="L701" s="373"/>
      <c r="M701" s="373"/>
      <c r="N701" s="373"/>
      <c r="O701" s="373"/>
      <c r="P701" s="373"/>
      <c r="Q701" s="373"/>
    </row>
    <row r="702" spans="1:17" ht="14.4">
      <c r="A702" s="369"/>
      <c r="B702" s="373"/>
      <c r="C702" s="373"/>
      <c r="D702" s="373"/>
      <c r="E702" s="373"/>
      <c r="F702" s="373"/>
      <c r="G702" s="373"/>
      <c r="H702" s="373"/>
      <c r="I702" s="373"/>
      <c r="J702" s="373"/>
      <c r="K702" s="373"/>
      <c r="L702" s="373"/>
      <c r="M702" s="373"/>
      <c r="N702" s="373"/>
      <c r="O702" s="373"/>
      <c r="P702" s="373"/>
      <c r="Q702" s="373"/>
    </row>
    <row r="703" spans="1:17" ht="14.4">
      <c r="A703" s="369"/>
      <c r="B703" s="373"/>
      <c r="C703" s="373"/>
      <c r="D703" s="373"/>
      <c r="E703" s="373"/>
      <c r="F703" s="373"/>
      <c r="G703" s="373"/>
      <c r="H703" s="373"/>
      <c r="I703" s="373"/>
      <c r="J703" s="373"/>
      <c r="K703" s="373"/>
      <c r="L703" s="373"/>
      <c r="M703" s="373"/>
      <c r="N703" s="373"/>
      <c r="O703" s="373"/>
      <c r="P703" s="373"/>
      <c r="Q703" s="373"/>
    </row>
    <row r="704" spans="1:17" ht="14.4">
      <c r="A704" s="369"/>
      <c r="B704" s="373"/>
      <c r="C704" s="373"/>
      <c r="D704" s="373"/>
      <c r="E704" s="373"/>
      <c r="F704" s="373"/>
      <c r="G704" s="373"/>
      <c r="H704" s="373"/>
      <c r="I704" s="373"/>
      <c r="J704" s="373"/>
      <c r="K704" s="373"/>
      <c r="L704" s="373"/>
      <c r="M704" s="373"/>
      <c r="N704" s="373"/>
      <c r="O704" s="373"/>
      <c r="P704" s="373"/>
      <c r="Q704" s="373"/>
    </row>
    <row r="705" spans="1:17" ht="14.4">
      <c r="A705" s="369"/>
      <c r="B705" s="373"/>
      <c r="C705" s="373"/>
      <c r="D705" s="373"/>
      <c r="E705" s="373"/>
      <c r="F705" s="373"/>
      <c r="G705" s="373"/>
      <c r="H705" s="373"/>
      <c r="I705" s="373"/>
      <c r="J705" s="373"/>
      <c r="K705" s="373"/>
      <c r="L705" s="373"/>
      <c r="M705" s="373"/>
      <c r="N705" s="373"/>
      <c r="O705" s="373"/>
      <c r="P705" s="373"/>
      <c r="Q705" s="373"/>
    </row>
    <row r="706" spans="1:17" ht="14.4">
      <c r="A706" s="369"/>
      <c r="B706" s="373"/>
      <c r="C706" s="373"/>
      <c r="D706" s="373"/>
      <c r="E706" s="373"/>
      <c r="F706" s="373"/>
      <c r="G706" s="373"/>
      <c r="H706" s="373"/>
      <c r="I706" s="373"/>
      <c r="J706" s="373"/>
      <c r="K706" s="373"/>
      <c r="L706" s="373"/>
      <c r="M706" s="373"/>
      <c r="N706" s="373"/>
      <c r="O706" s="373"/>
      <c r="P706" s="373"/>
      <c r="Q706" s="373"/>
    </row>
    <row r="707" spans="1:17" ht="14.4">
      <c r="A707" s="369"/>
      <c r="B707" s="373"/>
      <c r="C707" s="373"/>
      <c r="D707" s="373"/>
      <c r="E707" s="373"/>
      <c r="F707" s="373"/>
      <c r="G707" s="373"/>
      <c r="H707" s="373"/>
      <c r="I707" s="373"/>
      <c r="J707" s="373"/>
      <c r="K707" s="373"/>
      <c r="L707" s="373"/>
      <c r="M707" s="373"/>
      <c r="N707" s="373"/>
      <c r="O707" s="373"/>
      <c r="P707" s="373"/>
      <c r="Q707" s="373"/>
    </row>
    <row r="708" spans="1:17" ht="14.4">
      <c r="A708" s="369"/>
      <c r="B708" s="373"/>
      <c r="C708" s="373"/>
      <c r="D708" s="373"/>
      <c r="E708" s="373"/>
      <c r="F708" s="373"/>
      <c r="G708" s="373"/>
      <c r="H708" s="373"/>
      <c r="I708" s="373"/>
      <c r="J708" s="373"/>
      <c r="K708" s="373"/>
      <c r="L708" s="373"/>
      <c r="M708" s="373"/>
      <c r="N708" s="373"/>
      <c r="O708" s="373"/>
      <c r="P708" s="373"/>
      <c r="Q708" s="373"/>
    </row>
    <row r="709" spans="1:17" ht="14.4">
      <c r="A709" s="369"/>
      <c r="B709" s="373"/>
      <c r="C709" s="373"/>
      <c r="D709" s="373"/>
      <c r="E709" s="373"/>
      <c r="F709" s="373"/>
      <c r="G709" s="373"/>
      <c r="H709" s="373"/>
      <c r="I709" s="373"/>
      <c r="J709" s="373"/>
      <c r="K709" s="373"/>
      <c r="L709" s="373"/>
      <c r="M709" s="373"/>
      <c r="N709" s="373"/>
      <c r="O709" s="373"/>
      <c r="P709" s="373"/>
      <c r="Q709" s="373"/>
    </row>
    <row r="710" spans="1:17" ht="14.4">
      <c r="A710" s="369"/>
      <c r="B710" s="373"/>
      <c r="C710" s="373"/>
      <c r="D710" s="373"/>
      <c r="E710" s="373"/>
      <c r="F710" s="373"/>
      <c r="G710" s="373"/>
      <c r="H710" s="373"/>
      <c r="I710" s="373"/>
      <c r="J710" s="373"/>
      <c r="K710" s="373"/>
      <c r="L710" s="373"/>
      <c r="M710" s="373"/>
      <c r="N710" s="373"/>
      <c r="O710" s="373"/>
      <c r="P710" s="373"/>
      <c r="Q710" s="373"/>
    </row>
    <row r="711" spans="1:17" ht="14.4">
      <c r="A711" s="369"/>
      <c r="B711" s="373"/>
      <c r="C711" s="373"/>
      <c r="D711" s="373"/>
      <c r="E711" s="373"/>
      <c r="F711" s="373"/>
      <c r="G711" s="373"/>
      <c r="H711" s="373"/>
      <c r="I711" s="373"/>
      <c r="J711" s="373"/>
      <c r="K711" s="373"/>
      <c r="L711" s="373"/>
      <c r="M711" s="373"/>
      <c r="N711" s="373"/>
      <c r="O711" s="373"/>
      <c r="P711" s="373"/>
      <c r="Q711" s="373"/>
    </row>
    <row r="712" spans="1:17" ht="14.4">
      <c r="A712" s="369"/>
      <c r="B712" s="373"/>
      <c r="C712" s="373"/>
      <c r="D712" s="373"/>
      <c r="E712" s="373"/>
      <c r="F712" s="373"/>
      <c r="G712" s="373"/>
      <c r="H712" s="373"/>
      <c r="I712" s="373"/>
      <c r="J712" s="373"/>
      <c r="K712" s="373"/>
      <c r="L712" s="373"/>
      <c r="M712" s="373"/>
      <c r="N712" s="373"/>
      <c r="O712" s="373"/>
      <c r="P712" s="373"/>
      <c r="Q712" s="373"/>
    </row>
    <row r="713" spans="1:17" ht="14.4">
      <c r="A713" s="369"/>
      <c r="B713" s="373"/>
      <c r="C713" s="373"/>
      <c r="D713" s="373"/>
      <c r="E713" s="373"/>
      <c r="F713" s="373"/>
      <c r="G713" s="373"/>
      <c r="H713" s="373"/>
      <c r="I713" s="373"/>
      <c r="J713" s="373"/>
      <c r="K713" s="373"/>
      <c r="L713" s="373"/>
      <c r="M713" s="373"/>
      <c r="N713" s="373"/>
      <c r="O713" s="373"/>
      <c r="P713" s="373"/>
      <c r="Q713" s="373"/>
    </row>
    <row r="714" spans="1:17" ht="14.4">
      <c r="A714" s="369"/>
      <c r="B714" s="373"/>
      <c r="C714" s="373"/>
      <c r="D714" s="373"/>
      <c r="E714" s="373"/>
      <c r="F714" s="373"/>
      <c r="G714" s="373"/>
      <c r="H714" s="373"/>
      <c r="I714" s="373"/>
      <c r="J714" s="373"/>
      <c r="K714" s="373"/>
      <c r="L714" s="373"/>
      <c r="M714" s="373"/>
      <c r="N714" s="373"/>
      <c r="O714" s="373"/>
      <c r="P714" s="373"/>
      <c r="Q714" s="373"/>
    </row>
    <row r="715" spans="1:17" ht="14.4">
      <c r="A715" s="369"/>
      <c r="B715" s="373"/>
      <c r="C715" s="373"/>
      <c r="D715" s="373"/>
      <c r="E715" s="373"/>
      <c r="F715" s="373"/>
      <c r="G715" s="373"/>
      <c r="H715" s="373"/>
      <c r="I715" s="373"/>
      <c r="J715" s="373"/>
      <c r="K715" s="373"/>
      <c r="L715" s="373"/>
      <c r="M715" s="373"/>
      <c r="N715" s="373"/>
      <c r="O715" s="373"/>
      <c r="P715" s="373"/>
      <c r="Q715" s="373"/>
    </row>
    <row r="716" spans="1:17" ht="14.4">
      <c r="A716" s="369"/>
      <c r="B716" s="373"/>
      <c r="C716" s="373"/>
      <c r="D716" s="373"/>
      <c r="E716" s="373"/>
      <c r="F716" s="373"/>
      <c r="G716" s="373"/>
      <c r="H716" s="373"/>
      <c r="I716" s="373"/>
      <c r="J716" s="373"/>
      <c r="K716" s="373"/>
      <c r="L716" s="373"/>
      <c r="M716" s="373"/>
      <c r="N716" s="373"/>
      <c r="O716" s="373"/>
      <c r="P716" s="373"/>
      <c r="Q716" s="373"/>
    </row>
    <row r="717" spans="1:17" ht="14.4">
      <c r="A717" s="369"/>
      <c r="B717" s="373"/>
      <c r="C717" s="373"/>
      <c r="D717" s="373"/>
      <c r="E717" s="373"/>
      <c r="F717" s="373"/>
      <c r="G717" s="373"/>
      <c r="H717" s="373"/>
      <c r="I717" s="373"/>
      <c r="J717" s="373"/>
      <c r="K717" s="373"/>
      <c r="L717" s="373"/>
      <c r="M717" s="373"/>
      <c r="N717" s="373"/>
      <c r="O717" s="373"/>
      <c r="P717" s="373"/>
      <c r="Q717" s="373"/>
    </row>
    <row r="718" spans="1:17" ht="14.4">
      <c r="A718" s="369"/>
      <c r="B718" s="373"/>
      <c r="C718" s="373"/>
      <c r="D718" s="373"/>
      <c r="E718" s="373"/>
      <c r="F718" s="373"/>
      <c r="G718" s="373"/>
      <c r="H718" s="373"/>
      <c r="I718" s="373"/>
      <c r="J718" s="373"/>
      <c r="K718" s="373"/>
      <c r="L718" s="373"/>
      <c r="M718" s="373"/>
      <c r="N718" s="373"/>
      <c r="O718" s="373"/>
      <c r="P718" s="373"/>
      <c r="Q718" s="373"/>
    </row>
    <row r="719" spans="1:17" ht="14.4">
      <c r="A719" s="369"/>
      <c r="B719" s="373"/>
      <c r="C719" s="373"/>
      <c r="D719" s="373"/>
      <c r="E719" s="373"/>
      <c r="F719" s="373"/>
      <c r="G719" s="373"/>
      <c r="H719" s="373"/>
      <c r="I719" s="373"/>
      <c r="J719" s="373"/>
      <c r="K719" s="373"/>
      <c r="L719" s="373"/>
      <c r="M719" s="373"/>
      <c r="N719" s="373"/>
      <c r="O719" s="373"/>
      <c r="P719" s="373"/>
      <c r="Q719" s="373"/>
    </row>
    <row r="720" spans="1:17" ht="14.4">
      <c r="A720" s="369"/>
      <c r="B720" s="373"/>
      <c r="C720" s="373"/>
      <c r="D720" s="373"/>
      <c r="E720" s="373"/>
      <c r="F720" s="373"/>
      <c r="G720" s="373"/>
      <c r="H720" s="373"/>
      <c r="I720" s="373"/>
      <c r="J720" s="373"/>
      <c r="K720" s="373"/>
      <c r="L720" s="373"/>
      <c r="M720" s="373"/>
      <c r="N720" s="373"/>
      <c r="O720" s="373"/>
      <c r="P720" s="373"/>
      <c r="Q720" s="373"/>
    </row>
    <row r="721" spans="1:17" ht="14.4">
      <c r="A721" s="369"/>
      <c r="B721" s="373"/>
      <c r="C721" s="373"/>
      <c r="D721" s="373"/>
      <c r="E721" s="373"/>
      <c r="F721" s="373"/>
      <c r="G721" s="373"/>
      <c r="H721" s="373"/>
      <c r="I721" s="373"/>
      <c r="J721" s="373"/>
      <c r="K721" s="373"/>
      <c r="L721" s="373"/>
      <c r="M721" s="373"/>
      <c r="N721" s="373"/>
      <c r="O721" s="373"/>
      <c r="P721" s="373"/>
      <c r="Q721" s="373"/>
    </row>
    <row r="722" spans="1:17" ht="14.4">
      <c r="A722" s="369"/>
      <c r="B722" s="373"/>
      <c r="C722" s="373"/>
      <c r="D722" s="373"/>
      <c r="E722" s="373"/>
      <c r="F722" s="373"/>
      <c r="G722" s="373"/>
      <c r="H722" s="373"/>
      <c r="I722" s="373"/>
      <c r="J722" s="373"/>
      <c r="K722" s="373"/>
      <c r="L722" s="373"/>
      <c r="M722" s="373"/>
      <c r="N722" s="373"/>
      <c r="O722" s="373"/>
      <c r="P722" s="373"/>
      <c r="Q722" s="373"/>
    </row>
    <row r="723" spans="1:17" ht="14.4">
      <c r="A723" s="369"/>
      <c r="B723" s="373"/>
      <c r="C723" s="373"/>
      <c r="D723" s="373"/>
      <c r="E723" s="373"/>
      <c r="F723" s="373"/>
      <c r="G723" s="373"/>
      <c r="H723" s="373"/>
      <c r="I723" s="373"/>
      <c r="J723" s="373"/>
      <c r="K723" s="373"/>
      <c r="L723" s="373"/>
      <c r="M723" s="373"/>
      <c r="N723" s="373"/>
      <c r="O723" s="373"/>
      <c r="P723" s="373"/>
      <c r="Q723" s="373"/>
    </row>
    <row r="724" spans="1:17" ht="14.4">
      <c r="A724" s="369"/>
      <c r="B724" s="373"/>
      <c r="C724" s="373"/>
      <c r="D724" s="373"/>
      <c r="E724" s="373"/>
      <c r="F724" s="373"/>
      <c r="G724" s="373"/>
      <c r="H724" s="373"/>
      <c r="I724" s="373"/>
      <c r="J724" s="373"/>
      <c r="K724" s="373"/>
      <c r="L724" s="373"/>
      <c r="M724" s="373"/>
      <c r="N724" s="373"/>
      <c r="O724" s="373"/>
      <c r="P724" s="373"/>
      <c r="Q724" s="373"/>
    </row>
    <row r="725" spans="1:17" ht="14.4">
      <c r="A725" s="369"/>
      <c r="B725" s="373"/>
      <c r="C725" s="373"/>
      <c r="D725" s="373"/>
      <c r="E725" s="373"/>
      <c r="F725" s="373"/>
      <c r="G725" s="373"/>
      <c r="H725" s="373"/>
      <c r="I725" s="373"/>
      <c r="J725" s="373"/>
      <c r="K725" s="373"/>
      <c r="L725" s="373"/>
      <c r="M725" s="373"/>
      <c r="N725" s="373"/>
      <c r="O725" s="373"/>
      <c r="P725" s="373"/>
      <c r="Q725" s="373"/>
    </row>
    <row r="726" spans="1:17" ht="14.4">
      <c r="A726" s="369"/>
      <c r="B726" s="373"/>
      <c r="C726" s="373"/>
      <c r="D726" s="373"/>
      <c r="E726" s="373"/>
      <c r="F726" s="373"/>
      <c r="G726" s="373"/>
      <c r="H726" s="373"/>
      <c r="I726" s="373"/>
      <c r="J726" s="373"/>
      <c r="K726" s="373"/>
      <c r="L726" s="373"/>
      <c r="M726" s="373"/>
      <c r="N726" s="373"/>
      <c r="O726" s="373"/>
      <c r="P726" s="373"/>
      <c r="Q726" s="373"/>
    </row>
    <row r="727" spans="1:17" ht="14.4">
      <c r="A727" s="369"/>
      <c r="B727" s="373"/>
      <c r="C727" s="373"/>
      <c r="D727" s="373"/>
      <c r="E727" s="373"/>
      <c r="F727" s="373"/>
      <c r="G727" s="373"/>
      <c r="H727" s="373"/>
      <c r="I727" s="373"/>
      <c r="J727" s="373"/>
      <c r="K727" s="373"/>
      <c r="L727" s="373"/>
      <c r="M727" s="373"/>
      <c r="N727" s="373"/>
      <c r="O727" s="373"/>
      <c r="P727" s="373"/>
      <c r="Q727" s="373"/>
    </row>
    <row r="728" spans="1:17" ht="14.4">
      <c r="A728" s="369"/>
      <c r="B728" s="373"/>
      <c r="C728" s="373"/>
      <c r="D728" s="373"/>
      <c r="E728" s="373"/>
      <c r="F728" s="373"/>
      <c r="G728" s="373"/>
      <c r="H728" s="373"/>
      <c r="I728" s="373"/>
      <c r="J728" s="373"/>
      <c r="K728" s="373"/>
      <c r="L728" s="373"/>
      <c r="M728" s="373"/>
      <c r="N728" s="373"/>
      <c r="O728" s="373"/>
      <c r="P728" s="373"/>
      <c r="Q728" s="373"/>
    </row>
    <row r="729" spans="1:17" ht="14.4">
      <c r="A729" s="369"/>
      <c r="B729" s="373"/>
      <c r="C729" s="373"/>
      <c r="D729" s="373"/>
      <c r="E729" s="373"/>
      <c r="F729" s="373"/>
      <c r="G729" s="373"/>
      <c r="H729" s="373"/>
      <c r="I729" s="373"/>
      <c r="J729" s="373"/>
      <c r="K729" s="373"/>
      <c r="L729" s="373"/>
      <c r="M729" s="373"/>
      <c r="N729" s="373"/>
      <c r="O729" s="373"/>
      <c r="P729" s="373"/>
      <c r="Q729" s="373"/>
    </row>
    <row r="730" spans="1:17" ht="14.4">
      <c r="A730" s="369"/>
      <c r="B730" s="373"/>
      <c r="C730" s="373"/>
      <c r="D730" s="373"/>
      <c r="E730" s="373"/>
      <c r="F730" s="373"/>
      <c r="G730" s="373"/>
      <c r="H730" s="373"/>
      <c r="I730" s="373"/>
      <c r="J730" s="373"/>
      <c r="K730" s="373"/>
      <c r="L730" s="373"/>
      <c r="M730" s="373"/>
      <c r="N730" s="373"/>
      <c r="O730" s="373"/>
      <c r="P730" s="373"/>
      <c r="Q730" s="373"/>
    </row>
    <row r="731" spans="1:17" ht="14.4">
      <c r="A731" s="369"/>
      <c r="B731" s="373"/>
      <c r="C731" s="373"/>
      <c r="D731" s="373"/>
      <c r="E731" s="373"/>
      <c r="F731" s="373"/>
      <c r="G731" s="373"/>
      <c r="H731" s="373"/>
      <c r="I731" s="373"/>
      <c r="J731" s="373"/>
      <c r="K731" s="373"/>
      <c r="L731" s="373"/>
      <c r="M731" s="373"/>
      <c r="N731" s="373"/>
      <c r="O731" s="373"/>
      <c r="P731" s="373"/>
      <c r="Q731" s="373"/>
    </row>
    <row r="732" spans="1:17" ht="14.4">
      <c r="A732" s="369"/>
      <c r="B732" s="373"/>
      <c r="C732" s="373"/>
      <c r="D732" s="373"/>
      <c r="E732" s="373"/>
      <c r="F732" s="373"/>
      <c r="G732" s="373"/>
      <c r="H732" s="373"/>
      <c r="I732" s="373"/>
      <c r="J732" s="373"/>
      <c r="K732" s="373"/>
      <c r="L732" s="373"/>
      <c r="M732" s="373"/>
      <c r="N732" s="373"/>
      <c r="O732" s="373"/>
      <c r="P732" s="373"/>
      <c r="Q732" s="373"/>
    </row>
    <row r="733" spans="1:17" ht="14.4">
      <c r="A733" s="369"/>
      <c r="B733" s="373"/>
      <c r="C733" s="373"/>
      <c r="D733" s="373"/>
      <c r="E733" s="373"/>
      <c r="F733" s="373"/>
      <c r="G733" s="373"/>
      <c r="H733" s="373"/>
      <c r="I733" s="373"/>
      <c r="J733" s="373"/>
      <c r="K733" s="373"/>
      <c r="L733" s="373"/>
      <c r="M733" s="373"/>
      <c r="N733" s="373"/>
      <c r="O733" s="373"/>
      <c r="P733" s="373"/>
      <c r="Q733" s="373"/>
    </row>
    <row r="734" spans="1:17" ht="14.4">
      <c r="A734" s="369"/>
      <c r="B734" s="373"/>
      <c r="C734" s="373"/>
      <c r="D734" s="373"/>
      <c r="E734" s="373"/>
      <c r="F734" s="373"/>
      <c r="G734" s="373"/>
      <c r="H734" s="373"/>
      <c r="I734" s="373"/>
      <c r="J734" s="373"/>
      <c r="K734" s="373"/>
      <c r="L734" s="373"/>
      <c r="M734" s="373"/>
      <c r="N734" s="373"/>
      <c r="O734" s="373"/>
      <c r="P734" s="373"/>
      <c r="Q734" s="373"/>
    </row>
    <row r="735" spans="1:17" ht="14.4">
      <c r="A735" s="369"/>
      <c r="B735" s="373"/>
      <c r="C735" s="373"/>
      <c r="D735" s="373"/>
      <c r="E735" s="373"/>
      <c r="F735" s="373"/>
      <c r="G735" s="373"/>
      <c r="H735" s="373"/>
      <c r="I735" s="373"/>
      <c r="J735" s="373"/>
      <c r="K735" s="373"/>
      <c r="L735" s="373"/>
      <c r="M735" s="373"/>
      <c r="N735" s="373"/>
      <c r="O735" s="373"/>
      <c r="P735" s="373"/>
      <c r="Q735" s="373"/>
    </row>
    <row r="736" spans="1:17" ht="14.4">
      <c r="A736" s="369"/>
      <c r="B736" s="373"/>
      <c r="C736" s="373"/>
      <c r="D736" s="373"/>
      <c r="E736" s="373"/>
      <c r="F736" s="373"/>
      <c r="G736" s="373"/>
      <c r="H736" s="373"/>
      <c r="I736" s="373"/>
      <c r="J736" s="373"/>
      <c r="K736" s="373"/>
      <c r="L736" s="373"/>
      <c r="M736" s="373"/>
      <c r="N736" s="373"/>
      <c r="O736" s="373"/>
      <c r="P736" s="373"/>
      <c r="Q736" s="373"/>
    </row>
    <row r="737" spans="1:17" ht="14.4">
      <c r="A737" s="369"/>
      <c r="B737" s="373"/>
      <c r="C737" s="373"/>
      <c r="D737" s="373"/>
      <c r="E737" s="373"/>
      <c r="F737" s="373"/>
      <c r="G737" s="373"/>
      <c r="H737" s="373"/>
      <c r="I737" s="373"/>
      <c r="J737" s="373"/>
      <c r="K737" s="373"/>
      <c r="L737" s="373"/>
      <c r="M737" s="373"/>
      <c r="N737" s="373"/>
      <c r="O737" s="373"/>
      <c r="P737" s="373"/>
      <c r="Q737" s="373"/>
    </row>
    <row r="738" spans="1:17" ht="14.4">
      <c r="A738" s="369"/>
      <c r="B738" s="373"/>
      <c r="C738" s="373"/>
      <c r="D738" s="373"/>
      <c r="E738" s="373"/>
      <c r="F738" s="373"/>
      <c r="G738" s="373"/>
      <c r="H738" s="373"/>
      <c r="I738" s="373"/>
      <c r="J738" s="373"/>
      <c r="K738" s="373"/>
      <c r="L738" s="373"/>
      <c r="M738" s="373"/>
      <c r="N738" s="373"/>
      <c r="O738" s="373"/>
      <c r="P738" s="373"/>
      <c r="Q738" s="373"/>
    </row>
    <row r="739" spans="1:17" ht="14.4">
      <c r="A739" s="369"/>
      <c r="B739" s="373"/>
      <c r="C739" s="373"/>
      <c r="D739" s="373"/>
      <c r="E739" s="373"/>
      <c r="F739" s="373"/>
      <c r="G739" s="373"/>
      <c r="H739" s="373"/>
      <c r="I739" s="373"/>
      <c r="J739" s="373"/>
      <c r="K739" s="373"/>
      <c r="L739" s="373"/>
      <c r="M739" s="373"/>
      <c r="N739" s="373"/>
      <c r="O739" s="373"/>
      <c r="P739" s="373"/>
      <c r="Q739" s="373"/>
    </row>
    <row r="740" spans="1:17" ht="14.4">
      <c r="A740" s="369"/>
      <c r="B740" s="373"/>
      <c r="C740" s="373"/>
      <c r="D740" s="373"/>
      <c r="E740" s="373"/>
      <c r="F740" s="373"/>
      <c r="G740" s="373"/>
      <c r="H740" s="373"/>
      <c r="I740" s="373"/>
      <c r="J740" s="373"/>
      <c r="K740" s="373"/>
      <c r="L740" s="373"/>
      <c r="M740" s="373"/>
      <c r="N740" s="373"/>
      <c r="O740" s="373"/>
      <c r="P740" s="373"/>
      <c r="Q740" s="373"/>
    </row>
    <row r="741" spans="1:17" ht="14.4">
      <c r="A741" s="369"/>
      <c r="B741" s="373"/>
      <c r="C741" s="373"/>
      <c r="D741" s="373"/>
      <c r="E741" s="373"/>
      <c r="F741" s="373"/>
      <c r="G741" s="373"/>
      <c r="H741" s="373"/>
      <c r="I741" s="373"/>
      <c r="J741" s="373"/>
      <c r="K741" s="373"/>
      <c r="L741" s="373"/>
      <c r="M741" s="373"/>
      <c r="N741" s="373"/>
      <c r="O741" s="373"/>
      <c r="P741" s="373"/>
      <c r="Q741" s="373"/>
    </row>
    <row r="742" spans="1:17" ht="14.4">
      <c r="A742" s="369"/>
      <c r="B742" s="373"/>
      <c r="C742" s="373"/>
      <c r="D742" s="373"/>
      <c r="E742" s="373"/>
      <c r="F742" s="373"/>
      <c r="G742" s="373"/>
      <c r="H742" s="373"/>
      <c r="I742" s="373"/>
      <c r="J742" s="373"/>
      <c r="K742" s="373"/>
      <c r="L742" s="373"/>
      <c r="M742" s="373"/>
      <c r="N742" s="373"/>
      <c r="O742" s="373"/>
      <c r="P742" s="373"/>
      <c r="Q742" s="373"/>
    </row>
    <row r="743" spans="1:17" ht="14.4">
      <c r="A743" s="369"/>
      <c r="B743" s="373"/>
      <c r="C743" s="373"/>
      <c r="D743" s="373"/>
      <c r="E743" s="373"/>
      <c r="F743" s="373"/>
      <c r="G743" s="373"/>
      <c r="H743" s="373"/>
      <c r="I743" s="373"/>
      <c r="J743" s="373"/>
      <c r="K743" s="373"/>
      <c r="L743" s="373"/>
      <c r="M743" s="373"/>
      <c r="N743" s="373"/>
      <c r="O743" s="373"/>
      <c r="P743" s="373"/>
      <c r="Q743" s="373"/>
    </row>
    <row r="744" spans="1:17" ht="14.4">
      <c r="A744" s="369"/>
      <c r="B744" s="373"/>
      <c r="C744" s="373"/>
      <c r="D744" s="373"/>
      <c r="E744" s="373"/>
      <c r="F744" s="373"/>
      <c r="G744" s="373"/>
      <c r="H744" s="373"/>
      <c r="I744" s="373"/>
      <c r="J744" s="373"/>
      <c r="K744" s="373"/>
      <c r="L744" s="373"/>
      <c r="M744" s="373"/>
      <c r="N744" s="373"/>
      <c r="O744" s="373"/>
      <c r="P744" s="373"/>
      <c r="Q744" s="373"/>
    </row>
    <row r="745" spans="1:17" ht="14.4">
      <c r="A745" s="369"/>
      <c r="B745" s="373"/>
      <c r="C745" s="373"/>
      <c r="D745" s="373"/>
      <c r="E745" s="373"/>
      <c r="F745" s="373"/>
      <c r="G745" s="373"/>
      <c r="H745" s="373"/>
      <c r="I745" s="373"/>
      <c r="J745" s="373"/>
      <c r="K745" s="373"/>
      <c r="L745" s="373"/>
      <c r="M745" s="373"/>
      <c r="N745" s="373"/>
      <c r="O745" s="373"/>
      <c r="P745" s="373"/>
      <c r="Q745" s="373"/>
    </row>
    <row r="746" spans="1:17" ht="14.4">
      <c r="A746" s="369"/>
      <c r="B746" s="373"/>
      <c r="C746" s="373"/>
      <c r="D746" s="373"/>
      <c r="E746" s="373"/>
      <c r="F746" s="373"/>
      <c r="G746" s="373"/>
      <c r="H746" s="373"/>
      <c r="I746" s="373"/>
      <c r="J746" s="373"/>
      <c r="K746" s="373"/>
      <c r="L746" s="373"/>
      <c r="M746" s="373"/>
      <c r="N746" s="373"/>
      <c r="O746" s="373"/>
      <c r="P746" s="373"/>
      <c r="Q746" s="373"/>
    </row>
    <row r="747" spans="1:17" ht="14.4">
      <c r="A747" s="369"/>
      <c r="B747" s="373"/>
      <c r="C747" s="373"/>
      <c r="D747" s="373"/>
      <c r="E747" s="373"/>
      <c r="F747" s="373"/>
      <c r="G747" s="373"/>
      <c r="H747" s="373"/>
      <c r="I747" s="373"/>
      <c r="J747" s="373"/>
      <c r="K747" s="373"/>
      <c r="L747" s="373"/>
      <c r="M747" s="373"/>
      <c r="N747" s="373"/>
      <c r="O747" s="373"/>
      <c r="P747" s="373"/>
      <c r="Q747" s="373"/>
    </row>
    <row r="748" spans="1:17" ht="14.4">
      <c r="A748" s="369"/>
      <c r="B748" s="373"/>
      <c r="C748" s="373"/>
      <c r="D748" s="373"/>
      <c r="E748" s="373"/>
      <c r="F748" s="373"/>
      <c r="G748" s="373"/>
      <c r="H748" s="373"/>
      <c r="I748" s="373"/>
      <c r="J748" s="373"/>
      <c r="K748" s="373"/>
      <c r="L748" s="373"/>
      <c r="M748" s="373"/>
      <c r="N748" s="373"/>
      <c r="O748" s="373"/>
      <c r="P748" s="373"/>
      <c r="Q748" s="373"/>
    </row>
    <row r="749" spans="1:17" ht="14.4">
      <c r="A749" s="369"/>
      <c r="B749" s="373"/>
      <c r="C749" s="373"/>
      <c r="D749" s="373"/>
      <c r="E749" s="373"/>
      <c r="F749" s="373"/>
      <c r="G749" s="373"/>
      <c r="H749" s="373"/>
      <c r="I749" s="373"/>
      <c r="J749" s="373"/>
      <c r="K749" s="373"/>
      <c r="L749" s="373"/>
      <c r="M749" s="373"/>
      <c r="N749" s="373"/>
      <c r="O749" s="373"/>
      <c r="P749" s="373"/>
      <c r="Q749" s="373"/>
    </row>
    <row r="750" spans="1:17" ht="14.4">
      <c r="A750" s="369"/>
      <c r="B750" s="373"/>
      <c r="C750" s="373"/>
      <c r="D750" s="373"/>
      <c r="E750" s="373"/>
      <c r="F750" s="373"/>
      <c r="G750" s="373"/>
      <c r="H750" s="373"/>
      <c r="I750" s="373"/>
      <c r="J750" s="373"/>
      <c r="K750" s="373"/>
      <c r="L750" s="373"/>
      <c r="M750" s="373"/>
      <c r="N750" s="373"/>
      <c r="O750" s="373"/>
      <c r="P750" s="373"/>
      <c r="Q750" s="373"/>
    </row>
    <row r="751" spans="1:17" ht="14.4">
      <c r="A751" s="369"/>
      <c r="B751" s="373"/>
      <c r="C751" s="373"/>
      <c r="D751" s="373"/>
      <c r="E751" s="373"/>
      <c r="F751" s="373"/>
      <c r="G751" s="373"/>
      <c r="H751" s="373"/>
      <c r="I751" s="373"/>
      <c r="J751" s="373"/>
      <c r="K751" s="373"/>
      <c r="L751" s="373"/>
      <c r="M751" s="373"/>
      <c r="N751" s="373"/>
      <c r="O751" s="373"/>
      <c r="P751" s="373"/>
      <c r="Q751" s="373"/>
    </row>
    <row r="752" spans="1:17" ht="14.4">
      <c r="A752" s="369"/>
      <c r="B752" s="373"/>
      <c r="C752" s="373"/>
      <c r="D752" s="373"/>
      <c r="E752" s="373"/>
      <c r="F752" s="373"/>
      <c r="G752" s="373"/>
      <c r="H752" s="373"/>
      <c r="I752" s="373"/>
      <c r="J752" s="373"/>
      <c r="K752" s="373"/>
      <c r="L752" s="373"/>
      <c r="M752" s="373"/>
      <c r="N752" s="373"/>
      <c r="O752" s="373"/>
      <c r="P752" s="373"/>
      <c r="Q752" s="373"/>
    </row>
    <row r="753" spans="1:17" ht="14.4">
      <c r="A753" s="369"/>
      <c r="B753" s="373"/>
      <c r="C753" s="373"/>
      <c r="D753" s="373"/>
      <c r="E753" s="373"/>
      <c r="F753" s="373"/>
      <c r="G753" s="373"/>
      <c r="H753" s="373"/>
      <c r="I753" s="373"/>
      <c r="J753" s="373"/>
      <c r="K753" s="373"/>
      <c r="L753" s="373"/>
      <c r="M753" s="373"/>
      <c r="N753" s="373"/>
      <c r="O753" s="373"/>
      <c r="P753" s="373"/>
      <c r="Q753" s="373"/>
    </row>
    <row r="754" spans="1:17" ht="14.4">
      <c r="A754" s="369"/>
      <c r="B754" s="373"/>
      <c r="C754" s="373"/>
      <c r="D754" s="373"/>
      <c r="E754" s="373"/>
      <c r="F754" s="373"/>
      <c r="G754" s="373"/>
      <c r="H754" s="373"/>
      <c r="I754" s="373"/>
      <c r="J754" s="373"/>
      <c r="K754" s="373"/>
      <c r="L754" s="373"/>
      <c r="M754" s="373"/>
      <c r="N754" s="373"/>
      <c r="O754" s="373"/>
      <c r="P754" s="373"/>
      <c r="Q754" s="373"/>
    </row>
    <row r="755" spans="1:17" ht="14.4">
      <c r="A755" s="369"/>
      <c r="B755" s="373"/>
      <c r="C755" s="373"/>
      <c r="D755" s="373"/>
      <c r="E755" s="373"/>
      <c r="F755" s="373"/>
      <c r="G755" s="373"/>
      <c r="H755" s="373"/>
      <c r="I755" s="373"/>
      <c r="J755" s="373"/>
      <c r="K755" s="373"/>
      <c r="L755" s="373"/>
      <c r="M755" s="373"/>
      <c r="N755" s="373"/>
      <c r="O755" s="373"/>
      <c r="P755" s="373"/>
      <c r="Q755" s="373"/>
    </row>
    <row r="756" spans="1:17" ht="14.4">
      <c r="A756" s="369"/>
      <c r="B756" s="373"/>
      <c r="C756" s="373"/>
      <c r="D756" s="373"/>
      <c r="E756" s="373"/>
      <c r="F756" s="373"/>
      <c r="G756" s="373"/>
      <c r="H756" s="373"/>
      <c r="I756" s="373"/>
      <c r="J756" s="373"/>
      <c r="K756" s="373"/>
      <c r="L756" s="373"/>
      <c r="M756" s="373"/>
      <c r="N756" s="373"/>
      <c r="O756" s="373"/>
      <c r="P756" s="373"/>
      <c r="Q756" s="373"/>
    </row>
    <row r="757" spans="1:17" ht="14.4">
      <c r="A757" s="369"/>
      <c r="B757" s="373"/>
      <c r="C757" s="373"/>
      <c r="D757" s="373"/>
      <c r="E757" s="373"/>
      <c r="F757" s="373"/>
      <c r="G757" s="373"/>
      <c r="H757" s="373"/>
      <c r="I757" s="373"/>
      <c r="J757" s="373"/>
      <c r="K757" s="373"/>
      <c r="L757" s="373"/>
      <c r="M757" s="373"/>
      <c r="N757" s="373"/>
      <c r="O757" s="373"/>
      <c r="P757" s="373"/>
      <c r="Q757" s="373"/>
    </row>
    <row r="758" spans="1:17" ht="14.4">
      <c r="A758" s="369"/>
      <c r="B758" s="373"/>
      <c r="C758" s="373"/>
      <c r="D758" s="373"/>
      <c r="E758" s="373"/>
      <c r="F758" s="373"/>
      <c r="G758" s="373"/>
      <c r="H758" s="373"/>
      <c r="I758" s="373"/>
      <c r="J758" s="373"/>
      <c r="K758" s="373"/>
      <c r="L758" s="373"/>
      <c r="M758" s="373"/>
      <c r="N758" s="373"/>
      <c r="O758" s="373"/>
      <c r="P758" s="373"/>
      <c r="Q758" s="373"/>
    </row>
    <row r="759" spans="1:17" ht="14.4">
      <c r="A759" s="369"/>
      <c r="B759" s="373"/>
      <c r="C759" s="373"/>
      <c r="D759" s="373"/>
      <c r="E759" s="373"/>
      <c r="F759" s="373"/>
      <c r="G759" s="373"/>
      <c r="H759" s="373"/>
      <c r="I759" s="373"/>
      <c r="J759" s="373"/>
      <c r="K759" s="373"/>
      <c r="L759" s="373"/>
      <c r="M759" s="373"/>
      <c r="N759" s="373"/>
      <c r="O759" s="373"/>
      <c r="P759" s="373"/>
      <c r="Q759" s="373"/>
    </row>
    <row r="760" spans="1:17" ht="14.4">
      <c r="A760" s="369"/>
      <c r="B760" s="373"/>
      <c r="C760" s="373"/>
      <c r="D760" s="373"/>
      <c r="E760" s="373"/>
      <c r="F760" s="373"/>
      <c r="G760" s="373"/>
      <c r="H760" s="373"/>
      <c r="I760" s="373"/>
      <c r="J760" s="373"/>
      <c r="K760" s="373"/>
      <c r="L760" s="373"/>
      <c r="M760" s="373"/>
      <c r="N760" s="373"/>
      <c r="O760" s="373"/>
      <c r="P760" s="373"/>
      <c r="Q760" s="373"/>
    </row>
    <row r="761" spans="1:17" ht="14.4">
      <c r="A761" s="369"/>
      <c r="B761" s="373"/>
      <c r="C761" s="373"/>
      <c r="D761" s="373"/>
      <c r="E761" s="373"/>
      <c r="F761" s="373"/>
      <c r="G761" s="373"/>
      <c r="H761" s="373"/>
      <c r="I761" s="373"/>
      <c r="J761" s="373"/>
      <c r="K761" s="373"/>
      <c r="L761" s="373"/>
      <c r="M761" s="373"/>
      <c r="N761" s="373"/>
      <c r="O761" s="373"/>
      <c r="P761" s="373"/>
      <c r="Q761" s="373"/>
    </row>
    <row r="762" spans="1:17" ht="14.4">
      <c r="A762" s="369"/>
      <c r="B762" s="373"/>
      <c r="C762" s="373"/>
      <c r="D762" s="373"/>
      <c r="E762" s="373"/>
      <c r="F762" s="373"/>
      <c r="G762" s="373"/>
      <c r="H762" s="373"/>
      <c r="I762" s="373"/>
      <c r="J762" s="373"/>
      <c r="K762" s="373"/>
      <c r="L762" s="373"/>
      <c r="M762" s="373"/>
      <c r="N762" s="373"/>
      <c r="O762" s="373"/>
      <c r="P762" s="373"/>
      <c r="Q762" s="373"/>
    </row>
    <row r="763" spans="1:17" ht="14.4">
      <c r="A763" s="369"/>
      <c r="B763" s="373"/>
      <c r="C763" s="373"/>
      <c r="D763" s="373"/>
      <c r="E763" s="373"/>
      <c r="F763" s="373"/>
      <c r="G763" s="373"/>
      <c r="H763" s="373"/>
      <c r="I763" s="373"/>
      <c r="J763" s="373"/>
      <c r="K763" s="373"/>
      <c r="L763" s="373"/>
      <c r="M763" s="373"/>
      <c r="N763" s="373"/>
      <c r="O763" s="373"/>
      <c r="P763" s="373"/>
      <c r="Q763" s="373"/>
    </row>
    <row r="764" spans="1:17" ht="14.4">
      <c r="A764" s="369"/>
      <c r="B764" s="373"/>
      <c r="C764" s="373"/>
      <c r="D764" s="373"/>
      <c r="E764" s="373"/>
      <c r="F764" s="373"/>
      <c r="G764" s="373"/>
      <c r="H764" s="373"/>
      <c r="I764" s="373"/>
      <c r="J764" s="373"/>
      <c r="K764" s="373"/>
      <c r="L764" s="373"/>
      <c r="M764" s="373"/>
      <c r="N764" s="373"/>
      <c r="O764" s="373"/>
      <c r="P764" s="373"/>
      <c r="Q764" s="373"/>
    </row>
    <row r="765" spans="1:17" ht="14.4">
      <c r="A765" s="369"/>
      <c r="B765" s="373"/>
      <c r="C765" s="373"/>
      <c r="D765" s="373"/>
      <c r="E765" s="373"/>
      <c r="F765" s="373"/>
      <c r="G765" s="373"/>
      <c r="H765" s="373"/>
      <c r="I765" s="373"/>
      <c r="J765" s="373"/>
      <c r="K765" s="373"/>
      <c r="L765" s="373"/>
      <c r="M765" s="373"/>
      <c r="N765" s="373"/>
      <c r="O765" s="373"/>
      <c r="P765" s="373"/>
      <c r="Q765" s="373"/>
    </row>
    <row r="766" spans="1:17" ht="14.4">
      <c r="A766" s="369"/>
      <c r="B766" s="373"/>
      <c r="C766" s="373"/>
      <c r="D766" s="373"/>
      <c r="E766" s="373"/>
      <c r="F766" s="373"/>
      <c r="G766" s="373"/>
      <c r="H766" s="373"/>
      <c r="I766" s="373"/>
      <c r="J766" s="373"/>
      <c r="K766" s="373"/>
      <c r="L766" s="373"/>
      <c r="M766" s="373"/>
      <c r="N766" s="373"/>
      <c r="O766" s="373"/>
      <c r="P766" s="373"/>
      <c r="Q766" s="373"/>
    </row>
    <row r="767" spans="1:17" ht="14.4">
      <c r="A767" s="369"/>
      <c r="B767" s="373"/>
      <c r="C767" s="373"/>
      <c r="D767" s="373"/>
      <c r="E767" s="373"/>
      <c r="F767" s="373"/>
      <c r="G767" s="373"/>
      <c r="H767" s="373"/>
      <c r="I767" s="373"/>
      <c r="J767" s="373"/>
      <c r="K767" s="373"/>
      <c r="L767" s="373"/>
      <c r="M767" s="373"/>
      <c r="N767" s="373"/>
      <c r="O767" s="373"/>
      <c r="P767" s="373"/>
      <c r="Q767" s="373"/>
    </row>
    <row r="768" spans="1:17" ht="14.4">
      <c r="A768" s="369"/>
      <c r="B768" s="373"/>
      <c r="C768" s="373"/>
      <c r="D768" s="373"/>
      <c r="E768" s="373"/>
      <c r="F768" s="373"/>
      <c r="G768" s="373"/>
      <c r="H768" s="373"/>
      <c r="I768" s="373"/>
      <c r="J768" s="373"/>
      <c r="K768" s="373"/>
      <c r="L768" s="373"/>
      <c r="M768" s="373"/>
      <c r="N768" s="373"/>
      <c r="O768" s="373"/>
      <c r="P768" s="373"/>
      <c r="Q768" s="373"/>
    </row>
    <row r="769" spans="1:17" ht="14.4">
      <c r="A769" s="369"/>
      <c r="B769" s="373"/>
      <c r="C769" s="373"/>
      <c r="D769" s="373"/>
      <c r="E769" s="373"/>
      <c r="F769" s="373"/>
      <c r="G769" s="373"/>
      <c r="H769" s="373"/>
      <c r="I769" s="373"/>
      <c r="J769" s="373"/>
      <c r="K769" s="373"/>
      <c r="L769" s="373"/>
      <c r="M769" s="373"/>
      <c r="N769" s="373"/>
      <c r="O769" s="373"/>
      <c r="P769" s="373"/>
      <c r="Q769" s="373"/>
    </row>
    <row r="770" spans="1:17" ht="14.4">
      <c r="A770" s="369"/>
      <c r="B770" s="373"/>
      <c r="C770" s="373"/>
      <c r="D770" s="373"/>
      <c r="E770" s="373"/>
      <c r="F770" s="373"/>
      <c r="G770" s="373"/>
      <c r="H770" s="373"/>
      <c r="I770" s="373"/>
      <c r="J770" s="373"/>
      <c r="K770" s="373"/>
      <c r="L770" s="373"/>
      <c r="M770" s="373"/>
      <c r="N770" s="373"/>
      <c r="O770" s="373"/>
      <c r="P770" s="373"/>
      <c r="Q770" s="373"/>
    </row>
    <row r="771" spans="1:17" ht="14.4">
      <c r="A771" s="369"/>
      <c r="B771" s="373"/>
      <c r="C771" s="373"/>
      <c r="D771" s="373"/>
      <c r="E771" s="373"/>
      <c r="F771" s="373"/>
      <c r="G771" s="373"/>
      <c r="H771" s="373"/>
      <c r="I771" s="373"/>
      <c r="J771" s="373"/>
      <c r="K771" s="373"/>
      <c r="L771" s="373"/>
      <c r="M771" s="373"/>
      <c r="N771" s="373"/>
      <c r="O771" s="373"/>
      <c r="P771" s="373"/>
      <c r="Q771" s="373"/>
    </row>
    <row r="772" spans="1:17" ht="14.4">
      <c r="A772" s="369"/>
      <c r="B772" s="373"/>
      <c r="C772" s="373"/>
      <c r="D772" s="373"/>
      <c r="E772" s="373"/>
      <c r="F772" s="373"/>
      <c r="G772" s="373"/>
      <c r="H772" s="373"/>
      <c r="I772" s="373"/>
      <c r="J772" s="373"/>
      <c r="K772" s="373"/>
      <c r="L772" s="373"/>
      <c r="M772" s="373"/>
      <c r="N772" s="373"/>
      <c r="O772" s="373"/>
      <c r="P772" s="373"/>
      <c r="Q772" s="373"/>
    </row>
    <row r="773" spans="1:17" ht="14.4">
      <c r="A773" s="369"/>
      <c r="B773" s="373"/>
      <c r="C773" s="373"/>
      <c r="D773" s="373"/>
      <c r="E773" s="373"/>
      <c r="F773" s="373"/>
      <c r="G773" s="373"/>
      <c r="H773" s="373"/>
      <c r="I773" s="373"/>
      <c r="J773" s="373"/>
      <c r="K773" s="373"/>
      <c r="L773" s="373"/>
      <c r="M773" s="373"/>
      <c r="N773" s="373"/>
      <c r="O773" s="373"/>
      <c r="P773" s="373"/>
      <c r="Q773" s="373"/>
    </row>
    <row r="774" spans="1:17" ht="14.4">
      <c r="A774" s="369"/>
      <c r="B774" s="373"/>
      <c r="C774" s="373"/>
      <c r="D774" s="373"/>
      <c r="E774" s="373"/>
      <c r="F774" s="373"/>
      <c r="G774" s="373"/>
      <c r="H774" s="373"/>
      <c r="I774" s="373"/>
      <c r="J774" s="373"/>
      <c r="K774" s="373"/>
      <c r="L774" s="373"/>
      <c r="M774" s="373"/>
      <c r="N774" s="373"/>
      <c r="O774" s="373"/>
      <c r="P774" s="373"/>
      <c r="Q774" s="373"/>
    </row>
    <row r="775" spans="1:17" ht="14.4">
      <c r="A775" s="369"/>
      <c r="B775" s="373"/>
      <c r="C775" s="373"/>
      <c r="D775" s="373"/>
      <c r="E775" s="373"/>
      <c r="F775" s="373"/>
      <c r="G775" s="373"/>
      <c r="H775" s="373"/>
      <c r="I775" s="373"/>
      <c r="J775" s="373"/>
      <c r="K775" s="373"/>
      <c r="L775" s="373"/>
      <c r="M775" s="373"/>
      <c r="N775" s="373"/>
      <c r="O775" s="373"/>
      <c r="P775" s="373"/>
      <c r="Q775" s="373"/>
    </row>
    <row r="776" spans="1:17" ht="14.4">
      <c r="A776" s="369"/>
      <c r="B776" s="373"/>
      <c r="C776" s="373"/>
      <c r="D776" s="373"/>
      <c r="E776" s="373"/>
      <c r="F776" s="373"/>
      <c r="G776" s="373"/>
      <c r="H776" s="373"/>
      <c r="I776" s="373"/>
      <c r="J776" s="373"/>
      <c r="K776" s="373"/>
      <c r="L776" s="373"/>
      <c r="M776" s="373"/>
      <c r="N776" s="373"/>
      <c r="O776" s="373"/>
      <c r="P776" s="373"/>
      <c r="Q776" s="373"/>
    </row>
    <row r="777" spans="1:17" ht="14.4">
      <c r="A777" s="369"/>
      <c r="B777" s="373"/>
      <c r="C777" s="373"/>
      <c r="D777" s="373"/>
      <c r="E777" s="373"/>
      <c r="F777" s="373"/>
      <c r="G777" s="373"/>
      <c r="H777" s="373"/>
      <c r="I777" s="373"/>
      <c r="J777" s="373"/>
      <c r="K777" s="373"/>
      <c r="L777" s="373"/>
      <c r="M777" s="373"/>
      <c r="N777" s="373"/>
      <c r="O777" s="373"/>
      <c r="P777" s="373"/>
      <c r="Q777" s="373"/>
    </row>
    <row r="778" spans="1:17" ht="14.4">
      <c r="A778" s="369"/>
      <c r="B778" s="373"/>
      <c r="C778" s="373"/>
      <c r="D778" s="373"/>
      <c r="E778" s="373"/>
      <c r="F778" s="373"/>
      <c r="G778" s="373"/>
      <c r="H778" s="373"/>
      <c r="I778" s="373"/>
      <c r="J778" s="373"/>
      <c r="K778" s="373"/>
      <c r="L778" s="373"/>
      <c r="M778" s="373"/>
      <c r="N778" s="373"/>
      <c r="O778" s="373"/>
      <c r="P778" s="373"/>
      <c r="Q778" s="373"/>
    </row>
    <row r="779" spans="1:17" ht="14.4">
      <c r="A779" s="369"/>
      <c r="B779" s="373"/>
      <c r="C779" s="373"/>
      <c r="D779" s="373"/>
      <c r="E779" s="373"/>
      <c r="F779" s="373"/>
      <c r="G779" s="373"/>
      <c r="H779" s="373"/>
      <c r="I779" s="373"/>
      <c r="J779" s="373"/>
      <c r="K779" s="373"/>
      <c r="L779" s="373"/>
      <c r="M779" s="373"/>
      <c r="N779" s="373"/>
      <c r="O779" s="373"/>
      <c r="P779" s="373"/>
      <c r="Q779" s="373"/>
    </row>
    <row r="780" spans="1:17" ht="14.4">
      <c r="A780" s="369"/>
      <c r="B780" s="373"/>
      <c r="C780" s="373"/>
      <c r="D780" s="373"/>
      <c r="E780" s="373"/>
      <c r="F780" s="373"/>
      <c r="G780" s="373"/>
      <c r="H780" s="373"/>
      <c r="I780" s="373"/>
      <c r="J780" s="373"/>
      <c r="K780" s="373"/>
      <c r="L780" s="373"/>
      <c r="M780" s="373"/>
      <c r="N780" s="373"/>
      <c r="O780" s="373"/>
      <c r="P780" s="373"/>
      <c r="Q780" s="373"/>
    </row>
    <row r="781" spans="1:17" ht="14.4">
      <c r="A781" s="369"/>
      <c r="B781" s="373"/>
      <c r="C781" s="373"/>
      <c r="D781" s="373"/>
      <c r="E781" s="373"/>
      <c r="F781" s="373"/>
      <c r="G781" s="373"/>
      <c r="H781" s="373"/>
      <c r="I781" s="373"/>
      <c r="J781" s="373"/>
      <c r="K781" s="373"/>
      <c r="L781" s="373"/>
      <c r="M781" s="373"/>
      <c r="N781" s="373"/>
      <c r="O781" s="373"/>
      <c r="P781" s="373"/>
      <c r="Q781" s="373"/>
    </row>
    <row r="782" spans="1:17" ht="14.4">
      <c r="A782" s="369"/>
      <c r="B782" s="373"/>
      <c r="C782" s="373"/>
      <c r="D782" s="373"/>
      <c r="E782" s="373"/>
      <c r="F782" s="373"/>
      <c r="G782" s="373"/>
      <c r="H782" s="373"/>
      <c r="I782" s="373"/>
      <c r="J782" s="373"/>
      <c r="K782" s="373"/>
      <c r="L782" s="373"/>
      <c r="M782" s="373"/>
      <c r="N782" s="373"/>
      <c r="O782" s="373"/>
      <c r="P782" s="373"/>
      <c r="Q782" s="373"/>
    </row>
    <row r="783" spans="1:17" ht="14.4">
      <c r="A783" s="369"/>
      <c r="B783" s="373"/>
      <c r="C783" s="373"/>
      <c r="D783" s="373"/>
      <c r="E783" s="373"/>
      <c r="F783" s="373"/>
      <c r="G783" s="373"/>
      <c r="H783" s="373"/>
      <c r="I783" s="373"/>
      <c r="J783" s="373"/>
      <c r="K783" s="373"/>
      <c r="L783" s="373"/>
      <c r="M783" s="373"/>
      <c r="N783" s="373"/>
      <c r="O783" s="373"/>
      <c r="P783" s="373"/>
      <c r="Q783" s="373"/>
    </row>
    <row r="784" spans="1:17" ht="14.4">
      <c r="A784" s="369"/>
      <c r="B784" s="373"/>
      <c r="C784" s="373"/>
      <c r="D784" s="373"/>
      <c r="E784" s="373"/>
      <c r="F784" s="373"/>
      <c r="G784" s="373"/>
      <c r="H784" s="373"/>
      <c r="I784" s="373"/>
      <c r="J784" s="373"/>
      <c r="K784" s="373"/>
      <c r="L784" s="373"/>
      <c r="M784" s="373"/>
      <c r="N784" s="373"/>
      <c r="O784" s="373"/>
      <c r="P784" s="373"/>
      <c r="Q784" s="373"/>
    </row>
    <row r="785" spans="1:17" ht="14.4">
      <c r="A785" s="369"/>
      <c r="B785" s="373"/>
      <c r="C785" s="373"/>
      <c r="D785" s="373"/>
      <c r="E785" s="373"/>
      <c r="F785" s="373"/>
      <c r="G785" s="373"/>
      <c r="H785" s="373"/>
      <c r="I785" s="373"/>
      <c r="J785" s="373"/>
      <c r="K785" s="373"/>
      <c r="L785" s="373"/>
      <c r="M785" s="373"/>
      <c r="N785" s="373"/>
      <c r="O785" s="373"/>
      <c r="P785" s="373"/>
      <c r="Q785" s="373"/>
    </row>
    <row r="786" spans="1:17" ht="14.4">
      <c r="A786" s="369"/>
      <c r="B786" s="373"/>
      <c r="C786" s="373"/>
      <c r="D786" s="373"/>
      <c r="E786" s="373"/>
      <c r="F786" s="373"/>
      <c r="G786" s="373"/>
      <c r="H786" s="373"/>
      <c r="I786" s="373"/>
      <c r="J786" s="373"/>
      <c r="K786" s="373"/>
      <c r="L786" s="373"/>
      <c r="M786" s="373"/>
      <c r="N786" s="373"/>
      <c r="O786" s="373"/>
      <c r="P786" s="373"/>
      <c r="Q786" s="373"/>
    </row>
    <row r="787" spans="1:17" ht="14.4">
      <c r="A787" s="369"/>
      <c r="B787" s="373"/>
      <c r="C787" s="373"/>
      <c r="D787" s="373"/>
      <c r="E787" s="373"/>
      <c r="F787" s="373"/>
      <c r="G787" s="373"/>
      <c r="H787" s="373"/>
      <c r="I787" s="373"/>
      <c r="J787" s="373"/>
      <c r="K787" s="373"/>
      <c r="L787" s="373"/>
      <c r="M787" s="373"/>
      <c r="N787" s="373"/>
      <c r="O787" s="373"/>
      <c r="P787" s="373"/>
      <c r="Q787" s="373"/>
    </row>
    <row r="788" spans="1:17" ht="14.4">
      <c r="A788" s="369"/>
      <c r="B788" s="373"/>
      <c r="C788" s="373"/>
      <c r="D788" s="373"/>
      <c r="E788" s="373"/>
      <c r="F788" s="373"/>
      <c r="G788" s="373"/>
      <c r="H788" s="373"/>
      <c r="I788" s="373"/>
      <c r="J788" s="373"/>
      <c r="K788" s="373"/>
      <c r="L788" s="373"/>
      <c r="M788" s="373"/>
      <c r="N788" s="373"/>
      <c r="O788" s="373"/>
      <c r="P788" s="373"/>
      <c r="Q788" s="373"/>
    </row>
    <row r="789" spans="1:17" ht="14.4">
      <c r="A789" s="369"/>
      <c r="B789" s="373"/>
      <c r="C789" s="373"/>
      <c r="D789" s="373"/>
      <c r="E789" s="373"/>
      <c r="F789" s="373"/>
      <c r="G789" s="373"/>
      <c r="H789" s="373"/>
      <c r="I789" s="373"/>
      <c r="J789" s="373"/>
      <c r="K789" s="373"/>
      <c r="L789" s="373"/>
      <c r="M789" s="373"/>
      <c r="N789" s="373"/>
      <c r="O789" s="373"/>
      <c r="P789" s="373"/>
      <c r="Q789" s="373"/>
    </row>
    <row r="790" spans="1:17" ht="14.4">
      <c r="A790" s="369"/>
      <c r="B790" s="373"/>
      <c r="C790" s="373"/>
      <c r="D790" s="373"/>
      <c r="E790" s="373"/>
      <c r="F790" s="373"/>
      <c r="G790" s="373"/>
      <c r="H790" s="373"/>
      <c r="I790" s="373"/>
      <c r="J790" s="373"/>
      <c r="K790" s="373"/>
      <c r="L790" s="373"/>
      <c r="M790" s="373"/>
      <c r="N790" s="373"/>
      <c r="O790" s="373"/>
      <c r="P790" s="373"/>
      <c r="Q790" s="373"/>
    </row>
    <row r="791" spans="1:17" ht="14.4">
      <c r="A791" s="369"/>
      <c r="B791" s="373"/>
      <c r="C791" s="373"/>
      <c r="D791" s="373"/>
      <c r="E791" s="373"/>
      <c r="F791" s="373"/>
      <c r="G791" s="373"/>
      <c r="H791" s="373"/>
      <c r="I791" s="373"/>
      <c r="J791" s="373"/>
      <c r="K791" s="373"/>
      <c r="L791" s="373"/>
      <c r="M791" s="373"/>
      <c r="N791" s="373"/>
      <c r="O791" s="373"/>
      <c r="P791" s="373"/>
      <c r="Q791" s="373"/>
    </row>
    <row r="792" spans="1:17" ht="14.4">
      <c r="A792" s="369"/>
      <c r="B792" s="373"/>
      <c r="C792" s="373"/>
      <c r="D792" s="373"/>
      <c r="E792" s="373"/>
      <c r="F792" s="373"/>
      <c r="G792" s="373"/>
      <c r="H792" s="373"/>
      <c r="I792" s="373"/>
      <c r="J792" s="373"/>
      <c r="K792" s="373"/>
      <c r="L792" s="373"/>
      <c r="M792" s="373"/>
      <c r="N792" s="373"/>
      <c r="O792" s="373"/>
      <c r="P792" s="373"/>
      <c r="Q792" s="373"/>
    </row>
    <row r="793" spans="1:17" ht="14.4">
      <c r="A793" s="369"/>
      <c r="B793" s="373"/>
      <c r="C793" s="373"/>
      <c r="D793" s="373"/>
      <c r="E793" s="373"/>
      <c r="F793" s="373"/>
      <c r="G793" s="373"/>
      <c r="H793" s="373"/>
      <c r="I793" s="373"/>
      <c r="J793" s="373"/>
      <c r="K793" s="373"/>
      <c r="L793" s="373"/>
      <c r="M793" s="373"/>
      <c r="N793" s="373"/>
      <c r="O793" s="373"/>
      <c r="P793" s="373"/>
      <c r="Q793" s="373"/>
    </row>
    <row r="794" spans="1:17" ht="14.4">
      <c r="A794" s="369"/>
      <c r="B794" s="373"/>
      <c r="C794" s="373"/>
      <c r="D794" s="373"/>
      <c r="E794" s="373"/>
      <c r="F794" s="373"/>
      <c r="G794" s="373"/>
      <c r="H794" s="373"/>
      <c r="I794" s="373"/>
      <c r="J794" s="373"/>
      <c r="K794" s="373"/>
      <c r="L794" s="373"/>
      <c r="M794" s="373"/>
      <c r="N794" s="373"/>
      <c r="O794" s="373"/>
      <c r="P794" s="373"/>
      <c r="Q794" s="373"/>
    </row>
    <row r="795" spans="1:17" ht="14.4">
      <c r="A795" s="369"/>
      <c r="B795" s="373"/>
      <c r="C795" s="373"/>
      <c r="D795" s="373"/>
      <c r="E795" s="373"/>
      <c r="F795" s="373"/>
      <c r="G795" s="373"/>
      <c r="H795" s="373"/>
      <c r="I795" s="373"/>
      <c r="J795" s="373"/>
      <c r="K795" s="373"/>
      <c r="L795" s="373"/>
      <c r="M795" s="373"/>
      <c r="N795" s="373"/>
      <c r="O795" s="373"/>
      <c r="P795" s="373"/>
      <c r="Q795" s="373"/>
    </row>
    <row r="796" spans="1:17" ht="14.4">
      <c r="A796" s="369"/>
      <c r="B796" s="373"/>
      <c r="C796" s="373"/>
      <c r="D796" s="373"/>
      <c r="E796" s="373"/>
      <c r="F796" s="373"/>
      <c r="G796" s="373"/>
      <c r="H796" s="373"/>
      <c r="I796" s="373"/>
      <c r="J796" s="373"/>
      <c r="K796" s="373"/>
      <c r="L796" s="373"/>
      <c r="M796" s="373"/>
      <c r="N796" s="373"/>
      <c r="O796" s="373"/>
      <c r="P796" s="373"/>
      <c r="Q796" s="373"/>
    </row>
    <row r="797" spans="1:17" ht="14.4">
      <c r="A797" s="369"/>
      <c r="B797" s="373"/>
      <c r="C797" s="373"/>
      <c r="D797" s="373"/>
      <c r="E797" s="373"/>
      <c r="F797" s="373"/>
      <c r="G797" s="373"/>
      <c r="H797" s="373"/>
      <c r="I797" s="373"/>
      <c r="J797" s="373"/>
      <c r="K797" s="373"/>
      <c r="L797" s="373"/>
      <c r="M797" s="373"/>
      <c r="N797" s="373"/>
      <c r="O797" s="373"/>
      <c r="P797" s="373"/>
      <c r="Q797" s="373"/>
    </row>
    <row r="798" spans="1:17" ht="14.4">
      <c r="A798" s="369"/>
      <c r="B798" s="373"/>
      <c r="C798" s="373"/>
      <c r="D798" s="373"/>
      <c r="E798" s="373"/>
      <c r="F798" s="373"/>
      <c r="G798" s="373"/>
      <c r="H798" s="373"/>
      <c r="I798" s="373"/>
      <c r="J798" s="373"/>
      <c r="K798" s="373"/>
      <c r="L798" s="373"/>
      <c r="M798" s="373"/>
      <c r="N798" s="373"/>
      <c r="O798" s="373"/>
      <c r="P798" s="373"/>
      <c r="Q798" s="373"/>
    </row>
    <row r="799" spans="1:17" ht="14.4">
      <c r="A799" s="369"/>
      <c r="B799" s="373"/>
      <c r="C799" s="373"/>
      <c r="D799" s="373"/>
      <c r="E799" s="373"/>
      <c r="F799" s="373"/>
      <c r="G799" s="373"/>
      <c r="H799" s="373"/>
      <c r="I799" s="373"/>
      <c r="J799" s="373"/>
      <c r="K799" s="373"/>
      <c r="L799" s="373"/>
      <c r="M799" s="373"/>
      <c r="N799" s="373"/>
      <c r="O799" s="373"/>
      <c r="P799" s="373"/>
      <c r="Q799" s="373"/>
    </row>
    <row r="800" spans="1:17" ht="14.4">
      <c r="A800" s="369"/>
      <c r="B800" s="373"/>
      <c r="C800" s="373"/>
      <c r="D800" s="373"/>
      <c r="E800" s="373"/>
      <c r="F800" s="373"/>
      <c r="G800" s="373"/>
      <c r="H800" s="373"/>
      <c r="I800" s="373"/>
      <c r="J800" s="373"/>
      <c r="K800" s="373"/>
      <c r="L800" s="373"/>
      <c r="M800" s="373"/>
      <c r="N800" s="373"/>
      <c r="O800" s="373"/>
      <c r="P800" s="373"/>
      <c r="Q800" s="373"/>
    </row>
    <row r="801" spans="1:17" ht="14.4">
      <c r="A801" s="369"/>
      <c r="B801" s="373"/>
      <c r="C801" s="373"/>
      <c r="D801" s="373"/>
      <c r="E801" s="373"/>
      <c r="F801" s="373"/>
      <c r="G801" s="373"/>
      <c r="H801" s="373"/>
      <c r="I801" s="373"/>
      <c r="J801" s="373"/>
      <c r="K801" s="373"/>
      <c r="L801" s="373"/>
      <c r="M801" s="373"/>
      <c r="N801" s="373"/>
      <c r="O801" s="373"/>
      <c r="P801" s="373"/>
      <c r="Q801" s="373"/>
    </row>
    <row r="802" spans="1:17" ht="14.4">
      <c r="A802" s="369"/>
      <c r="B802" s="373"/>
      <c r="C802" s="373"/>
      <c r="D802" s="373"/>
      <c r="E802" s="373"/>
      <c r="F802" s="373"/>
      <c r="G802" s="373"/>
      <c r="H802" s="373"/>
      <c r="I802" s="373"/>
      <c r="J802" s="373"/>
      <c r="K802" s="373"/>
      <c r="L802" s="373"/>
      <c r="M802" s="373"/>
      <c r="N802" s="373"/>
      <c r="O802" s="373"/>
      <c r="P802" s="373"/>
      <c r="Q802" s="373"/>
    </row>
    <row r="803" spans="1:17" ht="14.4">
      <c r="A803" s="369"/>
      <c r="B803" s="373"/>
      <c r="C803" s="373"/>
      <c r="D803" s="373"/>
      <c r="E803" s="373"/>
      <c r="F803" s="373"/>
      <c r="G803" s="373"/>
      <c r="H803" s="373"/>
      <c r="I803" s="373"/>
      <c r="J803" s="373"/>
      <c r="K803" s="373"/>
      <c r="L803" s="373"/>
      <c r="M803" s="373"/>
      <c r="N803" s="373"/>
      <c r="O803" s="373"/>
      <c r="P803" s="373"/>
      <c r="Q803" s="373"/>
    </row>
    <row r="804" spans="1:17" ht="14.4">
      <c r="A804" s="369"/>
      <c r="B804" s="373"/>
      <c r="C804" s="373"/>
      <c r="D804" s="373"/>
      <c r="E804" s="373"/>
      <c r="F804" s="373"/>
      <c r="G804" s="373"/>
      <c r="H804" s="373"/>
      <c r="I804" s="373"/>
      <c r="J804" s="373"/>
      <c r="K804" s="373"/>
      <c r="L804" s="373"/>
      <c r="M804" s="373"/>
      <c r="N804" s="373"/>
      <c r="O804" s="373"/>
      <c r="P804" s="373"/>
      <c r="Q804" s="373"/>
    </row>
    <row r="805" spans="1:17" ht="14.4">
      <c r="A805" s="369"/>
      <c r="B805" s="373"/>
      <c r="C805" s="373"/>
      <c r="D805" s="373"/>
      <c r="E805" s="373"/>
      <c r="F805" s="373"/>
      <c r="G805" s="373"/>
      <c r="H805" s="373"/>
      <c r="I805" s="373"/>
      <c r="J805" s="373"/>
      <c r="K805" s="373"/>
      <c r="L805" s="373"/>
      <c r="M805" s="373"/>
      <c r="N805" s="373"/>
      <c r="O805" s="373"/>
      <c r="P805" s="373"/>
      <c r="Q805" s="373"/>
    </row>
    <row r="806" spans="1:17" ht="14.4">
      <c r="A806" s="369"/>
      <c r="B806" s="373"/>
      <c r="C806" s="373"/>
      <c r="D806" s="373"/>
      <c r="E806" s="373"/>
      <c r="F806" s="373"/>
      <c r="G806" s="373"/>
      <c r="H806" s="373"/>
      <c r="I806" s="373"/>
      <c r="J806" s="373"/>
      <c r="K806" s="373"/>
      <c r="L806" s="373"/>
      <c r="M806" s="373"/>
      <c r="N806" s="373"/>
      <c r="O806" s="373"/>
      <c r="P806" s="373"/>
      <c r="Q806" s="373"/>
    </row>
    <row r="807" spans="1:17" ht="14.4">
      <c r="A807" s="369"/>
      <c r="B807" s="373"/>
      <c r="C807" s="373"/>
      <c r="D807" s="373"/>
      <c r="E807" s="373"/>
      <c r="F807" s="373"/>
      <c r="G807" s="373"/>
      <c r="H807" s="373"/>
      <c r="I807" s="373"/>
      <c r="J807" s="373"/>
      <c r="K807" s="373"/>
      <c r="L807" s="373"/>
      <c r="M807" s="373"/>
      <c r="N807" s="373"/>
      <c r="O807" s="373"/>
      <c r="P807" s="373"/>
      <c r="Q807" s="373"/>
    </row>
    <row r="808" spans="1:17" ht="14.4">
      <c r="A808" s="369"/>
      <c r="B808" s="373"/>
      <c r="C808" s="373"/>
      <c r="D808" s="373"/>
      <c r="E808" s="373"/>
      <c r="F808" s="373"/>
      <c r="G808" s="373"/>
      <c r="H808" s="373"/>
      <c r="I808" s="373"/>
      <c r="J808" s="373"/>
      <c r="K808" s="373"/>
      <c r="L808" s="373"/>
      <c r="M808" s="373"/>
      <c r="N808" s="373"/>
      <c r="O808" s="373"/>
      <c r="P808" s="373"/>
      <c r="Q808" s="373"/>
    </row>
    <row r="809" spans="1:17" ht="14.4">
      <c r="A809" s="369"/>
      <c r="B809" s="373"/>
      <c r="C809" s="373"/>
      <c r="D809" s="373"/>
      <c r="E809" s="373"/>
      <c r="F809" s="373"/>
      <c r="G809" s="373"/>
      <c r="H809" s="373"/>
      <c r="I809" s="373"/>
      <c r="J809" s="373"/>
      <c r="K809" s="373"/>
      <c r="L809" s="373"/>
      <c r="M809" s="373"/>
      <c r="N809" s="373"/>
      <c r="O809" s="373"/>
      <c r="P809" s="373"/>
      <c r="Q809" s="373"/>
    </row>
    <row r="810" spans="1:17" ht="14.4">
      <c r="A810" s="369"/>
      <c r="B810" s="373"/>
      <c r="C810" s="373"/>
      <c r="D810" s="373"/>
      <c r="E810" s="373"/>
      <c r="F810" s="373"/>
      <c r="G810" s="373"/>
      <c r="H810" s="373"/>
      <c r="I810" s="373"/>
      <c r="J810" s="373"/>
      <c r="K810" s="373"/>
      <c r="L810" s="373"/>
      <c r="M810" s="373"/>
      <c r="N810" s="373"/>
      <c r="O810" s="373"/>
      <c r="P810" s="373"/>
      <c r="Q810" s="373"/>
    </row>
    <row r="811" spans="1:17" ht="14.4">
      <c r="A811" s="369"/>
      <c r="B811" s="373"/>
      <c r="C811" s="373"/>
      <c r="D811" s="373"/>
      <c r="E811" s="373"/>
      <c r="F811" s="373"/>
      <c r="G811" s="373"/>
      <c r="H811" s="373"/>
      <c r="I811" s="373"/>
      <c r="J811" s="373"/>
      <c r="K811" s="373"/>
      <c r="L811" s="373"/>
      <c r="M811" s="373"/>
      <c r="N811" s="373"/>
      <c r="O811" s="373"/>
      <c r="P811" s="373"/>
      <c r="Q811" s="373"/>
    </row>
    <row r="812" spans="1:17" ht="14.4">
      <c r="A812" s="369"/>
      <c r="B812" s="373"/>
      <c r="C812" s="373"/>
      <c r="D812" s="373"/>
      <c r="E812" s="373"/>
      <c r="F812" s="373"/>
      <c r="G812" s="373"/>
      <c r="H812" s="373"/>
      <c r="I812" s="373"/>
      <c r="J812" s="373"/>
      <c r="K812" s="373"/>
      <c r="L812" s="373"/>
      <c r="M812" s="373"/>
      <c r="N812" s="373"/>
      <c r="O812" s="373"/>
      <c r="P812" s="373"/>
      <c r="Q812" s="373"/>
    </row>
    <row r="813" spans="1:17" ht="14.4">
      <c r="A813" s="369"/>
      <c r="B813" s="373"/>
      <c r="C813" s="373"/>
      <c r="D813" s="373"/>
      <c r="E813" s="373"/>
      <c r="F813" s="373"/>
      <c r="G813" s="373"/>
      <c r="H813" s="373"/>
      <c r="I813" s="373"/>
      <c r="J813" s="373"/>
      <c r="K813" s="373"/>
      <c r="L813" s="373"/>
      <c r="M813" s="373"/>
      <c r="N813" s="373"/>
      <c r="O813" s="373"/>
      <c r="P813" s="373"/>
      <c r="Q813" s="373"/>
    </row>
    <row r="814" spans="1:17" ht="14.4">
      <c r="A814" s="369"/>
      <c r="B814" s="373"/>
      <c r="C814" s="373"/>
      <c r="D814" s="373"/>
      <c r="E814" s="373"/>
      <c r="F814" s="373"/>
      <c r="G814" s="373"/>
      <c r="H814" s="373"/>
      <c r="I814" s="373"/>
      <c r="J814" s="373"/>
      <c r="K814" s="373"/>
      <c r="L814" s="373"/>
      <c r="M814" s="373"/>
      <c r="N814" s="373"/>
      <c r="O814" s="373"/>
      <c r="P814" s="373"/>
      <c r="Q814" s="373"/>
    </row>
    <row r="815" spans="1:17" ht="14.4">
      <c r="A815" s="369"/>
      <c r="B815" s="373"/>
      <c r="C815" s="373"/>
      <c r="D815" s="373"/>
      <c r="E815" s="373"/>
      <c r="F815" s="373"/>
      <c r="G815" s="373"/>
      <c r="H815" s="373"/>
      <c r="I815" s="373"/>
      <c r="J815" s="373"/>
      <c r="K815" s="373"/>
      <c r="L815" s="373"/>
      <c r="M815" s="373"/>
      <c r="N815" s="373"/>
      <c r="O815" s="373"/>
      <c r="P815" s="373"/>
      <c r="Q815" s="373"/>
    </row>
    <row r="816" spans="1:17" ht="14.4">
      <c r="A816" s="369"/>
      <c r="B816" s="373"/>
      <c r="C816" s="373"/>
      <c r="D816" s="373"/>
      <c r="E816" s="373"/>
      <c r="F816" s="373"/>
      <c r="G816" s="373"/>
      <c r="H816" s="373"/>
      <c r="I816" s="373"/>
      <c r="J816" s="373"/>
      <c r="K816" s="373"/>
      <c r="L816" s="373"/>
      <c r="M816" s="373"/>
      <c r="N816" s="373"/>
      <c r="O816" s="373"/>
      <c r="P816" s="373"/>
      <c r="Q816" s="373"/>
    </row>
    <row r="817" spans="1:17" ht="14.4">
      <c r="A817" s="369"/>
      <c r="B817" s="373"/>
      <c r="C817" s="373"/>
      <c r="D817" s="373"/>
      <c r="E817" s="373"/>
      <c r="F817" s="373"/>
      <c r="G817" s="373"/>
      <c r="H817" s="373"/>
      <c r="I817" s="373"/>
      <c r="J817" s="373"/>
      <c r="K817" s="373"/>
      <c r="L817" s="373"/>
      <c r="M817" s="373"/>
      <c r="N817" s="373"/>
      <c r="O817" s="373"/>
      <c r="P817" s="373"/>
      <c r="Q817" s="373"/>
    </row>
    <row r="818" spans="1:17" ht="14.4">
      <c r="A818" s="369"/>
      <c r="B818" s="373"/>
      <c r="C818" s="373"/>
      <c r="D818" s="373"/>
      <c r="E818" s="373"/>
      <c r="F818" s="373"/>
      <c r="G818" s="373"/>
      <c r="H818" s="373"/>
      <c r="I818" s="373"/>
      <c r="J818" s="373"/>
      <c r="K818" s="373"/>
      <c r="L818" s="373"/>
      <c r="M818" s="373"/>
      <c r="N818" s="373"/>
      <c r="O818" s="373"/>
      <c r="P818" s="373"/>
      <c r="Q818" s="373"/>
    </row>
    <row r="819" spans="1:17" ht="14.4">
      <c r="A819" s="369"/>
      <c r="B819" s="373"/>
      <c r="C819" s="373"/>
      <c r="D819" s="373"/>
      <c r="E819" s="373"/>
      <c r="F819" s="373"/>
      <c r="G819" s="373"/>
      <c r="H819" s="373"/>
      <c r="I819" s="373"/>
      <c r="J819" s="373"/>
      <c r="K819" s="373"/>
      <c r="L819" s="373"/>
      <c r="M819" s="373"/>
      <c r="N819" s="373"/>
      <c r="O819" s="373"/>
      <c r="P819" s="373"/>
      <c r="Q819" s="373"/>
    </row>
    <row r="820" spans="1:17" ht="14.4">
      <c r="A820" s="369"/>
      <c r="B820" s="373"/>
      <c r="C820" s="373"/>
      <c r="D820" s="373"/>
      <c r="E820" s="373"/>
      <c r="F820" s="373"/>
      <c r="G820" s="373"/>
      <c r="H820" s="373"/>
      <c r="I820" s="373"/>
      <c r="J820" s="373"/>
      <c r="K820" s="373"/>
      <c r="L820" s="373"/>
      <c r="M820" s="373"/>
      <c r="N820" s="373"/>
      <c r="O820" s="373"/>
      <c r="P820" s="373"/>
      <c r="Q820" s="373"/>
    </row>
    <row r="821" spans="1:17" ht="14.4">
      <c r="A821" s="369"/>
      <c r="B821" s="373"/>
      <c r="C821" s="373"/>
      <c r="D821" s="373"/>
      <c r="E821" s="373"/>
      <c r="F821" s="373"/>
      <c r="G821" s="373"/>
      <c r="H821" s="373"/>
      <c r="I821" s="373"/>
      <c r="J821" s="373"/>
      <c r="K821" s="373"/>
      <c r="L821" s="373"/>
      <c r="M821" s="373"/>
      <c r="N821" s="373"/>
      <c r="O821" s="373"/>
      <c r="P821" s="373"/>
      <c r="Q821" s="373"/>
    </row>
    <row r="822" spans="1:17" ht="14.4">
      <c r="A822" s="369"/>
      <c r="B822" s="373"/>
      <c r="C822" s="373"/>
      <c r="D822" s="373"/>
      <c r="E822" s="373"/>
      <c r="F822" s="373"/>
      <c r="G822" s="373"/>
      <c r="H822" s="373"/>
      <c r="I822" s="373"/>
      <c r="J822" s="373"/>
      <c r="K822" s="373"/>
      <c r="L822" s="373"/>
      <c r="M822" s="373"/>
      <c r="N822" s="373"/>
      <c r="O822" s="373"/>
      <c r="P822" s="373"/>
      <c r="Q822" s="373"/>
    </row>
    <row r="823" spans="1:17" ht="14.4">
      <c r="A823" s="369"/>
      <c r="B823" s="373"/>
      <c r="C823" s="373"/>
      <c r="D823" s="373"/>
      <c r="E823" s="373"/>
      <c r="F823" s="373"/>
      <c r="G823" s="373"/>
      <c r="H823" s="373"/>
      <c r="I823" s="373"/>
      <c r="J823" s="373"/>
      <c r="K823" s="373"/>
      <c r="L823" s="373"/>
      <c r="M823" s="373"/>
      <c r="N823" s="373"/>
      <c r="O823" s="373"/>
      <c r="P823" s="373"/>
      <c r="Q823" s="373"/>
    </row>
    <row r="824" spans="1:17" ht="14.4">
      <c r="A824" s="369"/>
      <c r="B824" s="373"/>
      <c r="C824" s="373"/>
      <c r="D824" s="373"/>
      <c r="E824" s="373"/>
      <c r="F824" s="373"/>
      <c r="G824" s="373"/>
      <c r="H824" s="373"/>
      <c r="I824" s="373"/>
      <c r="J824" s="373"/>
      <c r="K824" s="373"/>
      <c r="L824" s="373"/>
      <c r="M824" s="373"/>
      <c r="N824" s="373"/>
      <c r="O824" s="373"/>
      <c r="P824" s="373"/>
      <c r="Q824" s="373"/>
    </row>
    <row r="825" spans="1:17" ht="14.4">
      <c r="A825" s="369"/>
      <c r="B825" s="373"/>
      <c r="C825" s="373"/>
      <c r="D825" s="373"/>
      <c r="E825" s="373"/>
      <c r="F825" s="373"/>
      <c r="G825" s="373"/>
      <c r="H825" s="373"/>
      <c r="I825" s="373"/>
      <c r="J825" s="373"/>
      <c r="K825" s="373"/>
      <c r="L825" s="373"/>
      <c r="M825" s="373"/>
      <c r="N825" s="373"/>
      <c r="O825" s="373"/>
      <c r="P825" s="373"/>
      <c r="Q825" s="373"/>
    </row>
    <row r="826" spans="1:17" ht="14.4">
      <c r="A826" s="369"/>
      <c r="B826" s="373"/>
      <c r="C826" s="373"/>
      <c r="D826" s="373"/>
      <c r="E826" s="373"/>
      <c r="F826" s="373"/>
      <c r="G826" s="373"/>
      <c r="H826" s="373"/>
      <c r="I826" s="373"/>
      <c r="J826" s="373"/>
      <c r="K826" s="373"/>
      <c r="L826" s="373"/>
      <c r="M826" s="373"/>
      <c r="N826" s="373"/>
      <c r="O826" s="373"/>
      <c r="P826" s="373"/>
      <c r="Q826" s="373"/>
    </row>
    <row r="827" spans="1:17" ht="14.4">
      <c r="A827" s="369"/>
      <c r="B827" s="373"/>
      <c r="C827" s="373"/>
      <c r="D827" s="373"/>
      <c r="E827" s="373"/>
      <c r="F827" s="373"/>
      <c r="G827" s="373"/>
      <c r="H827" s="373"/>
      <c r="I827" s="373"/>
      <c r="J827" s="373"/>
      <c r="K827" s="373"/>
      <c r="L827" s="373"/>
      <c r="M827" s="373"/>
      <c r="N827" s="373"/>
      <c r="O827" s="373"/>
      <c r="P827" s="373"/>
      <c r="Q827" s="373"/>
    </row>
    <row r="828" spans="1:17" ht="14.4">
      <c r="A828" s="369"/>
      <c r="B828" s="373"/>
      <c r="C828" s="373"/>
      <c r="D828" s="373"/>
      <c r="E828" s="373"/>
      <c r="F828" s="373"/>
      <c r="G828" s="373"/>
      <c r="H828" s="373"/>
      <c r="I828" s="373"/>
      <c r="J828" s="373"/>
      <c r="K828" s="373"/>
      <c r="L828" s="373"/>
      <c r="M828" s="373"/>
      <c r="N828" s="373"/>
      <c r="O828" s="373"/>
      <c r="P828" s="373"/>
      <c r="Q828" s="373"/>
    </row>
    <row r="829" spans="1:17" ht="14.4">
      <c r="A829" s="369"/>
      <c r="B829" s="373"/>
      <c r="C829" s="373"/>
      <c r="D829" s="373"/>
      <c r="E829" s="373"/>
      <c r="F829" s="373"/>
      <c r="G829" s="373"/>
      <c r="H829" s="373"/>
      <c r="I829" s="373"/>
      <c r="J829" s="373"/>
      <c r="K829" s="373"/>
      <c r="L829" s="373"/>
      <c r="M829" s="373"/>
      <c r="N829" s="373"/>
      <c r="O829" s="373"/>
      <c r="P829" s="373"/>
      <c r="Q829" s="373"/>
    </row>
    <row r="830" spans="1:17" ht="14.4">
      <c r="A830" s="369"/>
      <c r="B830" s="373"/>
      <c r="C830" s="373"/>
      <c r="D830" s="373"/>
      <c r="E830" s="373"/>
      <c r="F830" s="373"/>
      <c r="G830" s="373"/>
      <c r="H830" s="373"/>
      <c r="I830" s="373"/>
      <c r="J830" s="373"/>
      <c r="K830" s="373"/>
      <c r="L830" s="373"/>
      <c r="M830" s="373"/>
      <c r="N830" s="373"/>
      <c r="O830" s="373"/>
      <c r="P830" s="373"/>
      <c r="Q830" s="373"/>
    </row>
    <row r="831" spans="1:17" ht="14.4">
      <c r="A831" s="369"/>
      <c r="B831" s="373"/>
      <c r="C831" s="373"/>
      <c r="D831" s="373"/>
      <c r="E831" s="373"/>
      <c r="F831" s="373"/>
      <c r="G831" s="373"/>
      <c r="H831" s="373"/>
      <c r="I831" s="373"/>
      <c r="J831" s="373"/>
      <c r="K831" s="373"/>
      <c r="L831" s="373"/>
      <c r="M831" s="373"/>
      <c r="N831" s="373"/>
      <c r="O831" s="373"/>
      <c r="P831" s="373"/>
      <c r="Q831" s="373"/>
    </row>
    <row r="832" spans="1:17" ht="14.4">
      <c r="A832" s="369"/>
      <c r="B832" s="373"/>
      <c r="C832" s="373"/>
      <c r="D832" s="373"/>
      <c r="E832" s="373"/>
      <c r="F832" s="373"/>
      <c r="G832" s="373"/>
      <c r="H832" s="373"/>
      <c r="I832" s="373"/>
      <c r="J832" s="373"/>
      <c r="K832" s="373"/>
      <c r="L832" s="373"/>
      <c r="M832" s="373"/>
      <c r="N832" s="373"/>
      <c r="O832" s="373"/>
      <c r="P832" s="373"/>
      <c r="Q832" s="373"/>
    </row>
    <row r="833" spans="1:17" ht="14.4">
      <c r="A833" s="369"/>
      <c r="B833" s="373"/>
      <c r="C833" s="373"/>
      <c r="D833" s="373"/>
      <c r="E833" s="373"/>
      <c r="F833" s="373"/>
      <c r="G833" s="373"/>
      <c r="H833" s="373"/>
      <c r="I833" s="373"/>
      <c r="J833" s="373"/>
      <c r="K833" s="373"/>
      <c r="L833" s="373"/>
      <c r="M833" s="373"/>
      <c r="N833" s="373"/>
      <c r="O833" s="373"/>
      <c r="P833" s="373"/>
      <c r="Q833" s="373"/>
    </row>
    <row r="834" spans="1:17" ht="14.4">
      <c r="A834" s="369"/>
      <c r="B834" s="373"/>
      <c r="C834" s="373"/>
      <c r="D834" s="373"/>
      <c r="E834" s="373"/>
      <c r="F834" s="373"/>
      <c r="G834" s="373"/>
      <c r="H834" s="373"/>
      <c r="I834" s="373"/>
      <c r="J834" s="373"/>
      <c r="K834" s="373"/>
      <c r="L834" s="373"/>
      <c r="M834" s="373"/>
      <c r="N834" s="373"/>
      <c r="O834" s="373"/>
      <c r="P834" s="373"/>
      <c r="Q834" s="373"/>
    </row>
    <row r="835" spans="1:17" ht="14.4">
      <c r="A835" s="369"/>
      <c r="B835" s="373"/>
      <c r="C835" s="373"/>
      <c r="D835" s="373"/>
      <c r="E835" s="373"/>
      <c r="F835" s="373"/>
      <c r="G835" s="373"/>
      <c r="H835" s="373"/>
      <c r="I835" s="373"/>
      <c r="J835" s="373"/>
      <c r="K835" s="373"/>
      <c r="L835" s="373"/>
      <c r="M835" s="373"/>
      <c r="N835" s="373"/>
      <c r="O835" s="373"/>
      <c r="P835" s="373"/>
      <c r="Q835" s="373"/>
    </row>
    <row r="836" spans="1:17" ht="14.4">
      <c r="A836" s="369"/>
      <c r="B836" s="373"/>
      <c r="C836" s="373"/>
      <c r="D836" s="373"/>
      <c r="E836" s="373"/>
      <c r="F836" s="373"/>
      <c r="G836" s="373"/>
      <c r="H836" s="373"/>
      <c r="I836" s="373"/>
      <c r="J836" s="373"/>
      <c r="K836" s="373"/>
      <c r="L836" s="373"/>
      <c r="M836" s="373"/>
      <c r="N836" s="373"/>
      <c r="O836" s="373"/>
      <c r="P836" s="373"/>
      <c r="Q836" s="373"/>
    </row>
    <row r="837" spans="1:17" ht="14.4">
      <c r="A837" s="369"/>
      <c r="B837" s="373"/>
      <c r="C837" s="373"/>
      <c r="D837" s="373"/>
      <c r="E837" s="373"/>
      <c r="F837" s="373"/>
      <c r="G837" s="373"/>
      <c r="H837" s="373"/>
      <c r="I837" s="373"/>
      <c r="J837" s="373"/>
      <c r="K837" s="373"/>
      <c r="L837" s="373"/>
      <c r="M837" s="373"/>
      <c r="N837" s="373"/>
      <c r="O837" s="373"/>
      <c r="P837" s="373"/>
      <c r="Q837" s="373"/>
    </row>
    <row r="838" spans="1:17" ht="14.4">
      <c r="A838" s="369"/>
      <c r="B838" s="373"/>
      <c r="C838" s="373"/>
      <c r="D838" s="373"/>
      <c r="E838" s="373"/>
      <c r="F838" s="373"/>
      <c r="G838" s="373"/>
      <c r="H838" s="373"/>
      <c r="I838" s="373"/>
      <c r="J838" s="373"/>
      <c r="K838" s="373"/>
      <c r="L838" s="373"/>
      <c r="M838" s="373"/>
      <c r="N838" s="373"/>
      <c r="O838" s="373"/>
      <c r="P838" s="373"/>
      <c r="Q838" s="373"/>
    </row>
    <row r="839" spans="1:17" ht="14.4">
      <c r="A839" s="369"/>
      <c r="B839" s="373"/>
      <c r="C839" s="373"/>
      <c r="D839" s="373"/>
      <c r="E839" s="373"/>
      <c r="F839" s="373"/>
      <c r="G839" s="373"/>
      <c r="H839" s="373"/>
      <c r="I839" s="373"/>
      <c r="J839" s="373"/>
      <c r="K839" s="373"/>
      <c r="L839" s="373"/>
      <c r="M839" s="373"/>
      <c r="N839" s="373"/>
      <c r="O839" s="373"/>
      <c r="P839" s="373"/>
      <c r="Q839" s="373"/>
    </row>
    <row r="840" spans="1:17" ht="14.4">
      <c r="A840" s="369"/>
      <c r="B840" s="373"/>
      <c r="C840" s="373"/>
      <c r="D840" s="373"/>
      <c r="E840" s="373"/>
      <c r="F840" s="373"/>
      <c r="G840" s="373"/>
      <c r="H840" s="373"/>
      <c r="I840" s="373"/>
      <c r="J840" s="373"/>
      <c r="K840" s="373"/>
      <c r="L840" s="373"/>
      <c r="M840" s="373"/>
      <c r="N840" s="373"/>
      <c r="O840" s="373"/>
      <c r="P840" s="373"/>
      <c r="Q840" s="373"/>
    </row>
    <row r="841" spans="1:17" ht="14.4">
      <c r="A841" s="369"/>
      <c r="B841" s="373"/>
      <c r="C841" s="373"/>
      <c r="D841" s="373"/>
      <c r="E841" s="373"/>
      <c r="F841" s="373"/>
      <c r="G841" s="373"/>
      <c r="H841" s="373"/>
      <c r="I841" s="373"/>
      <c r="J841" s="373"/>
      <c r="K841" s="373"/>
      <c r="L841" s="373"/>
      <c r="M841" s="373"/>
      <c r="N841" s="373"/>
      <c r="O841" s="373"/>
      <c r="P841" s="373"/>
      <c r="Q841" s="373"/>
    </row>
    <row r="842" spans="1:17" ht="14.4">
      <c r="A842" s="369"/>
      <c r="B842" s="373"/>
      <c r="C842" s="373"/>
      <c r="D842" s="373"/>
      <c r="E842" s="373"/>
      <c r="F842" s="373"/>
      <c r="G842" s="373"/>
      <c r="H842" s="373"/>
      <c r="I842" s="373"/>
      <c r="J842" s="373"/>
      <c r="K842" s="373"/>
      <c r="L842" s="373"/>
      <c r="M842" s="373"/>
      <c r="N842" s="373"/>
      <c r="O842" s="373"/>
      <c r="P842" s="373"/>
      <c r="Q842" s="373"/>
    </row>
    <row r="843" spans="1:17" ht="14.4">
      <c r="A843" s="369"/>
      <c r="B843" s="373"/>
      <c r="C843" s="373"/>
      <c r="D843" s="373"/>
      <c r="E843" s="373"/>
      <c r="F843" s="373"/>
      <c r="G843" s="373"/>
      <c r="H843" s="373"/>
      <c r="I843" s="373"/>
      <c r="J843" s="373"/>
      <c r="K843" s="373"/>
      <c r="L843" s="373"/>
      <c r="M843" s="373"/>
      <c r="N843" s="373"/>
      <c r="O843" s="373"/>
      <c r="P843" s="373"/>
      <c r="Q843" s="373"/>
    </row>
    <row r="844" spans="1:17" ht="14.4">
      <c r="A844" s="369"/>
      <c r="B844" s="373"/>
      <c r="C844" s="373"/>
      <c r="D844" s="373"/>
      <c r="E844" s="373"/>
      <c r="F844" s="373"/>
      <c r="G844" s="373"/>
      <c r="H844" s="373"/>
      <c r="I844" s="373"/>
      <c r="J844" s="373"/>
      <c r="K844" s="373"/>
      <c r="L844" s="373"/>
      <c r="M844" s="373"/>
      <c r="N844" s="373"/>
      <c r="O844" s="373"/>
      <c r="P844" s="373"/>
      <c r="Q844" s="373"/>
    </row>
    <row r="845" spans="1:17" ht="14.4">
      <c r="A845" s="369"/>
      <c r="B845" s="373"/>
      <c r="C845" s="373"/>
      <c r="D845" s="373"/>
      <c r="E845" s="373"/>
      <c r="F845" s="373"/>
      <c r="G845" s="373"/>
      <c r="H845" s="373"/>
      <c r="I845" s="373"/>
      <c r="J845" s="373"/>
      <c r="K845" s="373"/>
      <c r="L845" s="373"/>
      <c r="M845" s="373"/>
      <c r="N845" s="373"/>
      <c r="O845" s="373"/>
      <c r="P845" s="373"/>
      <c r="Q845" s="373"/>
    </row>
    <row r="846" spans="1:17" ht="14.4">
      <c r="A846" s="369"/>
      <c r="B846" s="373"/>
      <c r="C846" s="373"/>
      <c r="D846" s="373"/>
      <c r="E846" s="373"/>
      <c r="F846" s="373"/>
      <c r="G846" s="373"/>
      <c r="H846" s="373"/>
      <c r="I846" s="373"/>
      <c r="J846" s="373"/>
      <c r="K846" s="373"/>
      <c r="L846" s="373"/>
      <c r="M846" s="373"/>
      <c r="N846" s="373"/>
      <c r="O846" s="373"/>
      <c r="P846" s="373"/>
      <c r="Q846" s="373"/>
    </row>
    <row r="847" spans="1:17" ht="14.4">
      <c r="A847" s="369"/>
      <c r="B847" s="373"/>
      <c r="C847" s="373"/>
      <c r="D847" s="373"/>
      <c r="E847" s="373"/>
      <c r="F847" s="373"/>
      <c r="G847" s="373"/>
      <c r="H847" s="373"/>
      <c r="I847" s="373"/>
      <c r="J847" s="373"/>
      <c r="K847" s="373"/>
      <c r="L847" s="373"/>
      <c r="M847" s="373"/>
      <c r="N847" s="373"/>
      <c r="O847" s="373"/>
      <c r="P847" s="373"/>
      <c r="Q847" s="373"/>
    </row>
    <row r="848" spans="1:17" ht="14.4">
      <c r="A848" s="369"/>
      <c r="B848" s="373"/>
      <c r="C848" s="373"/>
      <c r="D848" s="373"/>
      <c r="E848" s="373"/>
      <c r="F848" s="373"/>
      <c r="G848" s="373"/>
      <c r="H848" s="373"/>
      <c r="I848" s="373"/>
      <c r="J848" s="373"/>
      <c r="K848" s="373"/>
      <c r="L848" s="373"/>
      <c r="M848" s="373"/>
      <c r="N848" s="373"/>
      <c r="O848" s="373"/>
      <c r="P848" s="373"/>
      <c r="Q848" s="373"/>
    </row>
    <row r="849" spans="1:17" ht="14.4">
      <c r="A849" s="369"/>
      <c r="B849" s="373"/>
      <c r="C849" s="373"/>
      <c r="D849" s="373"/>
      <c r="E849" s="373"/>
      <c r="F849" s="373"/>
      <c r="G849" s="373"/>
      <c r="H849" s="373"/>
      <c r="I849" s="373"/>
      <c r="J849" s="373"/>
      <c r="K849" s="373"/>
      <c r="L849" s="373"/>
      <c r="M849" s="373"/>
      <c r="N849" s="373"/>
      <c r="O849" s="373"/>
      <c r="P849" s="373"/>
      <c r="Q849" s="373"/>
    </row>
    <row r="850" spans="1:17" ht="14.4">
      <c r="A850" s="369"/>
      <c r="B850" s="373"/>
      <c r="C850" s="373"/>
      <c r="D850" s="373"/>
      <c r="E850" s="373"/>
      <c r="F850" s="373"/>
      <c r="G850" s="373"/>
      <c r="H850" s="373"/>
      <c r="I850" s="373"/>
      <c r="J850" s="373"/>
      <c r="K850" s="373"/>
      <c r="L850" s="373"/>
      <c r="M850" s="373"/>
      <c r="N850" s="373"/>
      <c r="O850" s="373"/>
      <c r="P850" s="373"/>
      <c r="Q850" s="373"/>
    </row>
    <row r="851" spans="1:17" ht="14.4">
      <c r="A851" s="369"/>
      <c r="B851" s="373"/>
      <c r="C851" s="373"/>
      <c r="D851" s="373"/>
      <c r="E851" s="373"/>
      <c r="F851" s="373"/>
      <c r="G851" s="373"/>
      <c r="H851" s="373"/>
      <c r="I851" s="373"/>
      <c r="J851" s="373"/>
      <c r="K851" s="373"/>
      <c r="L851" s="373"/>
      <c r="M851" s="373"/>
      <c r="N851" s="373"/>
      <c r="O851" s="373"/>
      <c r="P851" s="373"/>
      <c r="Q851" s="373"/>
    </row>
    <row r="852" spans="1:17" ht="14.4">
      <c r="A852" s="369"/>
      <c r="B852" s="373"/>
      <c r="C852" s="373"/>
      <c r="D852" s="373"/>
      <c r="E852" s="373"/>
      <c r="F852" s="373"/>
      <c r="G852" s="373"/>
      <c r="H852" s="373"/>
      <c r="I852" s="373"/>
      <c r="J852" s="373"/>
      <c r="K852" s="373"/>
      <c r="L852" s="373"/>
      <c r="M852" s="373"/>
      <c r="N852" s="373"/>
      <c r="O852" s="373"/>
      <c r="P852" s="373"/>
      <c r="Q852" s="373"/>
    </row>
    <row r="853" spans="1:17" ht="14.4">
      <c r="A853" s="369"/>
      <c r="B853" s="373"/>
      <c r="C853" s="373"/>
      <c r="D853" s="373"/>
      <c r="E853" s="373"/>
      <c r="F853" s="373"/>
      <c r="G853" s="373"/>
      <c r="H853" s="373"/>
      <c r="I853" s="373"/>
      <c r="J853" s="373"/>
      <c r="K853" s="373"/>
      <c r="L853" s="373"/>
      <c r="M853" s="373"/>
      <c r="N853" s="373"/>
      <c r="O853" s="373"/>
      <c r="P853" s="373"/>
      <c r="Q853" s="373"/>
    </row>
    <row r="854" spans="1:17" ht="14.4">
      <c r="A854" s="369"/>
      <c r="B854" s="373"/>
      <c r="C854" s="373"/>
      <c r="D854" s="373"/>
      <c r="E854" s="373"/>
      <c r="F854" s="373"/>
      <c r="G854" s="373"/>
      <c r="H854" s="373"/>
      <c r="I854" s="373"/>
      <c r="J854" s="373"/>
      <c r="K854" s="373"/>
      <c r="L854" s="373"/>
      <c r="M854" s="373"/>
      <c r="N854" s="373"/>
      <c r="O854" s="373"/>
      <c r="P854" s="373"/>
      <c r="Q854" s="373"/>
    </row>
    <row r="855" spans="1:17" ht="14.4">
      <c r="A855" s="369"/>
      <c r="B855" s="373"/>
      <c r="C855" s="373"/>
      <c r="D855" s="373"/>
      <c r="E855" s="373"/>
      <c r="F855" s="373"/>
      <c r="G855" s="373"/>
      <c r="H855" s="373"/>
      <c r="I855" s="373"/>
      <c r="J855" s="373"/>
      <c r="K855" s="373"/>
      <c r="L855" s="373"/>
      <c r="M855" s="373"/>
      <c r="N855" s="373"/>
      <c r="O855" s="373"/>
      <c r="P855" s="373"/>
      <c r="Q855" s="373"/>
    </row>
    <row r="856" spans="1:17" ht="14.4">
      <c r="A856" s="369"/>
      <c r="B856" s="373"/>
      <c r="C856" s="373"/>
      <c r="D856" s="373"/>
      <c r="E856" s="373"/>
      <c r="F856" s="373"/>
      <c r="G856" s="373"/>
      <c r="H856" s="373"/>
      <c r="I856" s="373"/>
      <c r="J856" s="373"/>
      <c r="K856" s="373"/>
      <c r="L856" s="373"/>
      <c r="M856" s="373"/>
      <c r="N856" s="373"/>
      <c r="O856" s="373"/>
      <c r="P856" s="373"/>
      <c r="Q856" s="373"/>
    </row>
    <row r="857" spans="1:17" ht="14.4">
      <c r="A857" s="369"/>
      <c r="B857" s="373"/>
      <c r="C857" s="373"/>
      <c r="D857" s="373"/>
      <c r="E857" s="373"/>
      <c r="F857" s="373"/>
      <c r="G857" s="373"/>
      <c r="H857" s="373"/>
      <c r="I857" s="373"/>
      <c r="J857" s="373"/>
      <c r="K857" s="373"/>
      <c r="L857" s="373"/>
      <c r="M857" s="373"/>
      <c r="N857" s="373"/>
      <c r="O857" s="373"/>
      <c r="P857" s="373"/>
      <c r="Q857" s="373"/>
    </row>
    <row r="858" spans="1:17" ht="14.4">
      <c r="A858" s="369"/>
      <c r="B858" s="373"/>
      <c r="C858" s="373"/>
      <c r="D858" s="373"/>
      <c r="E858" s="373"/>
      <c r="F858" s="373"/>
      <c r="G858" s="373"/>
      <c r="H858" s="373"/>
      <c r="I858" s="373"/>
      <c r="J858" s="373"/>
      <c r="K858" s="373"/>
      <c r="L858" s="373"/>
      <c r="M858" s="373"/>
      <c r="N858" s="373"/>
      <c r="O858" s="373"/>
      <c r="P858" s="373"/>
      <c r="Q858" s="373"/>
    </row>
    <row r="859" spans="1:17" ht="14.4">
      <c r="A859" s="369"/>
      <c r="B859" s="373"/>
      <c r="C859" s="373"/>
      <c r="D859" s="373"/>
      <c r="E859" s="373"/>
      <c r="F859" s="373"/>
      <c r="G859" s="373"/>
      <c r="H859" s="373"/>
      <c r="I859" s="373"/>
      <c r="J859" s="373"/>
      <c r="K859" s="373"/>
      <c r="L859" s="373"/>
      <c r="M859" s="373"/>
      <c r="N859" s="373"/>
      <c r="O859" s="373"/>
      <c r="P859" s="373"/>
      <c r="Q859" s="373"/>
    </row>
    <row r="860" spans="1:17" ht="14.4">
      <c r="A860" s="369"/>
      <c r="B860" s="373"/>
      <c r="C860" s="373"/>
      <c r="D860" s="373"/>
      <c r="E860" s="373"/>
      <c r="F860" s="373"/>
      <c r="G860" s="373"/>
      <c r="H860" s="373"/>
      <c r="I860" s="373"/>
      <c r="J860" s="373"/>
      <c r="K860" s="373"/>
      <c r="L860" s="373"/>
      <c r="M860" s="373"/>
      <c r="N860" s="373"/>
      <c r="O860" s="373"/>
      <c r="P860" s="373"/>
      <c r="Q860" s="373"/>
    </row>
    <row r="861" spans="1:17" ht="14.4">
      <c r="A861" s="369"/>
      <c r="B861" s="373"/>
      <c r="C861" s="373"/>
      <c r="D861" s="373"/>
      <c r="E861" s="373"/>
      <c r="F861" s="373"/>
      <c r="G861" s="373"/>
      <c r="H861" s="373"/>
      <c r="I861" s="373"/>
      <c r="J861" s="373"/>
      <c r="K861" s="373"/>
      <c r="L861" s="373"/>
      <c r="M861" s="373"/>
      <c r="N861" s="373"/>
      <c r="O861" s="373"/>
      <c r="P861" s="373"/>
      <c r="Q861" s="373"/>
    </row>
    <row r="862" spans="1:17" ht="14.4">
      <c r="A862" s="369"/>
      <c r="B862" s="373"/>
      <c r="C862" s="373"/>
      <c r="D862" s="373"/>
      <c r="E862" s="373"/>
      <c r="F862" s="373"/>
      <c r="G862" s="373"/>
      <c r="H862" s="373"/>
      <c r="I862" s="373"/>
      <c r="J862" s="373"/>
      <c r="K862" s="373"/>
      <c r="L862" s="373"/>
      <c r="M862" s="373"/>
      <c r="N862" s="373"/>
      <c r="O862" s="373"/>
      <c r="P862" s="373"/>
      <c r="Q862" s="373"/>
    </row>
    <row r="863" spans="1:17" ht="14.4">
      <c r="A863" s="369"/>
      <c r="B863" s="373"/>
      <c r="C863" s="373"/>
      <c r="D863" s="373"/>
      <c r="E863" s="373"/>
      <c r="F863" s="373"/>
      <c r="G863" s="373"/>
      <c r="H863" s="373"/>
      <c r="I863" s="373"/>
      <c r="J863" s="373"/>
      <c r="K863" s="373"/>
      <c r="L863" s="373"/>
      <c r="M863" s="373"/>
      <c r="N863" s="373"/>
      <c r="O863" s="373"/>
      <c r="P863" s="373"/>
      <c r="Q863" s="373"/>
    </row>
    <row r="864" spans="1:17" ht="14.4">
      <c r="A864" s="369"/>
      <c r="B864" s="373"/>
      <c r="C864" s="373"/>
      <c r="D864" s="373"/>
      <c r="E864" s="373"/>
      <c r="F864" s="373"/>
      <c r="G864" s="373"/>
      <c r="H864" s="373"/>
      <c r="I864" s="373"/>
      <c r="J864" s="373"/>
      <c r="K864" s="373"/>
      <c r="L864" s="373"/>
      <c r="M864" s="373"/>
      <c r="N864" s="373"/>
      <c r="O864" s="373"/>
      <c r="P864" s="373"/>
      <c r="Q864" s="373"/>
    </row>
    <row r="865" spans="1:17" ht="14.4">
      <c r="A865" s="369"/>
      <c r="B865" s="373"/>
      <c r="C865" s="373"/>
      <c r="D865" s="373"/>
      <c r="E865" s="373"/>
      <c r="F865" s="373"/>
      <c r="G865" s="373"/>
      <c r="H865" s="373"/>
      <c r="I865" s="373"/>
      <c r="J865" s="373"/>
      <c r="K865" s="373"/>
      <c r="L865" s="373"/>
      <c r="M865" s="373"/>
      <c r="N865" s="373"/>
      <c r="O865" s="373"/>
      <c r="P865" s="373"/>
      <c r="Q865" s="373"/>
    </row>
    <row r="866" spans="1:17" ht="14.4">
      <c r="A866" s="369"/>
      <c r="B866" s="373"/>
      <c r="C866" s="373"/>
      <c r="D866" s="373"/>
      <c r="E866" s="373"/>
      <c r="F866" s="373"/>
      <c r="G866" s="373"/>
      <c r="H866" s="373"/>
      <c r="I866" s="373"/>
      <c r="J866" s="373"/>
      <c r="K866" s="373"/>
      <c r="L866" s="373"/>
      <c r="M866" s="373"/>
      <c r="N866" s="373"/>
      <c r="O866" s="373"/>
      <c r="P866" s="373"/>
      <c r="Q866" s="373"/>
    </row>
    <row r="867" spans="1:17" ht="14.4">
      <c r="A867" s="369"/>
      <c r="B867" s="373"/>
      <c r="C867" s="373"/>
      <c r="D867" s="373"/>
      <c r="E867" s="373"/>
      <c r="F867" s="373"/>
      <c r="G867" s="373"/>
      <c r="H867" s="373"/>
      <c r="I867" s="373"/>
      <c r="J867" s="373"/>
      <c r="K867" s="373"/>
      <c r="L867" s="373"/>
      <c r="M867" s="373"/>
      <c r="N867" s="373"/>
      <c r="O867" s="373"/>
      <c r="P867" s="373"/>
      <c r="Q867" s="373"/>
    </row>
    <row r="868" spans="1:17" ht="14.4">
      <c r="A868" s="369"/>
      <c r="B868" s="373"/>
      <c r="C868" s="373"/>
      <c r="D868" s="373"/>
      <c r="E868" s="373"/>
      <c r="F868" s="373"/>
      <c r="G868" s="373"/>
      <c r="H868" s="373"/>
      <c r="I868" s="373"/>
      <c r="J868" s="373"/>
      <c r="K868" s="373"/>
      <c r="L868" s="373"/>
      <c r="M868" s="373"/>
      <c r="N868" s="373"/>
      <c r="O868" s="373"/>
      <c r="P868" s="373"/>
      <c r="Q868" s="373"/>
    </row>
    <row r="869" spans="1:17" ht="14.4">
      <c r="A869" s="369"/>
      <c r="B869" s="373"/>
      <c r="C869" s="373"/>
      <c r="D869" s="373"/>
      <c r="E869" s="373"/>
      <c r="F869" s="373"/>
      <c r="G869" s="373"/>
      <c r="H869" s="373"/>
      <c r="I869" s="373"/>
      <c r="J869" s="373"/>
      <c r="K869" s="373"/>
      <c r="L869" s="373"/>
      <c r="M869" s="373"/>
      <c r="N869" s="373"/>
      <c r="O869" s="373"/>
      <c r="P869" s="373"/>
      <c r="Q869" s="373"/>
    </row>
    <row r="870" spans="1:17" ht="14.4">
      <c r="A870" s="369"/>
      <c r="B870" s="373"/>
      <c r="C870" s="373"/>
      <c r="D870" s="373"/>
      <c r="E870" s="373"/>
      <c r="F870" s="373"/>
      <c r="G870" s="373"/>
      <c r="H870" s="373"/>
      <c r="I870" s="373"/>
      <c r="J870" s="373"/>
      <c r="K870" s="373"/>
      <c r="L870" s="373"/>
      <c r="M870" s="373"/>
      <c r="N870" s="373"/>
      <c r="O870" s="373"/>
      <c r="P870" s="373"/>
      <c r="Q870" s="373"/>
    </row>
    <row r="871" spans="1:17" ht="14.4">
      <c r="A871" s="369"/>
      <c r="B871" s="373"/>
      <c r="C871" s="373"/>
      <c r="D871" s="373"/>
      <c r="E871" s="373"/>
      <c r="F871" s="373"/>
      <c r="G871" s="373"/>
      <c r="H871" s="373"/>
      <c r="I871" s="373"/>
      <c r="J871" s="373"/>
      <c r="K871" s="373"/>
      <c r="L871" s="373"/>
      <c r="M871" s="373"/>
      <c r="N871" s="373"/>
      <c r="O871" s="373"/>
      <c r="P871" s="373"/>
      <c r="Q871" s="373"/>
    </row>
    <row r="872" spans="1:17" ht="14.4">
      <c r="A872" s="369"/>
      <c r="B872" s="373"/>
      <c r="C872" s="373"/>
      <c r="D872" s="373"/>
      <c r="E872" s="373"/>
      <c r="F872" s="373"/>
      <c r="G872" s="373"/>
      <c r="H872" s="373"/>
      <c r="I872" s="373"/>
      <c r="J872" s="373"/>
      <c r="K872" s="373"/>
      <c r="L872" s="373"/>
      <c r="M872" s="373"/>
      <c r="N872" s="373"/>
      <c r="O872" s="373"/>
      <c r="P872" s="373"/>
      <c r="Q872" s="373"/>
    </row>
    <row r="873" spans="1:17" ht="14.4">
      <c r="A873" s="369"/>
      <c r="B873" s="373"/>
      <c r="C873" s="373"/>
      <c r="D873" s="373"/>
      <c r="E873" s="373"/>
      <c r="F873" s="373"/>
      <c r="G873" s="373"/>
      <c r="H873" s="373"/>
      <c r="I873" s="373"/>
      <c r="J873" s="373"/>
      <c r="K873" s="373"/>
      <c r="L873" s="373"/>
      <c r="M873" s="373"/>
      <c r="N873" s="373"/>
      <c r="O873" s="373"/>
      <c r="P873" s="373"/>
      <c r="Q873" s="373"/>
    </row>
    <row r="874" spans="1:17" ht="14.4">
      <c r="A874" s="369"/>
      <c r="B874" s="373"/>
      <c r="C874" s="373"/>
      <c r="D874" s="373"/>
      <c r="E874" s="373"/>
      <c r="F874" s="373"/>
      <c r="G874" s="373"/>
      <c r="H874" s="373"/>
      <c r="I874" s="373"/>
      <c r="J874" s="373"/>
      <c r="K874" s="373"/>
      <c r="L874" s="373"/>
      <c r="M874" s="373"/>
      <c r="N874" s="373"/>
      <c r="O874" s="373"/>
      <c r="P874" s="373"/>
      <c r="Q874" s="373"/>
    </row>
    <row r="875" spans="1:17" ht="14.4">
      <c r="A875" s="369"/>
      <c r="B875" s="373"/>
      <c r="C875" s="373"/>
      <c r="D875" s="373"/>
      <c r="E875" s="373"/>
      <c r="F875" s="373"/>
      <c r="G875" s="373"/>
      <c r="H875" s="373"/>
      <c r="I875" s="373"/>
      <c r="J875" s="373"/>
      <c r="K875" s="373"/>
      <c r="L875" s="373"/>
      <c r="M875" s="373"/>
      <c r="N875" s="373"/>
      <c r="O875" s="373"/>
      <c r="P875" s="373"/>
      <c r="Q875" s="373"/>
    </row>
    <row r="876" spans="1:17" ht="14.4">
      <c r="A876" s="369"/>
      <c r="B876" s="373"/>
      <c r="C876" s="373"/>
      <c r="D876" s="373"/>
      <c r="E876" s="373"/>
      <c r="F876" s="373"/>
      <c r="G876" s="373"/>
      <c r="H876" s="373"/>
      <c r="I876" s="373"/>
      <c r="J876" s="373"/>
      <c r="K876" s="373"/>
      <c r="L876" s="373"/>
      <c r="M876" s="373"/>
      <c r="N876" s="373"/>
      <c r="O876" s="373"/>
      <c r="P876" s="373"/>
      <c r="Q876" s="373"/>
    </row>
    <row r="877" spans="1:17" ht="14.4">
      <c r="A877" s="369"/>
      <c r="B877" s="373"/>
      <c r="C877" s="373"/>
      <c r="D877" s="373"/>
      <c r="E877" s="373"/>
      <c r="F877" s="373"/>
      <c r="G877" s="373"/>
      <c r="H877" s="373"/>
      <c r="I877" s="373"/>
      <c r="J877" s="373"/>
      <c r="K877" s="373"/>
      <c r="L877" s="373"/>
      <c r="M877" s="373"/>
      <c r="N877" s="373"/>
      <c r="O877" s="373"/>
      <c r="P877" s="373"/>
      <c r="Q877" s="373"/>
    </row>
    <row r="878" spans="1:17" ht="14.4">
      <c r="A878" s="369"/>
      <c r="B878" s="373"/>
      <c r="C878" s="373"/>
      <c r="D878" s="373"/>
      <c r="E878" s="373"/>
      <c r="F878" s="373"/>
      <c r="G878" s="373"/>
      <c r="H878" s="373"/>
      <c r="I878" s="373"/>
      <c r="J878" s="373"/>
      <c r="K878" s="373"/>
      <c r="L878" s="373"/>
      <c r="M878" s="373"/>
      <c r="N878" s="373"/>
      <c r="O878" s="373"/>
      <c r="P878" s="373"/>
      <c r="Q878" s="373"/>
    </row>
    <row r="879" spans="1:17" ht="14.4">
      <c r="A879" s="369"/>
      <c r="B879" s="373"/>
      <c r="C879" s="373"/>
      <c r="D879" s="373"/>
      <c r="E879" s="373"/>
      <c r="F879" s="373"/>
      <c r="G879" s="373"/>
      <c r="H879" s="373"/>
      <c r="I879" s="373"/>
      <c r="J879" s="373"/>
      <c r="K879" s="373"/>
      <c r="L879" s="373"/>
      <c r="M879" s="373"/>
      <c r="N879" s="373"/>
      <c r="O879" s="373"/>
      <c r="P879" s="373"/>
      <c r="Q879" s="373"/>
    </row>
    <row r="880" spans="1:17" ht="14.4">
      <c r="A880" s="369"/>
      <c r="B880" s="373"/>
      <c r="C880" s="373"/>
      <c r="D880" s="373"/>
      <c r="E880" s="373"/>
      <c r="F880" s="373"/>
      <c r="G880" s="373"/>
      <c r="H880" s="373"/>
      <c r="I880" s="373"/>
      <c r="J880" s="373"/>
      <c r="K880" s="373"/>
      <c r="L880" s="373"/>
      <c r="M880" s="373"/>
      <c r="N880" s="373"/>
      <c r="O880" s="373"/>
      <c r="P880" s="373"/>
      <c r="Q880" s="373"/>
    </row>
    <row r="881" spans="1:17" ht="14.4">
      <c r="A881" s="369"/>
      <c r="B881" s="373"/>
      <c r="C881" s="373"/>
      <c r="D881" s="373"/>
      <c r="E881" s="373"/>
      <c r="F881" s="373"/>
      <c r="G881" s="373"/>
      <c r="H881" s="373"/>
      <c r="I881" s="373"/>
      <c r="J881" s="373"/>
      <c r="K881" s="373"/>
      <c r="L881" s="373"/>
      <c r="M881" s="373"/>
      <c r="N881" s="373"/>
      <c r="O881" s="373"/>
      <c r="P881" s="373"/>
      <c r="Q881" s="373"/>
    </row>
    <row r="882" spans="1:17" ht="14.4">
      <c r="A882" s="369"/>
      <c r="B882" s="373"/>
      <c r="C882" s="373"/>
      <c r="D882" s="373"/>
      <c r="E882" s="373"/>
      <c r="F882" s="373"/>
      <c r="G882" s="373"/>
      <c r="H882" s="373"/>
      <c r="I882" s="373"/>
      <c r="J882" s="373"/>
      <c r="K882" s="373"/>
      <c r="L882" s="373"/>
      <c r="M882" s="373"/>
      <c r="N882" s="373"/>
      <c r="O882" s="373"/>
      <c r="P882" s="373"/>
      <c r="Q882" s="373"/>
    </row>
    <row r="883" spans="1:17" ht="14.4">
      <c r="A883" s="369"/>
      <c r="B883" s="373"/>
      <c r="C883" s="373"/>
      <c r="D883" s="373"/>
      <c r="E883" s="373"/>
      <c r="F883" s="373"/>
      <c r="G883" s="373"/>
      <c r="H883" s="373"/>
      <c r="I883" s="373"/>
      <c r="J883" s="373"/>
      <c r="K883" s="373"/>
      <c r="L883" s="373"/>
      <c r="M883" s="373"/>
      <c r="N883" s="373"/>
      <c r="O883" s="373"/>
      <c r="P883" s="373"/>
      <c r="Q883" s="373"/>
    </row>
    <row r="884" spans="1:17" ht="14.4">
      <c r="A884" s="369"/>
      <c r="B884" s="373"/>
      <c r="C884" s="373"/>
      <c r="D884" s="373"/>
      <c r="E884" s="373"/>
      <c r="F884" s="373"/>
      <c r="G884" s="373"/>
      <c r="H884" s="373"/>
      <c r="I884" s="373"/>
      <c r="J884" s="373"/>
      <c r="K884" s="373"/>
      <c r="L884" s="373"/>
      <c r="M884" s="373"/>
      <c r="N884" s="373"/>
      <c r="O884" s="373"/>
      <c r="P884" s="373"/>
      <c r="Q884" s="373"/>
    </row>
    <row r="885" spans="1:17" ht="14.4">
      <c r="A885" s="369"/>
      <c r="B885" s="373"/>
      <c r="C885" s="373"/>
      <c r="D885" s="373"/>
      <c r="E885" s="373"/>
      <c r="F885" s="373"/>
      <c r="G885" s="373"/>
      <c r="H885" s="373"/>
      <c r="I885" s="373"/>
      <c r="J885" s="373"/>
      <c r="K885" s="373"/>
      <c r="L885" s="373"/>
      <c r="M885" s="373"/>
      <c r="N885" s="373"/>
      <c r="O885" s="373"/>
      <c r="P885" s="373"/>
      <c r="Q885" s="373"/>
    </row>
    <row r="886" spans="1:17" ht="14.4">
      <c r="A886" s="369"/>
      <c r="B886" s="373"/>
      <c r="C886" s="373"/>
      <c r="D886" s="373"/>
      <c r="E886" s="373"/>
      <c r="F886" s="373"/>
      <c r="G886" s="373"/>
      <c r="H886" s="373"/>
      <c r="I886" s="373"/>
      <c r="J886" s="373"/>
      <c r="K886" s="373"/>
      <c r="L886" s="373"/>
      <c r="M886" s="373"/>
      <c r="N886" s="373"/>
      <c r="O886" s="373"/>
      <c r="P886" s="373"/>
      <c r="Q886" s="373"/>
    </row>
    <row r="887" spans="1:17" ht="14.4">
      <c r="A887" s="369"/>
      <c r="B887" s="373"/>
      <c r="C887" s="373"/>
      <c r="D887" s="373"/>
      <c r="E887" s="373"/>
      <c r="F887" s="373"/>
      <c r="G887" s="373"/>
      <c r="H887" s="373"/>
      <c r="I887" s="373"/>
      <c r="J887" s="373"/>
      <c r="K887" s="373"/>
      <c r="L887" s="373"/>
      <c r="M887" s="373"/>
      <c r="N887" s="373"/>
      <c r="O887" s="373"/>
      <c r="P887" s="373"/>
      <c r="Q887" s="373"/>
    </row>
    <row r="888" spans="1:17" ht="14.4">
      <c r="A888" s="369"/>
      <c r="B888" s="373"/>
      <c r="C888" s="373"/>
      <c r="D888" s="373"/>
      <c r="E888" s="373"/>
      <c r="F888" s="373"/>
      <c r="G888" s="373"/>
      <c r="H888" s="373"/>
      <c r="I888" s="373"/>
      <c r="J888" s="373"/>
      <c r="K888" s="373"/>
      <c r="L888" s="373"/>
      <c r="M888" s="373"/>
      <c r="N888" s="373"/>
      <c r="O888" s="373"/>
      <c r="P888" s="373"/>
      <c r="Q888" s="373"/>
    </row>
    <row r="889" spans="1:17" ht="14.4">
      <c r="A889" s="369"/>
      <c r="B889" s="373"/>
      <c r="C889" s="373"/>
      <c r="D889" s="373"/>
      <c r="E889" s="373"/>
      <c r="F889" s="373"/>
      <c r="G889" s="373"/>
      <c r="H889" s="373"/>
      <c r="I889" s="373"/>
      <c r="J889" s="373"/>
      <c r="K889" s="373"/>
      <c r="L889" s="373"/>
      <c r="M889" s="373"/>
      <c r="N889" s="373"/>
      <c r="O889" s="373"/>
      <c r="P889" s="373"/>
      <c r="Q889" s="373"/>
    </row>
    <row r="890" spans="1:17" ht="14.4">
      <c r="A890" s="369"/>
      <c r="B890" s="373"/>
      <c r="C890" s="373"/>
      <c r="D890" s="373"/>
      <c r="E890" s="373"/>
      <c r="F890" s="373"/>
      <c r="G890" s="373"/>
      <c r="H890" s="373"/>
      <c r="I890" s="373"/>
      <c r="J890" s="373"/>
      <c r="K890" s="373"/>
      <c r="L890" s="373"/>
      <c r="M890" s="373"/>
      <c r="N890" s="373"/>
      <c r="O890" s="373"/>
      <c r="P890" s="373"/>
      <c r="Q890" s="373"/>
    </row>
    <row r="891" spans="1:17" ht="14.4">
      <c r="A891" s="369"/>
      <c r="B891" s="373"/>
      <c r="C891" s="373"/>
      <c r="D891" s="373"/>
      <c r="E891" s="373"/>
      <c r="F891" s="373"/>
      <c r="G891" s="373"/>
      <c r="H891" s="373"/>
      <c r="I891" s="373"/>
      <c r="J891" s="373"/>
      <c r="K891" s="373"/>
      <c r="L891" s="373"/>
      <c r="M891" s="373"/>
      <c r="N891" s="373"/>
      <c r="O891" s="373"/>
      <c r="P891" s="373"/>
      <c r="Q891" s="373"/>
    </row>
    <row r="892" spans="1:17" ht="14.4">
      <c r="A892" s="369"/>
      <c r="B892" s="373"/>
      <c r="C892" s="373"/>
      <c r="D892" s="373"/>
      <c r="E892" s="373"/>
      <c r="F892" s="373"/>
      <c r="G892" s="373"/>
      <c r="H892" s="373"/>
      <c r="I892" s="373"/>
      <c r="J892" s="373"/>
      <c r="K892" s="373"/>
      <c r="L892" s="373"/>
      <c r="M892" s="373"/>
      <c r="N892" s="373"/>
      <c r="O892" s="373"/>
      <c r="P892" s="373"/>
      <c r="Q892" s="373"/>
    </row>
    <row r="893" spans="1:17" ht="14.4">
      <c r="A893" s="369"/>
      <c r="B893" s="373"/>
      <c r="C893" s="373"/>
      <c r="D893" s="373"/>
      <c r="E893" s="373"/>
      <c r="F893" s="373"/>
      <c r="G893" s="373"/>
      <c r="H893" s="373"/>
      <c r="I893" s="373"/>
      <c r="J893" s="373"/>
      <c r="K893" s="373"/>
      <c r="L893" s="373"/>
      <c r="M893" s="373"/>
      <c r="N893" s="373"/>
      <c r="O893" s="373"/>
      <c r="P893" s="373"/>
      <c r="Q893" s="373"/>
    </row>
    <row r="894" spans="1:17" ht="14.4">
      <c r="A894" s="369"/>
      <c r="B894" s="373"/>
      <c r="C894" s="373"/>
      <c r="D894" s="373"/>
      <c r="E894" s="373"/>
      <c r="F894" s="373"/>
      <c r="G894" s="373"/>
      <c r="H894" s="373"/>
      <c r="I894" s="373"/>
      <c r="J894" s="373"/>
      <c r="K894" s="373"/>
      <c r="L894" s="373"/>
      <c r="M894" s="373"/>
      <c r="N894" s="373"/>
      <c r="O894" s="373"/>
      <c r="P894" s="373"/>
      <c r="Q894" s="373"/>
    </row>
    <row r="895" spans="1:17" ht="14.4">
      <c r="A895" s="369"/>
      <c r="B895" s="373"/>
      <c r="C895" s="373"/>
      <c r="D895" s="373"/>
      <c r="E895" s="373"/>
      <c r="F895" s="373"/>
      <c r="G895" s="373"/>
      <c r="H895" s="373"/>
      <c r="I895" s="373"/>
      <c r="J895" s="373"/>
      <c r="K895" s="373"/>
      <c r="L895" s="373"/>
      <c r="M895" s="373"/>
      <c r="N895" s="373"/>
      <c r="O895" s="373"/>
      <c r="P895" s="373"/>
      <c r="Q895" s="373"/>
    </row>
    <row r="896" spans="1:17" ht="14.4">
      <c r="A896" s="369"/>
      <c r="B896" s="373"/>
      <c r="C896" s="373"/>
      <c r="D896" s="373"/>
      <c r="E896" s="373"/>
      <c r="F896" s="373"/>
      <c r="G896" s="373"/>
      <c r="H896" s="373"/>
      <c r="I896" s="373"/>
      <c r="J896" s="373"/>
      <c r="K896" s="373"/>
      <c r="L896" s="373"/>
      <c r="M896" s="373"/>
      <c r="N896" s="373"/>
      <c r="O896" s="373"/>
      <c r="P896" s="373"/>
      <c r="Q896" s="373"/>
    </row>
    <row r="897" spans="1:17" ht="14.4">
      <c r="A897" s="369"/>
      <c r="B897" s="373"/>
      <c r="C897" s="373"/>
      <c r="D897" s="373"/>
      <c r="E897" s="373"/>
      <c r="F897" s="373"/>
      <c r="G897" s="373"/>
      <c r="H897" s="373"/>
      <c r="I897" s="373"/>
      <c r="J897" s="373"/>
      <c r="K897" s="373"/>
      <c r="L897" s="373"/>
      <c r="M897" s="373"/>
      <c r="N897" s="373"/>
      <c r="O897" s="373"/>
      <c r="P897" s="373"/>
      <c r="Q897" s="373"/>
    </row>
    <row r="898" spans="1:17" ht="14.4">
      <c r="A898" s="369"/>
      <c r="B898" s="373"/>
      <c r="C898" s="373"/>
      <c r="D898" s="373"/>
      <c r="E898" s="373"/>
      <c r="F898" s="373"/>
      <c r="G898" s="373"/>
      <c r="H898" s="373"/>
      <c r="I898" s="373"/>
      <c r="J898" s="373"/>
      <c r="K898" s="373"/>
      <c r="L898" s="373"/>
      <c r="M898" s="373"/>
      <c r="N898" s="373"/>
      <c r="O898" s="373"/>
      <c r="P898" s="373"/>
      <c r="Q898" s="373"/>
    </row>
    <row r="899" spans="1:17" ht="14.4">
      <c r="A899" s="369"/>
      <c r="B899" s="373"/>
      <c r="C899" s="373"/>
      <c r="D899" s="373"/>
      <c r="E899" s="373"/>
      <c r="F899" s="373"/>
      <c r="G899" s="373"/>
      <c r="H899" s="373"/>
      <c r="I899" s="373"/>
      <c r="J899" s="373"/>
      <c r="K899" s="373"/>
      <c r="L899" s="373"/>
      <c r="M899" s="373"/>
      <c r="N899" s="373"/>
      <c r="O899" s="373"/>
      <c r="P899" s="373"/>
      <c r="Q899" s="373"/>
    </row>
    <row r="900" spans="1:17" ht="14.4">
      <c r="A900" s="369"/>
      <c r="B900" s="373"/>
      <c r="C900" s="373"/>
      <c r="D900" s="373"/>
      <c r="E900" s="373"/>
      <c r="F900" s="373"/>
      <c r="G900" s="373"/>
      <c r="H900" s="373"/>
      <c r="I900" s="373"/>
      <c r="J900" s="373"/>
      <c r="K900" s="373"/>
      <c r="L900" s="373"/>
      <c r="M900" s="373"/>
      <c r="N900" s="373"/>
      <c r="O900" s="373"/>
      <c r="P900" s="373"/>
      <c r="Q900" s="373"/>
    </row>
    <row r="901" spans="1:17" ht="14.4">
      <c r="A901" s="369"/>
      <c r="B901" s="373"/>
      <c r="C901" s="373"/>
      <c r="D901" s="373"/>
      <c r="E901" s="373"/>
      <c r="F901" s="373"/>
      <c r="G901" s="373"/>
      <c r="H901" s="373"/>
      <c r="I901" s="373"/>
      <c r="J901" s="373"/>
      <c r="K901" s="373"/>
      <c r="L901" s="373"/>
      <c r="M901" s="373"/>
      <c r="N901" s="373"/>
      <c r="O901" s="373"/>
      <c r="P901" s="373"/>
      <c r="Q901" s="373"/>
    </row>
    <row r="902" spans="1:17" ht="14.4">
      <c r="A902" s="369"/>
      <c r="B902" s="373"/>
      <c r="C902" s="373"/>
      <c r="D902" s="373"/>
      <c r="E902" s="373"/>
      <c r="F902" s="373"/>
      <c r="G902" s="373"/>
      <c r="H902" s="373"/>
      <c r="I902" s="373"/>
      <c r="J902" s="373"/>
      <c r="K902" s="373"/>
      <c r="L902" s="373"/>
      <c r="M902" s="373"/>
      <c r="N902" s="373"/>
      <c r="O902" s="373"/>
      <c r="P902" s="373"/>
      <c r="Q902" s="373"/>
    </row>
    <row r="903" spans="1:17" ht="14.4">
      <c r="A903" s="369"/>
      <c r="B903" s="373"/>
      <c r="C903" s="373"/>
      <c r="D903" s="373"/>
      <c r="E903" s="373"/>
      <c r="F903" s="373"/>
      <c r="G903" s="373"/>
      <c r="H903" s="373"/>
      <c r="I903" s="373"/>
      <c r="J903" s="373"/>
      <c r="K903" s="373"/>
      <c r="L903" s="373"/>
      <c r="M903" s="373"/>
      <c r="N903" s="373"/>
      <c r="O903" s="373"/>
      <c r="P903" s="373"/>
      <c r="Q903" s="373"/>
    </row>
    <row r="904" spans="1:17" ht="14.4">
      <c r="A904" s="369"/>
      <c r="B904" s="373"/>
      <c r="C904" s="373"/>
      <c r="D904" s="373"/>
      <c r="E904" s="373"/>
      <c r="F904" s="373"/>
      <c r="G904" s="373"/>
      <c r="H904" s="373"/>
      <c r="I904" s="373"/>
      <c r="J904" s="373"/>
      <c r="K904" s="373"/>
      <c r="L904" s="373"/>
      <c r="M904" s="373"/>
      <c r="N904" s="373"/>
      <c r="O904" s="373"/>
      <c r="P904" s="373"/>
      <c r="Q904" s="373"/>
    </row>
    <row r="905" spans="1:17" ht="14.4">
      <c r="A905" s="369"/>
      <c r="B905" s="373"/>
      <c r="C905" s="373"/>
      <c r="D905" s="373"/>
      <c r="E905" s="373"/>
      <c r="F905" s="373"/>
      <c r="G905" s="373"/>
      <c r="H905" s="373"/>
      <c r="I905" s="373"/>
      <c r="J905" s="373"/>
      <c r="K905" s="373"/>
      <c r="L905" s="373"/>
      <c r="M905" s="373"/>
      <c r="N905" s="373"/>
      <c r="O905" s="373"/>
      <c r="P905" s="373"/>
      <c r="Q905" s="373"/>
    </row>
    <row r="906" spans="1:17" ht="14.4">
      <c r="A906" s="369"/>
      <c r="B906" s="373"/>
      <c r="C906" s="373"/>
      <c r="D906" s="373"/>
      <c r="E906" s="373"/>
      <c r="F906" s="373"/>
      <c r="G906" s="373"/>
      <c r="H906" s="373"/>
      <c r="I906" s="373"/>
      <c r="J906" s="373"/>
      <c r="K906" s="373"/>
      <c r="L906" s="373"/>
      <c r="M906" s="373"/>
      <c r="N906" s="373"/>
      <c r="O906" s="373"/>
      <c r="P906" s="373"/>
      <c r="Q906" s="373"/>
    </row>
    <row r="907" spans="1:17" ht="14.4">
      <c r="A907" s="369"/>
      <c r="B907" s="373"/>
      <c r="C907" s="373"/>
      <c r="D907" s="373"/>
      <c r="E907" s="373"/>
      <c r="F907" s="373"/>
      <c r="G907" s="373"/>
      <c r="H907" s="373"/>
      <c r="I907" s="373"/>
      <c r="J907" s="373"/>
      <c r="K907" s="373"/>
      <c r="L907" s="373"/>
      <c r="M907" s="373"/>
      <c r="N907" s="373"/>
      <c r="O907" s="373"/>
      <c r="P907" s="373"/>
      <c r="Q907" s="373"/>
    </row>
    <row r="908" spans="1:17" ht="14.4">
      <c r="A908" s="369"/>
      <c r="B908" s="373"/>
      <c r="C908" s="373"/>
      <c r="D908" s="373"/>
      <c r="E908" s="373"/>
      <c r="F908" s="373"/>
      <c r="G908" s="373"/>
      <c r="H908" s="373"/>
      <c r="I908" s="373"/>
      <c r="J908" s="373"/>
      <c r="K908" s="373"/>
      <c r="L908" s="373"/>
      <c r="M908" s="373"/>
      <c r="N908" s="373"/>
      <c r="O908" s="373"/>
      <c r="P908" s="373"/>
      <c r="Q908" s="373"/>
    </row>
    <row r="909" spans="1:17" ht="14.4">
      <c r="A909" s="369"/>
      <c r="B909" s="373"/>
      <c r="C909" s="373"/>
      <c r="D909" s="373"/>
      <c r="E909" s="373"/>
      <c r="F909" s="373"/>
      <c r="G909" s="373"/>
      <c r="H909" s="373"/>
      <c r="I909" s="373"/>
      <c r="J909" s="373"/>
      <c r="K909" s="373"/>
      <c r="L909" s="373"/>
      <c r="M909" s="373"/>
      <c r="N909" s="373"/>
      <c r="O909" s="373"/>
      <c r="P909" s="373"/>
      <c r="Q909" s="373"/>
    </row>
    <row r="910" spans="1:17" ht="14.4">
      <c r="A910" s="369"/>
      <c r="B910" s="373"/>
      <c r="C910" s="373"/>
      <c r="D910" s="373"/>
      <c r="E910" s="373"/>
      <c r="F910" s="373"/>
      <c r="G910" s="373"/>
      <c r="H910" s="373"/>
      <c r="I910" s="373"/>
      <c r="J910" s="373"/>
      <c r="K910" s="373"/>
      <c r="L910" s="373"/>
      <c r="M910" s="373"/>
      <c r="N910" s="373"/>
      <c r="O910" s="373"/>
      <c r="P910" s="373"/>
      <c r="Q910" s="373"/>
    </row>
    <row r="911" spans="1:17" ht="14.4">
      <c r="A911" s="369"/>
      <c r="B911" s="373"/>
      <c r="C911" s="373"/>
      <c r="D911" s="373"/>
      <c r="E911" s="373"/>
      <c r="F911" s="373"/>
      <c r="G911" s="373"/>
      <c r="H911" s="373"/>
      <c r="I911" s="373"/>
      <c r="J911" s="373"/>
      <c r="K911" s="373"/>
      <c r="L911" s="373"/>
      <c r="M911" s="373"/>
      <c r="N911" s="373"/>
      <c r="O911" s="373"/>
      <c r="P911" s="373"/>
      <c r="Q911" s="373"/>
    </row>
    <row r="912" spans="1:17" ht="14.4">
      <c r="A912" s="369"/>
      <c r="B912" s="373"/>
      <c r="C912" s="373"/>
      <c r="D912" s="373"/>
      <c r="E912" s="373"/>
      <c r="F912" s="373"/>
      <c r="G912" s="373"/>
      <c r="H912" s="373"/>
      <c r="I912" s="373"/>
      <c r="J912" s="373"/>
      <c r="K912" s="373"/>
      <c r="L912" s="373"/>
      <c r="M912" s="373"/>
      <c r="N912" s="373"/>
      <c r="O912" s="373"/>
      <c r="P912" s="373"/>
      <c r="Q912" s="373"/>
    </row>
    <row r="913" spans="1:17" ht="14.4">
      <c r="A913" s="369"/>
      <c r="B913" s="373"/>
      <c r="C913" s="373"/>
      <c r="D913" s="373"/>
      <c r="E913" s="373"/>
      <c r="F913" s="373"/>
      <c r="G913" s="373"/>
      <c r="H913" s="373"/>
      <c r="I913" s="373"/>
      <c r="J913" s="373"/>
      <c r="K913" s="373"/>
      <c r="L913" s="373"/>
      <c r="M913" s="373"/>
      <c r="N913" s="373"/>
      <c r="O913" s="373"/>
      <c r="P913" s="373"/>
      <c r="Q913" s="373"/>
    </row>
    <row r="914" spans="1:17" ht="14.4">
      <c r="A914" s="369"/>
      <c r="B914" s="373"/>
      <c r="C914" s="373"/>
      <c r="D914" s="373"/>
      <c r="E914" s="373"/>
      <c r="F914" s="373"/>
      <c r="G914" s="373"/>
      <c r="H914" s="373"/>
      <c r="I914" s="373"/>
      <c r="J914" s="373"/>
      <c r="K914" s="373"/>
      <c r="L914" s="373"/>
      <c r="M914" s="373"/>
      <c r="N914" s="373"/>
      <c r="O914" s="373"/>
      <c r="P914" s="373"/>
      <c r="Q914" s="373"/>
    </row>
    <row r="915" spans="1:17" ht="14.4">
      <c r="A915" s="369"/>
      <c r="B915" s="373"/>
      <c r="C915" s="373"/>
      <c r="D915" s="373"/>
      <c r="E915" s="373"/>
      <c r="F915" s="373"/>
      <c r="G915" s="373"/>
      <c r="H915" s="373"/>
      <c r="I915" s="373"/>
      <c r="J915" s="373"/>
      <c r="K915" s="373"/>
      <c r="L915" s="373"/>
      <c r="M915" s="373"/>
      <c r="N915" s="373"/>
      <c r="O915" s="373"/>
      <c r="P915" s="373"/>
      <c r="Q915" s="373"/>
    </row>
    <row r="916" spans="1:17" ht="14.4">
      <c r="A916" s="369"/>
      <c r="B916" s="373"/>
      <c r="C916" s="373"/>
      <c r="D916" s="373"/>
      <c r="E916" s="373"/>
      <c r="F916" s="373"/>
      <c r="G916" s="373"/>
      <c r="H916" s="373"/>
      <c r="I916" s="373"/>
      <c r="J916" s="373"/>
      <c r="K916" s="373"/>
      <c r="L916" s="373"/>
      <c r="M916" s="373"/>
      <c r="N916" s="373"/>
      <c r="O916" s="373"/>
      <c r="P916" s="373"/>
      <c r="Q916" s="373"/>
    </row>
    <row r="917" spans="1:17" ht="14.4">
      <c r="A917" s="369"/>
      <c r="B917" s="373"/>
      <c r="C917" s="373"/>
      <c r="D917" s="373"/>
      <c r="E917" s="373"/>
      <c r="F917" s="373"/>
      <c r="G917" s="373"/>
      <c r="H917" s="373"/>
      <c r="I917" s="373"/>
      <c r="J917" s="373"/>
      <c r="K917" s="373"/>
      <c r="L917" s="373"/>
      <c r="M917" s="373"/>
      <c r="N917" s="373"/>
      <c r="O917" s="373"/>
      <c r="P917" s="373"/>
      <c r="Q917" s="373"/>
    </row>
    <row r="918" spans="1:17" ht="14.4">
      <c r="A918" s="369"/>
      <c r="B918" s="373"/>
      <c r="C918" s="373"/>
      <c r="D918" s="373"/>
      <c r="E918" s="373"/>
      <c r="F918" s="373"/>
      <c r="G918" s="373"/>
      <c r="H918" s="373"/>
      <c r="I918" s="373"/>
      <c r="J918" s="373"/>
      <c r="K918" s="373"/>
      <c r="L918" s="373"/>
      <c r="M918" s="373"/>
      <c r="N918" s="373"/>
      <c r="O918" s="373"/>
      <c r="P918" s="373"/>
      <c r="Q918" s="373"/>
    </row>
    <row r="919" spans="1:17" ht="14.4">
      <c r="A919" s="369"/>
      <c r="B919" s="373"/>
      <c r="C919" s="373"/>
      <c r="D919" s="373"/>
      <c r="E919" s="373"/>
      <c r="F919" s="373"/>
      <c r="G919" s="373"/>
      <c r="H919" s="373"/>
      <c r="I919" s="373"/>
      <c r="J919" s="373"/>
      <c r="K919" s="373"/>
      <c r="L919" s="373"/>
      <c r="M919" s="373"/>
      <c r="N919" s="373"/>
      <c r="O919" s="373"/>
      <c r="P919" s="373"/>
      <c r="Q919" s="373"/>
    </row>
    <row r="920" spans="1:17" ht="14.4">
      <c r="A920" s="369"/>
      <c r="B920" s="373"/>
      <c r="C920" s="373"/>
      <c r="D920" s="373"/>
      <c r="E920" s="373"/>
      <c r="F920" s="373"/>
      <c r="G920" s="373"/>
      <c r="H920" s="373"/>
      <c r="I920" s="373"/>
      <c r="J920" s="373"/>
      <c r="K920" s="373"/>
      <c r="L920" s="373"/>
      <c r="M920" s="373"/>
      <c r="N920" s="373"/>
      <c r="O920" s="373"/>
      <c r="P920" s="373"/>
      <c r="Q920" s="373"/>
    </row>
    <row r="921" spans="1:17" ht="14.4">
      <c r="A921" s="369"/>
      <c r="B921" s="373"/>
      <c r="C921" s="373"/>
      <c r="D921" s="373"/>
      <c r="E921" s="373"/>
      <c r="F921" s="373"/>
      <c r="G921" s="373"/>
      <c r="H921" s="373"/>
      <c r="I921" s="373"/>
      <c r="J921" s="373"/>
      <c r="K921" s="373"/>
      <c r="L921" s="373"/>
      <c r="M921" s="373"/>
      <c r="N921" s="373"/>
      <c r="O921" s="373"/>
      <c r="P921" s="373"/>
      <c r="Q921" s="373"/>
    </row>
    <row r="922" spans="1:17" ht="14.4">
      <c r="A922" s="369"/>
      <c r="B922" s="373"/>
      <c r="C922" s="373"/>
      <c r="D922" s="373"/>
      <c r="E922" s="373"/>
      <c r="F922" s="373"/>
      <c r="G922" s="373"/>
      <c r="H922" s="373"/>
      <c r="I922" s="373"/>
      <c r="J922" s="373"/>
      <c r="K922" s="373"/>
      <c r="L922" s="373"/>
      <c r="M922" s="373"/>
      <c r="N922" s="373"/>
      <c r="O922" s="373"/>
      <c r="P922" s="373"/>
      <c r="Q922" s="373"/>
    </row>
    <row r="923" spans="1:17" ht="14.4">
      <c r="A923" s="369"/>
      <c r="B923" s="373"/>
      <c r="C923" s="373"/>
      <c r="D923" s="373"/>
      <c r="E923" s="373"/>
      <c r="F923" s="373"/>
      <c r="G923" s="373"/>
      <c r="H923" s="373"/>
      <c r="I923" s="373"/>
      <c r="J923" s="373"/>
      <c r="K923" s="373"/>
      <c r="L923" s="373"/>
      <c r="M923" s="373"/>
      <c r="N923" s="373"/>
      <c r="O923" s="373"/>
      <c r="P923" s="373"/>
      <c r="Q923" s="373"/>
    </row>
    <row r="924" spans="1:17" ht="14.4">
      <c r="A924" s="369"/>
      <c r="B924" s="373"/>
      <c r="C924" s="373"/>
      <c r="D924" s="373"/>
      <c r="E924" s="373"/>
      <c r="F924" s="373"/>
      <c r="G924" s="373"/>
      <c r="H924" s="373"/>
      <c r="I924" s="373"/>
      <c r="J924" s="373"/>
      <c r="K924" s="373"/>
      <c r="L924" s="373"/>
      <c r="M924" s="373"/>
      <c r="N924" s="373"/>
      <c r="O924" s="373"/>
      <c r="P924" s="373"/>
      <c r="Q924" s="373"/>
    </row>
    <row r="925" spans="1:17" ht="14.4">
      <c r="A925" s="369"/>
      <c r="B925" s="373"/>
      <c r="C925" s="373"/>
      <c r="D925" s="373"/>
      <c r="E925" s="373"/>
      <c r="F925" s="373"/>
      <c r="G925" s="373"/>
      <c r="H925" s="373"/>
      <c r="I925" s="373"/>
      <c r="J925" s="373"/>
      <c r="K925" s="373"/>
      <c r="L925" s="373"/>
      <c r="M925" s="373"/>
      <c r="N925" s="373"/>
      <c r="O925" s="373"/>
      <c r="P925" s="373"/>
      <c r="Q925" s="373"/>
    </row>
    <row r="926" spans="1:17" ht="14.4">
      <c r="A926" s="369"/>
      <c r="B926" s="373"/>
      <c r="C926" s="373"/>
      <c r="D926" s="373"/>
      <c r="E926" s="373"/>
      <c r="F926" s="373"/>
      <c r="G926" s="373"/>
      <c r="H926" s="373"/>
      <c r="I926" s="373"/>
      <c r="J926" s="373"/>
      <c r="K926" s="373"/>
      <c r="L926" s="373"/>
      <c r="M926" s="373"/>
      <c r="N926" s="373"/>
      <c r="O926" s="373"/>
      <c r="P926" s="373"/>
      <c r="Q926" s="373"/>
    </row>
    <row r="927" spans="1:17" ht="14.4">
      <c r="A927" s="369"/>
      <c r="B927" s="373"/>
      <c r="C927" s="373"/>
      <c r="D927" s="373"/>
      <c r="E927" s="373"/>
      <c r="F927" s="373"/>
      <c r="G927" s="373"/>
      <c r="H927" s="373"/>
      <c r="I927" s="373"/>
      <c r="J927" s="373"/>
      <c r="K927" s="373"/>
      <c r="L927" s="373"/>
      <c r="M927" s="373"/>
      <c r="N927" s="373"/>
      <c r="O927" s="373"/>
      <c r="P927" s="373"/>
      <c r="Q927" s="373"/>
    </row>
    <row r="928" spans="1:17" ht="14.4">
      <c r="A928" s="369"/>
      <c r="B928" s="373"/>
      <c r="C928" s="373"/>
      <c r="D928" s="373"/>
      <c r="E928" s="373"/>
      <c r="F928" s="373"/>
      <c r="G928" s="373"/>
      <c r="H928" s="373"/>
      <c r="I928" s="373"/>
      <c r="J928" s="373"/>
      <c r="K928" s="373"/>
      <c r="L928" s="373"/>
      <c r="M928" s="373"/>
      <c r="N928" s="373"/>
      <c r="O928" s="373"/>
      <c r="P928" s="373"/>
      <c r="Q928" s="373"/>
    </row>
    <row r="929" spans="1:17" ht="14.4">
      <c r="A929" s="369"/>
      <c r="B929" s="373"/>
      <c r="C929" s="373"/>
      <c r="D929" s="373"/>
      <c r="E929" s="373"/>
      <c r="F929" s="373"/>
      <c r="G929" s="373"/>
      <c r="H929" s="373"/>
      <c r="I929" s="373"/>
      <c r="J929" s="373"/>
      <c r="K929" s="373"/>
      <c r="L929" s="373"/>
      <c r="M929" s="373"/>
      <c r="N929" s="373"/>
      <c r="O929" s="373"/>
      <c r="P929" s="373"/>
      <c r="Q929" s="373"/>
    </row>
    <row r="930" spans="1:17" ht="14.4">
      <c r="A930" s="369"/>
      <c r="B930" s="373"/>
      <c r="C930" s="373"/>
      <c r="D930" s="373"/>
      <c r="E930" s="373"/>
      <c r="F930" s="373"/>
      <c r="G930" s="373"/>
      <c r="H930" s="373"/>
      <c r="I930" s="373"/>
      <c r="J930" s="373"/>
      <c r="K930" s="373"/>
      <c r="L930" s="373"/>
      <c r="M930" s="373"/>
      <c r="N930" s="373"/>
      <c r="O930" s="373"/>
      <c r="P930" s="373"/>
      <c r="Q930" s="373"/>
    </row>
    <row r="931" spans="1:17" ht="14.4">
      <c r="A931" s="369"/>
      <c r="B931" s="373"/>
      <c r="C931" s="373"/>
      <c r="D931" s="373"/>
      <c r="E931" s="373"/>
      <c r="F931" s="373"/>
      <c r="G931" s="373"/>
      <c r="H931" s="373"/>
      <c r="I931" s="373"/>
      <c r="J931" s="373"/>
      <c r="K931" s="373"/>
      <c r="L931" s="373"/>
      <c r="M931" s="373"/>
      <c r="N931" s="373"/>
      <c r="O931" s="373"/>
      <c r="P931" s="373"/>
      <c r="Q931" s="373"/>
    </row>
    <row r="932" spans="1:17" ht="14.4">
      <c r="A932" s="369"/>
      <c r="B932" s="373"/>
      <c r="C932" s="373"/>
      <c r="D932" s="373"/>
      <c r="E932" s="373"/>
      <c r="F932" s="373"/>
      <c r="G932" s="373"/>
      <c r="H932" s="373"/>
      <c r="I932" s="373"/>
      <c r="J932" s="373"/>
      <c r="K932" s="373"/>
      <c r="L932" s="373"/>
      <c r="M932" s="373"/>
      <c r="N932" s="373"/>
      <c r="O932" s="373"/>
      <c r="P932" s="373"/>
      <c r="Q932" s="373"/>
    </row>
    <row r="933" spans="1:17" ht="14.4">
      <c r="A933" s="369"/>
      <c r="B933" s="373"/>
      <c r="C933" s="373"/>
      <c r="D933" s="373"/>
      <c r="E933" s="373"/>
      <c r="F933" s="373"/>
      <c r="G933" s="373"/>
      <c r="H933" s="373"/>
      <c r="I933" s="373"/>
      <c r="J933" s="373"/>
      <c r="K933" s="373"/>
      <c r="L933" s="373"/>
      <c r="M933" s="373"/>
      <c r="N933" s="373"/>
      <c r="O933" s="373"/>
      <c r="P933" s="373"/>
      <c r="Q933" s="373"/>
    </row>
    <row r="934" spans="1:17" ht="14.4">
      <c r="A934" s="369"/>
      <c r="B934" s="373"/>
      <c r="C934" s="373"/>
      <c r="D934" s="373"/>
      <c r="E934" s="373"/>
      <c r="F934" s="373"/>
      <c r="G934" s="373"/>
      <c r="H934" s="373"/>
      <c r="I934" s="373"/>
      <c r="J934" s="373"/>
      <c r="K934" s="373"/>
      <c r="L934" s="373"/>
      <c r="M934" s="373"/>
      <c r="N934" s="373"/>
      <c r="O934" s="373"/>
      <c r="P934" s="373"/>
      <c r="Q934" s="373"/>
    </row>
    <row r="935" spans="1:17" ht="14.4">
      <c r="A935" s="369"/>
      <c r="B935" s="373"/>
      <c r="C935" s="373"/>
      <c r="D935" s="373"/>
      <c r="E935" s="373"/>
      <c r="F935" s="373"/>
      <c r="G935" s="373"/>
      <c r="H935" s="373"/>
      <c r="I935" s="373"/>
      <c r="J935" s="373"/>
      <c r="K935" s="373"/>
      <c r="L935" s="373"/>
      <c r="M935" s="373"/>
      <c r="N935" s="373"/>
      <c r="O935" s="373"/>
      <c r="P935" s="373"/>
      <c r="Q935" s="373"/>
    </row>
    <row r="936" spans="1:17" ht="14.4">
      <c r="A936" s="369"/>
      <c r="B936" s="373"/>
      <c r="C936" s="373"/>
      <c r="D936" s="373"/>
      <c r="E936" s="373"/>
      <c r="F936" s="373"/>
      <c r="G936" s="373"/>
      <c r="H936" s="373"/>
      <c r="I936" s="373"/>
      <c r="J936" s="373"/>
      <c r="K936" s="373"/>
      <c r="L936" s="373"/>
      <c r="M936" s="373"/>
      <c r="N936" s="373"/>
      <c r="O936" s="373"/>
      <c r="P936" s="373"/>
      <c r="Q936" s="373"/>
    </row>
    <row r="937" spans="1:17" ht="14.4">
      <c r="A937" s="369"/>
      <c r="B937" s="373"/>
      <c r="C937" s="373"/>
      <c r="D937" s="373"/>
      <c r="E937" s="373"/>
      <c r="F937" s="373"/>
      <c r="G937" s="373"/>
      <c r="H937" s="373"/>
      <c r="I937" s="373"/>
      <c r="J937" s="373"/>
      <c r="K937" s="373"/>
      <c r="L937" s="373"/>
      <c r="M937" s="373"/>
      <c r="N937" s="373"/>
      <c r="O937" s="373"/>
      <c r="P937" s="373"/>
      <c r="Q937" s="373"/>
    </row>
    <row r="938" spans="1:17" ht="14.4">
      <c r="A938" s="369"/>
      <c r="B938" s="373"/>
      <c r="C938" s="373"/>
      <c r="D938" s="373"/>
      <c r="E938" s="373"/>
      <c r="F938" s="373"/>
      <c r="G938" s="373"/>
      <c r="H938" s="373"/>
      <c r="I938" s="373"/>
      <c r="J938" s="373"/>
      <c r="K938" s="373"/>
      <c r="L938" s="373"/>
      <c r="M938" s="373"/>
      <c r="N938" s="373"/>
      <c r="O938" s="373"/>
      <c r="P938" s="373"/>
      <c r="Q938" s="373"/>
    </row>
    <row r="939" spans="1:17" ht="14.4">
      <c r="A939" s="369"/>
      <c r="B939" s="373"/>
      <c r="C939" s="373"/>
      <c r="D939" s="373"/>
      <c r="E939" s="373"/>
      <c r="F939" s="373"/>
      <c r="G939" s="373"/>
      <c r="H939" s="373"/>
      <c r="I939" s="373"/>
      <c r="J939" s="373"/>
      <c r="K939" s="373"/>
      <c r="L939" s="373"/>
      <c r="M939" s="373"/>
      <c r="N939" s="373"/>
      <c r="O939" s="373"/>
      <c r="P939" s="373"/>
      <c r="Q939" s="373"/>
    </row>
    <row r="940" spans="1:17" ht="14.4">
      <c r="A940" s="369"/>
      <c r="B940" s="373"/>
      <c r="C940" s="373"/>
      <c r="D940" s="373"/>
      <c r="E940" s="373"/>
      <c r="F940" s="373"/>
      <c r="G940" s="373"/>
      <c r="H940" s="373"/>
      <c r="I940" s="373"/>
      <c r="J940" s="373"/>
      <c r="K940" s="373"/>
      <c r="L940" s="373"/>
      <c r="M940" s="373"/>
      <c r="N940" s="373"/>
      <c r="O940" s="373"/>
      <c r="P940" s="373"/>
      <c r="Q940" s="373"/>
    </row>
    <row r="941" spans="1:17" ht="14.4">
      <c r="A941" s="369"/>
      <c r="B941" s="373"/>
      <c r="C941" s="373"/>
      <c r="D941" s="373"/>
      <c r="E941" s="373"/>
      <c r="F941" s="373"/>
      <c r="G941" s="373"/>
      <c r="H941" s="373"/>
      <c r="I941" s="373"/>
      <c r="J941" s="373"/>
      <c r="K941" s="373"/>
      <c r="L941" s="373"/>
      <c r="M941" s="373"/>
      <c r="N941" s="373"/>
      <c r="O941" s="373"/>
      <c r="P941" s="373"/>
      <c r="Q941" s="373"/>
    </row>
    <row r="942" spans="1:17" ht="14.4">
      <c r="A942" s="369"/>
      <c r="B942" s="373"/>
      <c r="C942" s="373"/>
      <c r="D942" s="373"/>
      <c r="E942" s="373"/>
      <c r="F942" s="373"/>
      <c r="G942" s="373"/>
      <c r="H942" s="373"/>
      <c r="I942" s="373"/>
      <c r="J942" s="373"/>
      <c r="K942" s="373"/>
      <c r="L942" s="373"/>
      <c r="M942" s="373"/>
      <c r="N942" s="373"/>
      <c r="O942" s="373"/>
      <c r="P942" s="373"/>
      <c r="Q942" s="373"/>
    </row>
    <row r="943" spans="1:17" ht="14.4">
      <c r="A943" s="369"/>
      <c r="B943" s="373"/>
      <c r="C943" s="373"/>
      <c r="D943" s="373"/>
      <c r="E943" s="373"/>
      <c r="F943" s="373"/>
      <c r="G943" s="373"/>
      <c r="H943" s="373"/>
      <c r="I943" s="373"/>
      <c r="J943" s="373"/>
      <c r="K943" s="373"/>
      <c r="L943" s="373"/>
      <c r="M943" s="373"/>
      <c r="N943" s="373"/>
      <c r="O943" s="373"/>
      <c r="P943" s="373"/>
      <c r="Q943" s="373"/>
    </row>
    <row r="944" spans="1:17" ht="14.4">
      <c r="A944" s="369"/>
      <c r="B944" s="373"/>
      <c r="C944" s="373"/>
      <c r="D944" s="373"/>
      <c r="E944" s="373"/>
      <c r="F944" s="373"/>
      <c r="G944" s="373"/>
      <c r="H944" s="373"/>
      <c r="I944" s="373"/>
      <c r="J944" s="373"/>
      <c r="K944" s="373"/>
      <c r="L944" s="373"/>
      <c r="M944" s="373"/>
      <c r="N944" s="373"/>
      <c r="O944" s="373"/>
      <c r="P944" s="373"/>
      <c r="Q944" s="373"/>
    </row>
    <row r="945" spans="1:17" ht="14.4">
      <c r="A945" s="369"/>
      <c r="B945" s="373"/>
      <c r="C945" s="373"/>
      <c r="D945" s="373"/>
      <c r="E945" s="373"/>
      <c r="F945" s="373"/>
      <c r="G945" s="373"/>
      <c r="H945" s="373"/>
      <c r="I945" s="373"/>
      <c r="J945" s="373"/>
      <c r="K945" s="373"/>
      <c r="L945" s="373"/>
      <c r="M945" s="373"/>
      <c r="N945" s="373"/>
      <c r="O945" s="373"/>
      <c r="P945" s="373"/>
      <c r="Q945" s="373"/>
    </row>
    <row r="946" spans="1:17" ht="14.4">
      <c r="A946" s="369"/>
      <c r="B946" s="373"/>
      <c r="C946" s="373"/>
      <c r="D946" s="373"/>
      <c r="E946" s="373"/>
      <c r="F946" s="373"/>
      <c r="G946" s="373"/>
      <c r="H946" s="373"/>
      <c r="I946" s="373"/>
      <c r="J946" s="373"/>
      <c r="K946" s="373"/>
      <c r="L946" s="373"/>
      <c r="M946" s="373"/>
      <c r="N946" s="373"/>
      <c r="O946" s="373"/>
      <c r="P946" s="373"/>
      <c r="Q946" s="373"/>
    </row>
    <row r="947" spans="1:17" ht="14.4">
      <c r="A947" s="369"/>
      <c r="B947" s="373"/>
      <c r="C947" s="373"/>
      <c r="D947" s="373"/>
      <c r="E947" s="373"/>
      <c r="F947" s="373"/>
      <c r="G947" s="373"/>
      <c r="H947" s="373"/>
      <c r="I947" s="373"/>
      <c r="J947" s="373"/>
      <c r="K947" s="373"/>
      <c r="L947" s="373"/>
      <c r="M947" s="373"/>
      <c r="N947" s="373"/>
      <c r="O947" s="373"/>
      <c r="P947" s="373"/>
      <c r="Q947" s="373"/>
    </row>
    <row r="948" spans="1:17" ht="14.4">
      <c r="A948" s="369"/>
      <c r="B948" s="373"/>
      <c r="C948" s="373"/>
      <c r="D948" s="373"/>
      <c r="E948" s="373"/>
      <c r="F948" s="373"/>
      <c r="G948" s="373"/>
      <c r="H948" s="373"/>
      <c r="I948" s="373"/>
      <c r="J948" s="373"/>
      <c r="K948" s="373"/>
      <c r="L948" s="373"/>
      <c r="M948" s="373"/>
      <c r="N948" s="373"/>
      <c r="O948" s="373"/>
      <c r="P948" s="373"/>
      <c r="Q948" s="373"/>
    </row>
    <row r="949" spans="1:17" ht="14.4">
      <c r="A949" s="369"/>
      <c r="B949" s="373"/>
      <c r="C949" s="373"/>
      <c r="D949" s="373"/>
      <c r="E949" s="373"/>
      <c r="F949" s="373"/>
      <c r="G949" s="373"/>
      <c r="H949" s="373"/>
      <c r="I949" s="373"/>
      <c r="J949" s="373"/>
      <c r="K949" s="373"/>
      <c r="L949" s="373"/>
      <c r="M949" s="373"/>
      <c r="N949" s="373"/>
      <c r="O949" s="373"/>
      <c r="P949" s="373"/>
      <c r="Q949" s="373"/>
    </row>
    <row r="950" spans="1:17" ht="14.4">
      <c r="A950" s="369"/>
      <c r="B950" s="373"/>
      <c r="C950" s="373"/>
      <c r="D950" s="373"/>
      <c r="E950" s="373"/>
      <c r="F950" s="373"/>
      <c r="G950" s="373"/>
      <c r="H950" s="373"/>
      <c r="I950" s="373"/>
      <c r="J950" s="373"/>
      <c r="K950" s="373"/>
      <c r="L950" s="373"/>
      <c r="M950" s="373"/>
      <c r="N950" s="373"/>
      <c r="O950" s="373"/>
      <c r="P950" s="373"/>
      <c r="Q950" s="373"/>
    </row>
    <row r="951" spans="1:17" ht="14.4">
      <c r="A951" s="369"/>
      <c r="B951" s="373"/>
      <c r="C951" s="373"/>
      <c r="D951" s="373"/>
      <c r="E951" s="373"/>
      <c r="F951" s="373"/>
      <c r="G951" s="373"/>
      <c r="H951" s="373"/>
      <c r="I951" s="373"/>
      <c r="J951" s="373"/>
      <c r="K951" s="373"/>
      <c r="L951" s="373"/>
      <c r="M951" s="373"/>
      <c r="N951" s="373"/>
      <c r="O951" s="373"/>
      <c r="P951" s="373"/>
      <c r="Q951" s="373"/>
    </row>
    <row r="952" spans="1:17" ht="14.4">
      <c r="A952" s="369"/>
      <c r="B952" s="373"/>
      <c r="C952" s="373"/>
      <c r="D952" s="373"/>
      <c r="E952" s="373"/>
      <c r="F952" s="373"/>
      <c r="G952" s="373"/>
      <c r="H952" s="373"/>
      <c r="I952" s="373"/>
      <c r="J952" s="373"/>
      <c r="K952" s="373"/>
      <c r="L952" s="373"/>
      <c r="M952" s="373"/>
      <c r="N952" s="373"/>
      <c r="O952" s="373"/>
      <c r="P952" s="373"/>
      <c r="Q952" s="373"/>
    </row>
    <row r="953" spans="1:17" ht="14.4">
      <c r="A953" s="369"/>
      <c r="B953" s="373"/>
      <c r="C953" s="373"/>
      <c r="D953" s="373"/>
      <c r="E953" s="373"/>
      <c r="F953" s="373"/>
      <c r="G953" s="373"/>
      <c r="H953" s="373"/>
      <c r="I953" s="373"/>
      <c r="J953" s="373"/>
      <c r="K953" s="373"/>
      <c r="L953" s="373"/>
      <c r="M953" s="373"/>
      <c r="N953" s="373"/>
      <c r="O953" s="373"/>
      <c r="P953" s="373"/>
      <c r="Q953" s="373"/>
    </row>
    <row r="954" spans="1:17" ht="14.4">
      <c r="A954" s="369"/>
      <c r="B954" s="373"/>
      <c r="C954" s="373"/>
      <c r="D954" s="373"/>
      <c r="E954" s="373"/>
      <c r="F954" s="373"/>
      <c r="G954" s="373"/>
      <c r="H954" s="373"/>
      <c r="I954" s="373"/>
      <c r="J954" s="373"/>
      <c r="K954" s="373"/>
      <c r="L954" s="373"/>
      <c r="M954" s="373"/>
      <c r="N954" s="373"/>
      <c r="O954" s="373"/>
      <c r="P954" s="373"/>
      <c r="Q954" s="373"/>
    </row>
    <row r="955" spans="1:17" ht="14.4">
      <c r="A955" s="369"/>
      <c r="B955" s="373"/>
      <c r="C955" s="373"/>
      <c r="D955" s="373"/>
      <c r="E955" s="373"/>
      <c r="F955" s="373"/>
      <c r="G955" s="373"/>
      <c r="H955" s="373"/>
      <c r="I955" s="373"/>
      <c r="J955" s="373"/>
      <c r="K955" s="373"/>
      <c r="L955" s="373"/>
      <c r="M955" s="373"/>
      <c r="N955" s="373"/>
      <c r="O955" s="373"/>
      <c r="P955" s="373"/>
      <c r="Q955" s="373"/>
    </row>
    <row r="956" spans="1:17" ht="14.4">
      <c r="A956" s="369"/>
      <c r="B956" s="373"/>
      <c r="C956" s="373"/>
      <c r="D956" s="373"/>
      <c r="E956" s="373"/>
      <c r="F956" s="373"/>
      <c r="G956" s="373"/>
      <c r="H956" s="373"/>
      <c r="I956" s="373"/>
      <c r="J956" s="373"/>
      <c r="K956" s="373"/>
      <c r="L956" s="373"/>
      <c r="M956" s="373"/>
      <c r="N956" s="373"/>
      <c r="O956" s="373"/>
      <c r="P956" s="373"/>
      <c r="Q956" s="373"/>
    </row>
    <row r="957" spans="1:17" ht="14.4">
      <c r="A957" s="369"/>
      <c r="B957" s="373"/>
      <c r="C957" s="373"/>
      <c r="D957" s="373"/>
      <c r="E957" s="373"/>
      <c r="F957" s="373"/>
      <c r="G957" s="373"/>
      <c r="H957" s="373"/>
      <c r="I957" s="373"/>
      <c r="J957" s="373"/>
      <c r="K957" s="373"/>
      <c r="L957" s="373"/>
      <c r="M957" s="373"/>
      <c r="N957" s="373"/>
      <c r="O957" s="373"/>
      <c r="P957" s="373"/>
      <c r="Q957" s="373"/>
    </row>
    <row r="958" spans="1:17" ht="14.4">
      <c r="A958" s="369"/>
      <c r="B958" s="373"/>
      <c r="C958" s="373"/>
      <c r="D958" s="373"/>
      <c r="E958" s="373"/>
      <c r="F958" s="373"/>
      <c r="G958" s="373"/>
      <c r="H958" s="373"/>
      <c r="I958" s="373"/>
      <c r="J958" s="373"/>
      <c r="K958" s="373"/>
      <c r="L958" s="373"/>
      <c r="M958" s="373"/>
      <c r="N958" s="373"/>
      <c r="O958" s="373"/>
      <c r="P958" s="373"/>
      <c r="Q958" s="373"/>
    </row>
    <row r="959" spans="1:17" ht="14.4">
      <c r="A959" s="369"/>
      <c r="B959" s="373"/>
      <c r="C959" s="373"/>
      <c r="D959" s="373"/>
      <c r="E959" s="373"/>
      <c r="F959" s="373"/>
      <c r="G959" s="373"/>
      <c r="H959" s="373"/>
      <c r="I959" s="373"/>
      <c r="J959" s="373"/>
      <c r="K959" s="373"/>
      <c r="L959" s="373"/>
      <c r="M959" s="373"/>
      <c r="N959" s="373"/>
      <c r="O959" s="373"/>
      <c r="P959" s="373"/>
      <c r="Q959" s="373"/>
    </row>
    <row r="960" spans="1:17" ht="14.4">
      <c r="A960" s="369"/>
      <c r="B960" s="373"/>
      <c r="C960" s="373"/>
      <c r="D960" s="373"/>
      <c r="E960" s="373"/>
      <c r="F960" s="373"/>
      <c r="G960" s="373"/>
      <c r="H960" s="373"/>
      <c r="I960" s="373"/>
      <c r="J960" s="373"/>
      <c r="K960" s="373"/>
      <c r="L960" s="373"/>
      <c r="M960" s="373"/>
      <c r="N960" s="373"/>
      <c r="O960" s="373"/>
      <c r="P960" s="373"/>
      <c r="Q960" s="373"/>
    </row>
    <row r="961" spans="1:17" ht="14.4">
      <c r="A961" s="369"/>
      <c r="B961" s="373"/>
      <c r="C961" s="373"/>
      <c r="D961" s="373"/>
      <c r="E961" s="373"/>
      <c r="F961" s="373"/>
      <c r="G961" s="373"/>
      <c r="H961" s="373"/>
      <c r="I961" s="373"/>
      <c r="J961" s="373"/>
      <c r="K961" s="373"/>
      <c r="L961" s="373"/>
      <c r="M961" s="373"/>
      <c r="N961" s="373"/>
      <c r="O961" s="373"/>
      <c r="P961" s="373"/>
      <c r="Q961" s="373"/>
    </row>
    <row r="962" spans="1:17" ht="14.4">
      <c r="A962" s="369"/>
      <c r="B962" s="373"/>
      <c r="C962" s="373"/>
      <c r="D962" s="373"/>
      <c r="E962" s="373"/>
      <c r="F962" s="373"/>
      <c r="G962" s="373"/>
      <c r="H962" s="373"/>
      <c r="I962" s="373"/>
      <c r="J962" s="373"/>
      <c r="K962" s="373"/>
      <c r="L962" s="373"/>
      <c r="M962" s="373"/>
      <c r="N962" s="373"/>
      <c r="O962" s="373"/>
      <c r="P962" s="373"/>
      <c r="Q962" s="373"/>
    </row>
    <row r="963" spans="1:17" ht="14.4">
      <c r="A963" s="369"/>
      <c r="B963" s="373"/>
      <c r="C963" s="373"/>
      <c r="D963" s="373"/>
      <c r="E963" s="373"/>
      <c r="F963" s="373"/>
      <c r="G963" s="373"/>
      <c r="H963" s="373"/>
      <c r="I963" s="373"/>
      <c r="J963" s="373"/>
      <c r="K963" s="373"/>
      <c r="L963" s="373"/>
      <c r="M963" s="373"/>
      <c r="N963" s="373"/>
      <c r="O963" s="373"/>
      <c r="P963" s="373"/>
      <c r="Q963" s="373"/>
    </row>
    <row r="964" spans="1:17" ht="14.4">
      <c r="A964" s="369"/>
      <c r="B964" s="373"/>
      <c r="C964" s="373"/>
      <c r="D964" s="373"/>
      <c r="E964" s="373"/>
      <c r="F964" s="373"/>
      <c r="G964" s="373"/>
      <c r="H964" s="373"/>
      <c r="I964" s="373"/>
      <c r="J964" s="373"/>
      <c r="K964" s="373"/>
      <c r="L964" s="373"/>
      <c r="M964" s="373"/>
      <c r="N964" s="373"/>
      <c r="O964" s="373"/>
      <c r="P964" s="373"/>
      <c r="Q964" s="373"/>
    </row>
    <row r="965" spans="1:17" ht="14.4">
      <c r="A965" s="369"/>
      <c r="B965" s="373"/>
      <c r="C965" s="373"/>
      <c r="D965" s="373"/>
      <c r="E965" s="373"/>
      <c r="F965" s="373"/>
      <c r="G965" s="373"/>
      <c r="H965" s="373"/>
      <c r="I965" s="373"/>
      <c r="J965" s="373"/>
      <c r="K965" s="373"/>
      <c r="L965" s="373"/>
      <c r="M965" s="373"/>
      <c r="N965" s="373"/>
      <c r="O965" s="373"/>
      <c r="P965" s="373"/>
      <c r="Q965" s="373"/>
    </row>
    <row r="966" spans="1:17" ht="14.4">
      <c r="A966" s="369"/>
      <c r="B966" s="373"/>
      <c r="C966" s="373"/>
      <c r="D966" s="373"/>
      <c r="E966" s="373"/>
      <c r="F966" s="373"/>
      <c r="G966" s="373"/>
      <c r="H966" s="373"/>
      <c r="I966" s="373"/>
      <c r="J966" s="373"/>
      <c r="K966" s="373"/>
      <c r="L966" s="373"/>
      <c r="M966" s="373"/>
      <c r="N966" s="373"/>
      <c r="O966" s="373"/>
      <c r="P966" s="373"/>
      <c r="Q966" s="373"/>
    </row>
    <row r="967" spans="1:17" ht="14.4">
      <c r="A967" s="369"/>
      <c r="B967" s="373"/>
      <c r="C967" s="373"/>
      <c r="D967" s="373"/>
      <c r="E967" s="373"/>
      <c r="F967" s="373"/>
      <c r="G967" s="373"/>
      <c r="H967" s="373"/>
      <c r="I967" s="373"/>
      <c r="J967" s="373"/>
      <c r="K967" s="373"/>
      <c r="L967" s="373"/>
      <c r="M967" s="373"/>
      <c r="N967" s="373"/>
      <c r="O967" s="373"/>
      <c r="P967" s="373"/>
      <c r="Q967" s="373"/>
    </row>
    <row r="968" spans="1:17" ht="14.4">
      <c r="A968" s="369"/>
      <c r="B968" s="373"/>
      <c r="C968" s="373"/>
      <c r="D968" s="373"/>
      <c r="E968" s="373"/>
      <c r="F968" s="373"/>
      <c r="G968" s="373"/>
      <c r="H968" s="373"/>
      <c r="I968" s="373"/>
      <c r="J968" s="373"/>
      <c r="K968" s="373"/>
      <c r="L968" s="373"/>
      <c r="M968" s="373"/>
      <c r="N968" s="373"/>
      <c r="O968" s="373"/>
      <c r="P968" s="373"/>
      <c r="Q968" s="373"/>
    </row>
    <row r="969" spans="1:17" ht="14.4">
      <c r="A969" s="369"/>
      <c r="B969" s="373"/>
      <c r="C969" s="373"/>
      <c r="D969" s="373"/>
      <c r="E969" s="373"/>
      <c r="F969" s="373"/>
      <c r="G969" s="373"/>
      <c r="H969" s="373"/>
      <c r="I969" s="373"/>
      <c r="J969" s="373"/>
      <c r="K969" s="373"/>
      <c r="L969" s="373"/>
      <c r="M969" s="373"/>
      <c r="N969" s="373"/>
      <c r="O969" s="373"/>
      <c r="P969" s="373"/>
      <c r="Q969" s="373"/>
    </row>
    <row r="970" spans="1:17" ht="14.4">
      <c r="A970" s="369"/>
      <c r="B970" s="373"/>
      <c r="C970" s="373"/>
      <c r="D970" s="373"/>
      <c r="E970" s="373"/>
      <c r="F970" s="373"/>
      <c r="G970" s="373"/>
      <c r="H970" s="373"/>
      <c r="I970" s="373"/>
      <c r="J970" s="373"/>
      <c r="K970" s="373"/>
      <c r="L970" s="373"/>
      <c r="M970" s="373"/>
      <c r="N970" s="373"/>
      <c r="O970" s="373"/>
      <c r="P970" s="373"/>
      <c r="Q970" s="373"/>
    </row>
    <row r="971" spans="1:17" ht="14.4">
      <c r="A971" s="369"/>
      <c r="B971" s="373"/>
      <c r="C971" s="373"/>
      <c r="D971" s="373"/>
      <c r="E971" s="373"/>
      <c r="F971" s="373"/>
      <c r="G971" s="373"/>
      <c r="H971" s="373"/>
      <c r="I971" s="373"/>
      <c r="J971" s="373"/>
      <c r="K971" s="373"/>
      <c r="L971" s="373"/>
      <c r="M971" s="373"/>
      <c r="N971" s="373"/>
      <c r="O971" s="373"/>
      <c r="P971" s="373"/>
      <c r="Q971" s="373"/>
    </row>
    <row r="972" spans="1:17" ht="14.4">
      <c r="A972" s="369"/>
      <c r="B972" s="373"/>
      <c r="C972" s="373"/>
      <c r="D972" s="373"/>
      <c r="E972" s="373"/>
      <c r="F972" s="373"/>
      <c r="G972" s="373"/>
      <c r="H972" s="373"/>
      <c r="I972" s="373"/>
      <c r="J972" s="373"/>
      <c r="K972" s="373"/>
      <c r="L972" s="373"/>
      <c r="M972" s="373"/>
      <c r="N972" s="373"/>
      <c r="O972" s="373"/>
      <c r="P972" s="373"/>
      <c r="Q972" s="373"/>
    </row>
    <row r="973" spans="1:17" ht="14.4">
      <c r="A973" s="369"/>
      <c r="B973" s="373"/>
      <c r="C973" s="373"/>
      <c r="D973" s="373"/>
      <c r="E973" s="373"/>
      <c r="F973" s="373"/>
      <c r="G973" s="373"/>
      <c r="H973" s="373"/>
      <c r="I973" s="373"/>
      <c r="J973" s="373"/>
      <c r="K973" s="373"/>
      <c r="L973" s="373"/>
      <c r="M973" s="373"/>
      <c r="N973" s="373"/>
      <c r="O973" s="373"/>
      <c r="P973" s="373"/>
      <c r="Q973" s="373"/>
    </row>
    <row r="974" spans="1:17" ht="14.4">
      <c r="A974" s="369"/>
      <c r="B974" s="373"/>
      <c r="C974" s="373"/>
      <c r="D974" s="373"/>
      <c r="E974" s="373"/>
      <c r="F974" s="373"/>
      <c r="G974" s="373"/>
      <c r="H974" s="373"/>
      <c r="I974" s="373"/>
      <c r="J974" s="373"/>
      <c r="K974" s="373"/>
      <c r="L974" s="373"/>
      <c r="M974" s="373"/>
      <c r="N974" s="373"/>
      <c r="O974" s="373"/>
      <c r="P974" s="373"/>
      <c r="Q974" s="373"/>
    </row>
    <row r="975" spans="1:17" ht="14.4">
      <c r="A975" s="369"/>
      <c r="B975" s="373"/>
      <c r="C975" s="373"/>
      <c r="D975" s="373"/>
      <c r="E975" s="373"/>
      <c r="F975" s="373"/>
      <c r="G975" s="373"/>
      <c r="H975" s="373"/>
      <c r="I975" s="373"/>
      <c r="J975" s="373"/>
      <c r="K975" s="373"/>
      <c r="L975" s="373"/>
      <c r="M975" s="373"/>
      <c r="N975" s="373"/>
      <c r="O975" s="373"/>
      <c r="P975" s="373"/>
      <c r="Q975" s="373"/>
    </row>
    <row r="976" spans="1:17" ht="14.4">
      <c r="A976" s="369"/>
      <c r="B976" s="373"/>
      <c r="C976" s="373"/>
      <c r="D976" s="373"/>
      <c r="E976" s="373"/>
      <c r="F976" s="373"/>
      <c r="G976" s="373"/>
      <c r="H976" s="373"/>
      <c r="I976" s="373"/>
      <c r="J976" s="373"/>
      <c r="K976" s="373"/>
      <c r="L976" s="373"/>
      <c r="M976" s="373"/>
      <c r="N976" s="373"/>
      <c r="O976" s="373"/>
      <c r="P976" s="373"/>
      <c r="Q976" s="373"/>
    </row>
    <row r="977" spans="1:17" ht="14.4">
      <c r="A977" s="369"/>
      <c r="B977" s="373"/>
      <c r="C977" s="373"/>
      <c r="D977" s="373"/>
      <c r="E977" s="373"/>
      <c r="F977" s="373"/>
      <c r="G977" s="373"/>
      <c r="H977" s="373"/>
      <c r="I977" s="373"/>
      <c r="J977" s="373"/>
      <c r="K977" s="373"/>
      <c r="L977" s="373"/>
      <c r="M977" s="373"/>
      <c r="N977" s="373"/>
      <c r="O977" s="373"/>
      <c r="P977" s="373"/>
      <c r="Q977" s="373"/>
    </row>
    <row r="978" spans="1:17" ht="14.4">
      <c r="A978" s="369"/>
      <c r="B978" s="373"/>
      <c r="C978" s="373"/>
      <c r="D978" s="373"/>
      <c r="E978" s="373"/>
      <c r="F978" s="373"/>
      <c r="G978" s="373"/>
      <c r="H978" s="373"/>
      <c r="I978" s="373"/>
      <c r="J978" s="373"/>
      <c r="K978" s="373"/>
      <c r="L978" s="373"/>
      <c r="M978" s="373"/>
      <c r="N978" s="373"/>
      <c r="O978" s="373"/>
      <c r="P978" s="373"/>
      <c r="Q978" s="373"/>
    </row>
    <row r="979" spans="1:17" ht="14.4">
      <c r="A979" s="369"/>
      <c r="B979" s="373"/>
      <c r="C979" s="373"/>
      <c r="D979" s="373"/>
      <c r="E979" s="373"/>
      <c r="F979" s="373"/>
      <c r="G979" s="373"/>
      <c r="H979" s="373"/>
      <c r="I979" s="373"/>
      <c r="J979" s="373"/>
      <c r="K979" s="373"/>
      <c r="L979" s="373"/>
      <c r="M979" s="373"/>
      <c r="N979" s="373"/>
      <c r="O979" s="373"/>
      <c r="P979" s="373"/>
      <c r="Q979" s="373"/>
    </row>
    <row r="980" spans="1:17" ht="14.4">
      <c r="A980" s="369"/>
      <c r="B980" s="373"/>
      <c r="C980" s="373"/>
      <c r="D980" s="373"/>
      <c r="E980" s="373"/>
      <c r="F980" s="373"/>
      <c r="G980" s="373"/>
      <c r="H980" s="373"/>
      <c r="I980" s="373"/>
      <c r="J980" s="373"/>
      <c r="K980" s="373"/>
      <c r="L980" s="373"/>
      <c r="M980" s="373"/>
      <c r="N980" s="373"/>
      <c r="O980" s="373"/>
      <c r="P980" s="373"/>
      <c r="Q980" s="373"/>
    </row>
    <row r="981" spans="1:17" ht="14.4">
      <c r="A981" s="369"/>
      <c r="B981" s="373"/>
      <c r="C981" s="373"/>
      <c r="D981" s="373"/>
      <c r="E981" s="373"/>
      <c r="F981" s="373"/>
      <c r="G981" s="373"/>
      <c r="H981" s="373"/>
      <c r="I981" s="373"/>
      <c r="J981" s="373"/>
      <c r="K981" s="373"/>
      <c r="L981" s="373"/>
      <c r="M981" s="373"/>
      <c r="N981" s="373"/>
      <c r="O981" s="373"/>
      <c r="P981" s="373"/>
      <c r="Q981" s="373"/>
    </row>
    <row r="982" spans="1:17" ht="14.4">
      <c r="A982" s="369"/>
      <c r="B982" s="373"/>
      <c r="C982" s="373"/>
      <c r="D982" s="373"/>
      <c r="E982" s="373"/>
      <c r="F982" s="373"/>
      <c r="G982" s="373"/>
      <c r="H982" s="373"/>
      <c r="I982" s="373"/>
      <c r="J982" s="373"/>
      <c r="K982" s="373"/>
      <c r="L982" s="373"/>
      <c r="M982" s="373"/>
      <c r="N982" s="373"/>
      <c r="O982" s="373"/>
      <c r="P982" s="373"/>
      <c r="Q982" s="373"/>
    </row>
    <row r="983" spans="1:17" ht="14.4">
      <c r="A983" s="369"/>
      <c r="B983" s="373"/>
      <c r="C983" s="373"/>
      <c r="D983" s="373"/>
      <c r="E983" s="373"/>
      <c r="F983" s="373"/>
      <c r="G983" s="373"/>
      <c r="H983" s="373"/>
      <c r="I983" s="373"/>
      <c r="J983" s="373"/>
      <c r="K983" s="373"/>
      <c r="L983" s="373"/>
      <c r="M983" s="373"/>
      <c r="N983" s="373"/>
      <c r="O983" s="373"/>
      <c r="P983" s="373"/>
      <c r="Q983" s="373"/>
    </row>
    <row r="984" spans="1:17" ht="14.4">
      <c r="A984" s="369"/>
      <c r="B984" s="373"/>
      <c r="C984" s="373"/>
      <c r="D984" s="373"/>
      <c r="E984" s="373"/>
      <c r="F984" s="373"/>
      <c r="G984" s="373"/>
      <c r="H984" s="373"/>
      <c r="I984" s="373"/>
      <c r="J984" s="373"/>
      <c r="K984" s="373"/>
      <c r="L984" s="373"/>
      <c r="M984" s="373"/>
      <c r="N984" s="373"/>
      <c r="O984" s="373"/>
      <c r="P984" s="373"/>
      <c r="Q984" s="373"/>
    </row>
    <row r="985" spans="1:17" ht="14.4">
      <c r="A985" s="369"/>
      <c r="B985" s="373"/>
      <c r="C985" s="373"/>
      <c r="D985" s="373"/>
      <c r="E985" s="373"/>
      <c r="F985" s="373"/>
      <c r="G985" s="373"/>
      <c r="H985" s="373"/>
      <c r="I985" s="373"/>
      <c r="J985" s="373"/>
      <c r="K985" s="373"/>
      <c r="L985" s="373"/>
      <c r="M985" s="373"/>
      <c r="N985" s="373"/>
      <c r="O985" s="373"/>
      <c r="P985" s="373"/>
      <c r="Q985" s="373"/>
    </row>
    <row r="986" spans="1:17" ht="14.4">
      <c r="A986" s="369"/>
      <c r="B986" s="373"/>
      <c r="C986" s="373"/>
      <c r="D986" s="373"/>
      <c r="E986" s="373"/>
      <c r="F986" s="373"/>
      <c r="G986" s="373"/>
      <c r="H986" s="373"/>
      <c r="I986" s="373"/>
      <c r="J986" s="373"/>
      <c r="K986" s="373"/>
      <c r="L986" s="373"/>
      <c r="M986" s="373"/>
      <c r="N986" s="373"/>
      <c r="O986" s="373"/>
      <c r="P986" s="373"/>
      <c r="Q986" s="373"/>
    </row>
    <row r="987" spans="1:17" ht="14.4">
      <c r="A987" s="369"/>
      <c r="B987" s="373"/>
      <c r="C987" s="373"/>
      <c r="D987" s="373"/>
      <c r="E987" s="373"/>
      <c r="F987" s="373"/>
      <c r="G987" s="373"/>
      <c r="H987" s="373"/>
      <c r="I987" s="373"/>
      <c r="J987" s="373"/>
      <c r="K987" s="373"/>
      <c r="L987" s="373"/>
      <c r="M987" s="373"/>
      <c r="N987" s="373"/>
      <c r="O987" s="373"/>
      <c r="P987" s="373"/>
      <c r="Q987" s="373"/>
    </row>
    <row r="988" spans="1:17" ht="14.4">
      <c r="A988" s="369"/>
      <c r="B988" s="373"/>
      <c r="C988" s="373"/>
      <c r="D988" s="373"/>
      <c r="E988" s="373"/>
      <c r="F988" s="373"/>
      <c r="G988" s="373"/>
      <c r="H988" s="373"/>
      <c r="I988" s="373"/>
      <c r="J988" s="373"/>
      <c r="K988" s="373"/>
      <c r="L988" s="373"/>
      <c r="M988" s="373"/>
      <c r="N988" s="373"/>
      <c r="O988" s="373"/>
      <c r="P988" s="373"/>
      <c r="Q988" s="373"/>
    </row>
    <row r="989" spans="1:17" ht="14.4">
      <c r="A989" s="369"/>
      <c r="B989" s="373"/>
      <c r="C989" s="373"/>
      <c r="D989" s="373"/>
      <c r="E989" s="373"/>
      <c r="F989" s="373"/>
      <c r="G989" s="373"/>
      <c r="H989" s="373"/>
      <c r="I989" s="373"/>
      <c r="J989" s="373"/>
      <c r="K989" s="373"/>
      <c r="L989" s="373"/>
      <c r="M989" s="373"/>
      <c r="N989" s="373"/>
      <c r="O989" s="373"/>
      <c r="P989" s="373"/>
      <c r="Q989" s="373"/>
    </row>
    <row r="990" spans="1:17" ht="14.4">
      <c r="A990" s="369"/>
      <c r="B990" s="373"/>
      <c r="C990" s="373"/>
      <c r="D990" s="373"/>
      <c r="E990" s="373"/>
      <c r="F990" s="373"/>
      <c r="G990" s="373"/>
      <c r="H990" s="373"/>
      <c r="I990" s="373"/>
      <c r="J990" s="373"/>
      <c r="K990" s="373"/>
      <c r="L990" s="373"/>
      <c r="M990" s="373"/>
      <c r="N990" s="373"/>
      <c r="O990" s="373"/>
      <c r="P990" s="373"/>
      <c r="Q990" s="373"/>
    </row>
    <row r="991" spans="1:17" ht="14.4">
      <c r="A991" s="369"/>
      <c r="B991" s="373"/>
      <c r="C991" s="373"/>
      <c r="D991" s="373"/>
      <c r="E991" s="373"/>
      <c r="F991" s="373"/>
      <c r="G991" s="373"/>
      <c r="H991" s="373"/>
      <c r="I991" s="373"/>
      <c r="J991" s="373"/>
      <c r="K991" s="373"/>
      <c r="L991" s="373"/>
      <c r="M991" s="373"/>
      <c r="N991" s="373"/>
      <c r="O991" s="373"/>
      <c r="P991" s="373"/>
      <c r="Q991" s="373"/>
    </row>
    <row r="992" spans="1:17" ht="14.4">
      <c r="A992" s="369"/>
      <c r="B992" s="373"/>
      <c r="C992" s="373"/>
      <c r="D992" s="373"/>
      <c r="E992" s="373"/>
      <c r="F992" s="373"/>
      <c r="G992" s="373"/>
      <c r="H992" s="373"/>
      <c r="I992" s="373"/>
      <c r="J992" s="373"/>
      <c r="K992" s="373"/>
      <c r="L992" s="373"/>
      <c r="M992" s="373"/>
      <c r="N992" s="373"/>
      <c r="O992" s="373"/>
      <c r="P992" s="373"/>
      <c r="Q992" s="373"/>
    </row>
    <row r="993" spans="1:17" ht="14.4">
      <c r="A993" s="369"/>
      <c r="B993" s="373"/>
      <c r="C993" s="373"/>
      <c r="D993" s="373"/>
      <c r="E993" s="373"/>
      <c r="F993" s="373"/>
      <c r="G993" s="373"/>
      <c r="H993" s="373"/>
      <c r="I993" s="373"/>
      <c r="J993" s="373"/>
      <c r="K993" s="373"/>
      <c r="L993" s="373"/>
      <c r="M993" s="373"/>
      <c r="N993" s="373"/>
      <c r="O993" s="373"/>
      <c r="P993" s="373"/>
      <c r="Q993" s="373"/>
    </row>
    <row r="994" spans="1:17" ht="14.4">
      <c r="A994" s="369"/>
      <c r="B994" s="373"/>
      <c r="C994" s="373"/>
      <c r="D994" s="373"/>
      <c r="E994" s="373"/>
      <c r="F994" s="373"/>
      <c r="G994" s="373"/>
      <c r="H994" s="373"/>
      <c r="I994" s="373"/>
      <c r="J994" s="373"/>
      <c r="K994" s="373"/>
      <c r="L994" s="373"/>
      <c r="M994" s="373"/>
      <c r="N994" s="373"/>
      <c r="O994" s="373"/>
      <c r="P994" s="373"/>
      <c r="Q994" s="373"/>
    </row>
    <row r="995" spans="1:17" ht="14.4">
      <c r="A995" s="369"/>
      <c r="B995" s="373"/>
      <c r="C995" s="373"/>
      <c r="D995" s="373"/>
      <c r="E995" s="373"/>
      <c r="F995" s="373"/>
      <c r="G995" s="373"/>
      <c r="H995" s="373"/>
      <c r="I995" s="373"/>
      <c r="J995" s="373"/>
      <c r="K995" s="373"/>
      <c r="L995" s="373"/>
      <c r="M995" s="373"/>
      <c r="N995" s="373"/>
      <c r="O995" s="373"/>
      <c r="P995" s="373"/>
      <c r="Q995" s="373"/>
    </row>
    <row r="996" spans="1:17" ht="14.4">
      <c r="A996" s="369"/>
      <c r="B996" s="373"/>
      <c r="C996" s="373"/>
      <c r="D996" s="373"/>
      <c r="E996" s="373"/>
      <c r="F996" s="373"/>
      <c r="G996" s="373"/>
      <c r="H996" s="373"/>
      <c r="I996" s="373"/>
      <c r="J996" s="373"/>
      <c r="K996" s="373"/>
      <c r="L996" s="373"/>
      <c r="M996" s="373"/>
      <c r="N996" s="373"/>
      <c r="O996" s="373"/>
      <c r="P996" s="373"/>
      <c r="Q996" s="373"/>
    </row>
    <row r="997" spans="1:17" ht="14.4">
      <c r="A997" s="369"/>
      <c r="B997" s="373"/>
      <c r="C997" s="373"/>
      <c r="D997" s="373"/>
      <c r="E997" s="373"/>
      <c r="F997" s="373"/>
      <c r="G997" s="373"/>
      <c r="H997" s="373"/>
      <c r="I997" s="373"/>
      <c r="J997" s="373"/>
      <c r="K997" s="373"/>
      <c r="L997" s="373"/>
      <c r="M997" s="373"/>
      <c r="N997" s="373"/>
      <c r="O997" s="373"/>
      <c r="P997" s="373"/>
      <c r="Q997" s="373"/>
    </row>
    <row r="998" spans="1:17" ht="14.4">
      <c r="A998" s="369"/>
      <c r="B998" s="373"/>
      <c r="C998" s="373"/>
      <c r="D998" s="373"/>
      <c r="E998" s="373"/>
      <c r="F998" s="373"/>
      <c r="G998" s="373"/>
      <c r="H998" s="373"/>
      <c r="I998" s="373"/>
      <c r="J998" s="373"/>
      <c r="K998" s="373"/>
      <c r="L998" s="373"/>
      <c r="M998" s="373"/>
      <c r="N998" s="373"/>
      <c r="O998" s="373"/>
      <c r="P998" s="373"/>
      <c r="Q998" s="373"/>
    </row>
    <row r="999" spans="1:17" ht="14.4">
      <c r="A999" s="369"/>
      <c r="B999" s="373"/>
      <c r="C999" s="373"/>
      <c r="D999" s="373"/>
      <c r="E999" s="373"/>
      <c r="F999" s="373"/>
      <c r="G999" s="373"/>
      <c r="H999" s="373"/>
      <c r="I999" s="373"/>
      <c r="J999" s="373"/>
      <c r="K999" s="373"/>
      <c r="L999" s="373"/>
      <c r="M999" s="373"/>
      <c r="N999" s="373"/>
      <c r="O999" s="373"/>
      <c r="P999" s="373"/>
      <c r="Q999" s="373"/>
    </row>
    <row r="1000" spans="1:17" ht="14.4">
      <c r="A1000" s="369"/>
      <c r="B1000" s="373"/>
      <c r="C1000" s="373"/>
      <c r="D1000" s="373"/>
      <c r="E1000" s="373"/>
      <c r="F1000" s="373"/>
      <c r="G1000" s="373"/>
      <c r="H1000" s="373"/>
      <c r="I1000" s="373"/>
      <c r="J1000" s="373"/>
      <c r="K1000" s="373"/>
      <c r="L1000" s="373"/>
      <c r="M1000" s="373"/>
      <c r="N1000" s="373"/>
      <c r="O1000" s="373"/>
      <c r="P1000" s="373"/>
      <c r="Q1000" s="373"/>
    </row>
    <row r="1001" spans="1:17" ht="14.4">
      <c r="A1001" s="369"/>
      <c r="B1001" s="373"/>
      <c r="C1001" s="373"/>
      <c r="D1001" s="373"/>
      <c r="E1001" s="373"/>
      <c r="F1001" s="373"/>
      <c r="G1001" s="373"/>
      <c r="H1001" s="373"/>
      <c r="I1001" s="373"/>
      <c r="J1001" s="373"/>
      <c r="K1001" s="373"/>
      <c r="L1001" s="373"/>
      <c r="M1001" s="373"/>
      <c r="N1001" s="373"/>
      <c r="O1001" s="373"/>
      <c r="P1001" s="373"/>
      <c r="Q1001" s="373"/>
    </row>
    <row r="1002" spans="1:17" ht="14.4">
      <c r="A1002" s="369"/>
      <c r="B1002" s="373"/>
      <c r="C1002" s="373"/>
      <c r="D1002" s="373"/>
      <c r="E1002" s="373"/>
      <c r="F1002" s="373"/>
      <c r="G1002" s="373"/>
      <c r="H1002" s="373"/>
      <c r="I1002" s="373"/>
      <c r="J1002" s="373"/>
      <c r="K1002" s="373"/>
      <c r="L1002" s="373"/>
      <c r="M1002" s="373"/>
      <c r="N1002" s="373"/>
      <c r="O1002" s="373"/>
      <c r="P1002" s="373"/>
      <c r="Q1002" s="373"/>
    </row>
    <row r="1003" spans="1:17" ht="14.4">
      <c r="A1003" s="369"/>
      <c r="B1003" s="373"/>
      <c r="C1003" s="373"/>
      <c r="D1003" s="373"/>
      <c r="E1003" s="373"/>
      <c r="F1003" s="373"/>
      <c r="G1003" s="373"/>
      <c r="H1003" s="373"/>
      <c r="I1003" s="373"/>
      <c r="J1003" s="373"/>
      <c r="K1003" s="373"/>
      <c r="L1003" s="373"/>
      <c r="M1003" s="373"/>
      <c r="N1003" s="373"/>
      <c r="O1003" s="373"/>
      <c r="P1003" s="373"/>
      <c r="Q1003" s="373"/>
    </row>
    <row r="1004" spans="1:17" ht="14.4">
      <c r="A1004" s="369"/>
      <c r="B1004" s="373"/>
      <c r="C1004" s="373"/>
      <c r="D1004" s="373"/>
      <c r="E1004" s="373"/>
      <c r="F1004" s="373"/>
      <c r="G1004" s="373"/>
      <c r="H1004" s="373"/>
      <c r="I1004" s="373"/>
      <c r="J1004" s="373"/>
      <c r="K1004" s="373"/>
      <c r="L1004" s="373"/>
      <c r="M1004" s="373"/>
      <c r="N1004" s="373"/>
      <c r="O1004" s="373"/>
      <c r="P1004" s="373"/>
      <c r="Q1004" s="373"/>
    </row>
    <row r="1005" spans="1:17" ht="14.4">
      <c r="A1005" s="369"/>
      <c r="B1005" s="373"/>
      <c r="C1005" s="373"/>
      <c r="D1005" s="373"/>
      <c r="E1005" s="373"/>
      <c r="F1005" s="373"/>
      <c r="G1005" s="373"/>
      <c r="H1005" s="373"/>
      <c r="I1005" s="373"/>
      <c r="J1005" s="373"/>
      <c r="K1005" s="373"/>
      <c r="L1005" s="373"/>
      <c r="M1005" s="373"/>
      <c r="N1005" s="373"/>
      <c r="O1005" s="373"/>
      <c r="P1005" s="373"/>
      <c r="Q1005" s="373"/>
    </row>
    <row r="1006" spans="1:17" ht="14.4">
      <c r="A1006" s="369"/>
      <c r="B1006" s="373"/>
      <c r="C1006" s="373"/>
      <c r="D1006" s="373"/>
      <c r="E1006" s="373"/>
      <c r="F1006" s="373"/>
      <c r="G1006" s="373"/>
      <c r="H1006" s="373"/>
      <c r="I1006" s="373"/>
      <c r="J1006" s="373"/>
      <c r="K1006" s="373"/>
      <c r="L1006" s="373"/>
      <c r="M1006" s="373"/>
      <c r="N1006" s="373"/>
      <c r="O1006" s="373"/>
      <c r="P1006" s="373"/>
      <c r="Q1006" s="373"/>
    </row>
    <row r="1007" spans="1:17" ht="14.4">
      <c r="A1007" s="369"/>
      <c r="B1007" s="373"/>
      <c r="C1007" s="373"/>
      <c r="D1007" s="373"/>
      <c r="E1007" s="373"/>
      <c r="F1007" s="373"/>
      <c r="G1007" s="373"/>
      <c r="H1007" s="373"/>
      <c r="I1007" s="373"/>
      <c r="J1007" s="373"/>
      <c r="K1007" s="373"/>
      <c r="L1007" s="373"/>
      <c r="M1007" s="373"/>
      <c r="N1007" s="373"/>
      <c r="O1007" s="373"/>
      <c r="P1007" s="373"/>
      <c r="Q1007" s="373"/>
    </row>
    <row r="1008" spans="1:17" ht="14.4">
      <c r="A1008" s="369"/>
      <c r="B1008" s="373"/>
      <c r="C1008" s="373"/>
      <c r="D1008" s="373"/>
      <c r="E1008" s="373"/>
      <c r="F1008" s="373"/>
      <c r="G1008" s="373"/>
      <c r="H1008" s="373"/>
      <c r="I1008" s="373"/>
      <c r="J1008" s="373"/>
      <c r="K1008" s="373"/>
      <c r="L1008" s="373"/>
      <c r="M1008" s="373"/>
      <c r="N1008" s="373"/>
      <c r="O1008" s="373"/>
      <c r="P1008" s="373"/>
      <c r="Q1008" s="373"/>
    </row>
    <row r="1009" spans="1:17" ht="14.4">
      <c r="A1009" s="369"/>
      <c r="B1009" s="373"/>
      <c r="C1009" s="373"/>
      <c r="D1009" s="373"/>
      <c r="E1009" s="373"/>
      <c r="F1009" s="373"/>
      <c r="G1009" s="373"/>
      <c r="H1009" s="373"/>
      <c r="I1009" s="373"/>
      <c r="J1009" s="373"/>
      <c r="K1009" s="373"/>
      <c r="L1009" s="373"/>
      <c r="M1009" s="373"/>
      <c r="N1009" s="373"/>
      <c r="O1009" s="373"/>
      <c r="P1009" s="373"/>
      <c r="Q1009" s="373"/>
    </row>
    <row r="1010" spans="1:17" ht="14.4">
      <c r="A1010" s="369"/>
      <c r="B1010" s="373"/>
      <c r="C1010" s="373"/>
      <c r="D1010" s="373"/>
      <c r="E1010" s="373"/>
      <c r="F1010" s="373"/>
      <c r="G1010" s="373"/>
      <c r="H1010" s="373"/>
      <c r="I1010" s="373"/>
      <c r="J1010" s="373"/>
      <c r="K1010" s="373"/>
      <c r="L1010" s="373"/>
      <c r="M1010" s="373"/>
      <c r="N1010" s="373"/>
      <c r="O1010" s="373"/>
      <c r="P1010" s="373"/>
      <c r="Q1010" s="373"/>
    </row>
    <row r="1011" spans="1:17" ht="14.4">
      <c r="A1011" s="369"/>
      <c r="B1011" s="373"/>
      <c r="C1011" s="373"/>
      <c r="D1011" s="373"/>
      <c r="E1011" s="373"/>
      <c r="F1011" s="373"/>
      <c r="G1011" s="373"/>
      <c r="H1011" s="373"/>
      <c r="I1011" s="373"/>
      <c r="J1011" s="373"/>
      <c r="K1011" s="373"/>
      <c r="L1011" s="373"/>
      <c r="M1011" s="373"/>
      <c r="N1011" s="373"/>
      <c r="O1011" s="373"/>
      <c r="P1011" s="373"/>
      <c r="Q1011" s="373"/>
    </row>
    <row r="1012" spans="1:17" ht="14.4">
      <c r="A1012" s="369"/>
      <c r="B1012" s="373"/>
      <c r="C1012" s="373"/>
      <c r="D1012" s="373"/>
      <c r="E1012" s="373"/>
      <c r="F1012" s="373"/>
      <c r="G1012" s="373"/>
      <c r="H1012" s="373"/>
      <c r="I1012" s="373"/>
      <c r="J1012" s="373"/>
      <c r="K1012" s="373"/>
      <c r="L1012" s="373"/>
      <c r="M1012" s="373"/>
      <c r="N1012" s="373"/>
      <c r="O1012" s="373"/>
      <c r="P1012" s="373"/>
      <c r="Q1012" s="373"/>
    </row>
    <row r="1013" spans="1:17" ht="14.4">
      <c r="A1013" s="369"/>
      <c r="B1013" s="373"/>
      <c r="C1013" s="373"/>
      <c r="D1013" s="373"/>
      <c r="E1013" s="373"/>
      <c r="F1013" s="373"/>
      <c r="G1013" s="373"/>
      <c r="H1013" s="373"/>
      <c r="I1013" s="373"/>
      <c r="J1013" s="373"/>
      <c r="K1013" s="373"/>
      <c r="L1013" s="373"/>
      <c r="M1013" s="373"/>
      <c r="N1013" s="373"/>
      <c r="O1013" s="373"/>
      <c r="P1013" s="373"/>
      <c r="Q1013" s="373"/>
    </row>
    <row r="1014" spans="1:17" ht="14.4">
      <c r="A1014" s="369"/>
      <c r="B1014" s="373"/>
      <c r="C1014" s="373"/>
      <c r="D1014" s="373"/>
      <c r="E1014" s="373"/>
      <c r="F1014" s="373"/>
      <c r="G1014" s="373"/>
      <c r="H1014" s="373"/>
      <c r="I1014" s="373"/>
      <c r="J1014" s="373"/>
      <c r="K1014" s="373"/>
      <c r="L1014" s="373"/>
      <c r="M1014" s="373"/>
      <c r="N1014" s="373"/>
      <c r="O1014" s="373"/>
      <c r="P1014" s="373"/>
      <c r="Q1014" s="373"/>
    </row>
    <row r="1015" spans="1:17" ht="14.4">
      <c r="A1015" s="369"/>
      <c r="B1015" s="373"/>
      <c r="C1015" s="373"/>
      <c r="D1015" s="373"/>
      <c r="E1015" s="373"/>
      <c r="F1015" s="373"/>
      <c r="G1015" s="373"/>
      <c r="H1015" s="373"/>
      <c r="I1015" s="373"/>
      <c r="J1015" s="373"/>
      <c r="K1015" s="373"/>
      <c r="L1015" s="373"/>
      <c r="M1015" s="373"/>
      <c r="N1015" s="373"/>
      <c r="O1015" s="373"/>
      <c r="P1015" s="373"/>
      <c r="Q1015" s="373"/>
    </row>
    <row r="1016" spans="1:17" ht="14.4">
      <c r="A1016" s="369"/>
      <c r="B1016" s="373"/>
      <c r="C1016" s="373"/>
      <c r="D1016" s="373"/>
      <c r="E1016" s="373"/>
      <c r="F1016" s="373"/>
      <c r="G1016" s="373"/>
      <c r="H1016" s="373"/>
      <c r="I1016" s="373"/>
      <c r="J1016" s="373"/>
      <c r="K1016" s="373"/>
      <c r="L1016" s="373"/>
      <c r="M1016" s="373"/>
      <c r="N1016" s="373"/>
      <c r="O1016" s="373"/>
      <c r="P1016" s="373"/>
      <c r="Q1016" s="373"/>
    </row>
    <row r="1017" spans="1:17" ht="14.4">
      <c r="A1017" s="369"/>
      <c r="B1017" s="373"/>
      <c r="C1017" s="373"/>
      <c r="D1017" s="373"/>
      <c r="E1017" s="373"/>
      <c r="F1017" s="373"/>
      <c r="G1017" s="373"/>
      <c r="H1017" s="373"/>
      <c r="I1017" s="373"/>
      <c r="J1017" s="373"/>
      <c r="K1017" s="373"/>
      <c r="L1017" s="373"/>
      <c r="M1017" s="373"/>
      <c r="N1017" s="373"/>
      <c r="O1017" s="373"/>
      <c r="P1017" s="373"/>
      <c r="Q1017" s="373"/>
    </row>
    <row r="1018" spans="1:17" ht="14.4">
      <c r="A1018" s="369"/>
      <c r="B1018" s="373"/>
      <c r="C1018" s="373"/>
      <c r="D1018" s="373"/>
      <c r="E1018" s="373"/>
      <c r="F1018" s="373"/>
      <c r="G1018" s="373"/>
      <c r="H1018" s="373"/>
      <c r="I1018" s="373"/>
      <c r="J1018" s="373"/>
      <c r="K1018" s="373"/>
      <c r="L1018" s="373"/>
      <c r="M1018" s="373"/>
      <c r="N1018" s="373"/>
      <c r="O1018" s="373"/>
      <c r="P1018" s="373"/>
      <c r="Q1018" s="373"/>
    </row>
    <row r="1019" spans="1:17" ht="14.4">
      <c r="A1019" s="369"/>
      <c r="B1019" s="373"/>
      <c r="C1019" s="373"/>
      <c r="D1019" s="373"/>
      <c r="E1019" s="373"/>
      <c r="F1019" s="373"/>
      <c r="G1019" s="373"/>
      <c r="H1019" s="373"/>
      <c r="I1019" s="373"/>
      <c r="J1019" s="373"/>
      <c r="K1019" s="373"/>
      <c r="L1019" s="373"/>
      <c r="M1019" s="373"/>
      <c r="N1019" s="373"/>
      <c r="O1019" s="373"/>
      <c r="P1019" s="373"/>
      <c r="Q1019" s="373"/>
    </row>
    <row r="1020" spans="1:17" ht="14.4">
      <c r="A1020" s="369"/>
      <c r="B1020" s="373"/>
      <c r="C1020" s="373"/>
      <c r="D1020" s="373"/>
      <c r="E1020" s="373"/>
      <c r="F1020" s="373"/>
      <c r="G1020" s="373"/>
      <c r="H1020" s="373"/>
      <c r="I1020" s="373"/>
      <c r="J1020" s="373"/>
      <c r="K1020" s="373"/>
      <c r="L1020" s="373"/>
      <c r="M1020" s="373"/>
      <c r="N1020" s="373"/>
      <c r="O1020" s="373"/>
      <c r="P1020" s="373"/>
      <c r="Q1020" s="373"/>
    </row>
    <row r="1021" spans="1:17" ht="14.4">
      <c r="A1021" s="369"/>
      <c r="B1021" s="373"/>
      <c r="C1021" s="373"/>
      <c r="D1021" s="373"/>
      <c r="E1021" s="373"/>
      <c r="F1021" s="373"/>
      <c r="G1021" s="373"/>
      <c r="H1021" s="373"/>
      <c r="I1021" s="373"/>
      <c r="J1021" s="373"/>
      <c r="K1021" s="373"/>
      <c r="L1021" s="373"/>
      <c r="M1021" s="373"/>
      <c r="N1021" s="373"/>
      <c r="O1021" s="373"/>
      <c r="P1021" s="373"/>
      <c r="Q1021" s="373"/>
    </row>
    <row r="1022" spans="1:17" ht="14.4">
      <c r="A1022" s="369"/>
      <c r="B1022" s="373"/>
      <c r="C1022" s="373"/>
      <c r="D1022" s="373"/>
      <c r="E1022" s="373"/>
      <c r="F1022" s="373"/>
      <c r="G1022" s="373"/>
      <c r="H1022" s="373"/>
      <c r="I1022" s="373"/>
      <c r="J1022" s="373"/>
      <c r="K1022" s="373"/>
      <c r="L1022" s="373"/>
      <c r="M1022" s="373"/>
      <c r="N1022" s="373"/>
      <c r="O1022" s="373"/>
      <c r="P1022" s="373"/>
      <c r="Q1022" s="373"/>
    </row>
    <row r="1023" spans="1:17" ht="14.4">
      <c r="A1023" s="369"/>
      <c r="B1023" s="373"/>
      <c r="C1023" s="373"/>
      <c r="D1023" s="373"/>
      <c r="E1023" s="373"/>
      <c r="F1023" s="373"/>
      <c r="G1023" s="373"/>
      <c r="H1023" s="373"/>
      <c r="I1023" s="373"/>
      <c r="J1023" s="373"/>
      <c r="K1023" s="373"/>
      <c r="L1023" s="373"/>
      <c r="M1023" s="373"/>
      <c r="N1023" s="373"/>
      <c r="O1023" s="373"/>
      <c r="P1023" s="373"/>
      <c r="Q1023" s="373"/>
    </row>
    <row r="1024" spans="1:17" ht="14.4">
      <c r="A1024" s="369"/>
      <c r="B1024" s="373"/>
      <c r="C1024" s="373"/>
      <c r="D1024" s="373"/>
      <c r="E1024" s="373"/>
      <c r="F1024" s="373"/>
      <c r="G1024" s="373"/>
      <c r="H1024" s="373"/>
      <c r="I1024" s="373"/>
      <c r="J1024" s="373"/>
      <c r="K1024" s="373"/>
      <c r="L1024" s="373"/>
      <c r="M1024" s="373"/>
      <c r="N1024" s="373"/>
      <c r="O1024" s="373"/>
      <c r="P1024" s="373"/>
      <c r="Q1024" s="373"/>
    </row>
    <row r="1025" spans="1:17" ht="14.4">
      <c r="A1025" s="369"/>
      <c r="B1025" s="373"/>
      <c r="C1025" s="373"/>
      <c r="D1025" s="373"/>
      <c r="E1025" s="373"/>
      <c r="F1025" s="373"/>
      <c r="G1025" s="373"/>
      <c r="H1025" s="373"/>
      <c r="I1025" s="373"/>
      <c r="J1025" s="373"/>
      <c r="K1025" s="373"/>
      <c r="L1025" s="373"/>
      <c r="M1025" s="373"/>
      <c r="N1025" s="373"/>
      <c r="O1025" s="373"/>
      <c r="P1025" s="373"/>
      <c r="Q1025" s="373"/>
    </row>
    <row r="1026" spans="1:17" ht="14.4">
      <c r="A1026" s="369"/>
      <c r="B1026" s="373"/>
      <c r="C1026" s="373"/>
      <c r="D1026" s="373"/>
      <c r="E1026" s="373"/>
      <c r="F1026" s="373"/>
      <c r="G1026" s="373"/>
      <c r="H1026" s="373"/>
      <c r="I1026" s="373"/>
      <c r="J1026" s="373"/>
      <c r="K1026" s="373"/>
      <c r="L1026" s="373"/>
      <c r="M1026" s="373"/>
      <c r="N1026" s="373"/>
      <c r="O1026" s="373"/>
      <c r="P1026" s="373"/>
      <c r="Q1026" s="373"/>
    </row>
    <row r="1027" spans="1:17" ht="14.4">
      <c r="A1027" s="369"/>
      <c r="B1027" s="373"/>
      <c r="C1027" s="373"/>
      <c r="D1027" s="373"/>
      <c r="E1027" s="373"/>
      <c r="F1027" s="373"/>
      <c r="G1027" s="373"/>
      <c r="H1027" s="373"/>
      <c r="I1027" s="373"/>
      <c r="J1027" s="373"/>
      <c r="K1027" s="373"/>
      <c r="L1027" s="373"/>
      <c r="M1027" s="373"/>
      <c r="N1027" s="373"/>
      <c r="O1027" s="373"/>
      <c r="P1027" s="373"/>
      <c r="Q1027" s="373"/>
    </row>
    <row r="1028" spans="1:17" ht="14.4">
      <c r="A1028" s="369"/>
      <c r="B1028" s="373"/>
      <c r="C1028" s="373"/>
      <c r="D1028" s="373"/>
      <c r="E1028" s="373"/>
      <c r="F1028" s="373"/>
      <c r="G1028" s="373"/>
      <c r="H1028" s="373"/>
      <c r="I1028" s="373"/>
      <c r="J1028" s="373"/>
      <c r="K1028" s="373"/>
      <c r="L1028" s="373"/>
      <c r="M1028" s="373"/>
      <c r="N1028" s="373"/>
      <c r="O1028" s="373"/>
      <c r="P1028" s="373"/>
      <c r="Q1028" s="373"/>
    </row>
    <row r="1029" spans="1:17" ht="14.4">
      <c r="A1029" s="369"/>
      <c r="B1029" s="373"/>
      <c r="C1029" s="373"/>
      <c r="D1029" s="373"/>
      <c r="E1029" s="373"/>
      <c r="F1029" s="373"/>
      <c r="G1029" s="373"/>
      <c r="H1029" s="373"/>
      <c r="I1029" s="373"/>
      <c r="J1029" s="373"/>
      <c r="K1029" s="373"/>
      <c r="L1029" s="373"/>
      <c r="M1029" s="373"/>
      <c r="N1029" s="373"/>
      <c r="O1029" s="373"/>
      <c r="P1029" s="373"/>
      <c r="Q1029" s="373"/>
    </row>
    <row r="1030" spans="1:17" ht="14.4">
      <c r="A1030" s="369"/>
      <c r="B1030" s="373"/>
      <c r="C1030" s="373"/>
      <c r="D1030" s="373"/>
      <c r="E1030" s="373"/>
      <c r="F1030" s="373"/>
      <c r="G1030" s="373"/>
      <c r="H1030" s="373"/>
      <c r="I1030" s="373"/>
      <c r="J1030" s="373"/>
      <c r="K1030" s="373"/>
      <c r="L1030" s="373"/>
      <c r="M1030" s="373"/>
      <c r="N1030" s="373"/>
      <c r="O1030" s="373"/>
      <c r="P1030" s="373"/>
      <c r="Q1030" s="373"/>
    </row>
    <row r="1031" spans="1:17" ht="14.4">
      <c r="A1031" s="369"/>
      <c r="B1031" s="373"/>
      <c r="C1031" s="373"/>
      <c r="D1031" s="373"/>
      <c r="E1031" s="373"/>
      <c r="F1031" s="373"/>
      <c r="G1031" s="373"/>
      <c r="H1031" s="373"/>
      <c r="I1031" s="373"/>
      <c r="J1031" s="373"/>
      <c r="K1031" s="373"/>
      <c r="L1031" s="373"/>
      <c r="M1031" s="373"/>
      <c r="N1031" s="373"/>
      <c r="O1031" s="373"/>
      <c r="P1031" s="373"/>
      <c r="Q1031" s="373"/>
    </row>
    <row r="1032" spans="1:17" ht="14.4">
      <c r="A1032" s="369"/>
      <c r="B1032" s="373"/>
      <c r="C1032" s="373"/>
      <c r="D1032" s="373"/>
      <c r="E1032" s="373"/>
      <c r="F1032" s="373"/>
      <c r="G1032" s="373"/>
      <c r="H1032" s="373"/>
      <c r="I1032" s="373"/>
      <c r="J1032" s="373"/>
      <c r="K1032" s="373"/>
      <c r="L1032" s="373"/>
      <c r="M1032" s="373"/>
      <c r="N1032" s="373"/>
      <c r="O1032" s="373"/>
      <c r="P1032" s="373"/>
      <c r="Q1032" s="373"/>
    </row>
    <row r="1033" spans="1:17" ht="14.4">
      <c r="A1033" s="369"/>
      <c r="B1033" s="373"/>
      <c r="C1033" s="373"/>
      <c r="D1033" s="373"/>
      <c r="E1033" s="373"/>
      <c r="F1033" s="373"/>
      <c r="G1033" s="373"/>
      <c r="H1033" s="373"/>
      <c r="I1033" s="373"/>
      <c r="J1033" s="373"/>
      <c r="K1033" s="373"/>
      <c r="L1033" s="373"/>
      <c r="M1033" s="373"/>
      <c r="N1033" s="373"/>
      <c r="O1033" s="373"/>
      <c r="P1033" s="373"/>
      <c r="Q1033" s="373"/>
    </row>
    <row r="1034" spans="1:17" ht="14.4">
      <c r="A1034" s="369"/>
      <c r="B1034" s="373"/>
      <c r="C1034" s="373"/>
      <c r="D1034" s="373"/>
      <c r="E1034" s="373"/>
      <c r="F1034" s="373"/>
      <c r="G1034" s="373"/>
      <c r="H1034" s="373"/>
      <c r="I1034" s="373"/>
      <c r="J1034" s="373"/>
      <c r="K1034" s="373"/>
      <c r="L1034" s="373"/>
      <c r="M1034" s="373"/>
      <c r="N1034" s="373"/>
      <c r="O1034" s="373"/>
      <c r="P1034" s="373"/>
      <c r="Q1034" s="373"/>
    </row>
    <row r="1035" spans="1:17" ht="14.4">
      <c r="A1035" s="369"/>
      <c r="B1035" s="373"/>
      <c r="C1035" s="373"/>
      <c r="D1035" s="373"/>
      <c r="E1035" s="373"/>
      <c r="F1035" s="373"/>
      <c r="G1035" s="373"/>
      <c r="H1035" s="373"/>
      <c r="I1035" s="373"/>
      <c r="J1035" s="373"/>
      <c r="K1035" s="373"/>
      <c r="L1035" s="373"/>
      <c r="M1035" s="373"/>
      <c r="N1035" s="373"/>
      <c r="O1035" s="373"/>
      <c r="P1035" s="373"/>
      <c r="Q1035" s="373"/>
    </row>
    <row r="1036" spans="1:17" ht="14.4">
      <c r="A1036" s="369"/>
      <c r="B1036" s="373"/>
      <c r="C1036" s="373"/>
      <c r="D1036" s="373"/>
      <c r="E1036" s="373"/>
      <c r="F1036" s="373"/>
      <c r="G1036" s="373"/>
      <c r="H1036" s="373"/>
      <c r="I1036" s="373"/>
      <c r="J1036" s="373"/>
      <c r="K1036" s="373"/>
      <c r="L1036" s="373"/>
      <c r="M1036" s="373"/>
      <c r="N1036" s="373"/>
      <c r="O1036" s="373"/>
      <c r="P1036" s="373"/>
      <c r="Q1036" s="373"/>
    </row>
    <row r="1037" spans="1:17" ht="14.4">
      <c r="A1037" s="369"/>
      <c r="B1037" s="373"/>
      <c r="C1037" s="373"/>
      <c r="D1037" s="373"/>
      <c r="E1037" s="373"/>
      <c r="F1037" s="373"/>
      <c r="G1037" s="373"/>
      <c r="H1037" s="373"/>
      <c r="I1037" s="373"/>
      <c r="J1037" s="373"/>
      <c r="K1037" s="373"/>
      <c r="L1037" s="373"/>
      <c r="M1037" s="373"/>
      <c r="N1037" s="373"/>
      <c r="O1037" s="373"/>
      <c r="P1037" s="373"/>
      <c r="Q1037" s="373"/>
    </row>
    <row r="1038" spans="1:17" ht="14.4">
      <c r="A1038" s="369"/>
      <c r="B1038" s="373"/>
      <c r="C1038" s="373"/>
      <c r="D1038" s="373"/>
      <c r="E1038" s="373"/>
      <c r="F1038" s="373"/>
      <c r="G1038" s="373"/>
      <c r="H1038" s="373"/>
      <c r="I1038" s="373"/>
      <c r="J1038" s="373"/>
      <c r="K1038" s="373"/>
      <c r="L1038" s="373"/>
      <c r="M1038" s="373"/>
      <c r="N1038" s="373"/>
      <c r="O1038" s="373"/>
      <c r="P1038" s="373"/>
      <c r="Q1038" s="373"/>
    </row>
    <row r="1039" spans="1:17" ht="14.4">
      <c r="A1039" s="369"/>
      <c r="B1039" s="373"/>
      <c r="C1039" s="373"/>
      <c r="D1039" s="373"/>
      <c r="E1039" s="373"/>
      <c r="F1039" s="373"/>
      <c r="G1039" s="373"/>
      <c r="H1039" s="373"/>
      <c r="I1039" s="373"/>
      <c r="J1039" s="373"/>
      <c r="K1039" s="373"/>
      <c r="L1039" s="373"/>
      <c r="M1039" s="373"/>
      <c r="N1039" s="373"/>
      <c r="O1039" s="373"/>
      <c r="P1039" s="373"/>
      <c r="Q1039" s="373"/>
    </row>
    <row r="1040" spans="1:17" ht="14.4">
      <c r="A1040" s="369"/>
      <c r="B1040" s="373"/>
      <c r="C1040" s="373"/>
      <c r="D1040" s="373"/>
      <c r="E1040" s="373"/>
      <c r="F1040" s="373"/>
      <c r="G1040" s="373"/>
      <c r="H1040" s="373"/>
      <c r="I1040" s="373"/>
      <c r="J1040" s="373"/>
      <c r="K1040" s="373"/>
      <c r="L1040" s="373"/>
      <c r="M1040" s="373"/>
      <c r="N1040" s="373"/>
      <c r="O1040" s="373"/>
      <c r="P1040" s="373"/>
      <c r="Q1040" s="373"/>
    </row>
    <row r="1041" spans="1:17" ht="14.4">
      <c r="A1041" s="369"/>
      <c r="B1041" s="373"/>
      <c r="C1041" s="373"/>
      <c r="D1041" s="373"/>
      <c r="E1041" s="373"/>
      <c r="F1041" s="373"/>
      <c r="G1041" s="373"/>
      <c r="H1041" s="373"/>
      <c r="I1041" s="373"/>
      <c r="J1041" s="373"/>
      <c r="K1041" s="373"/>
      <c r="L1041" s="373"/>
      <c r="M1041" s="373"/>
      <c r="N1041" s="373"/>
      <c r="O1041" s="373"/>
      <c r="P1041" s="373"/>
      <c r="Q1041" s="373"/>
    </row>
    <row r="1042" spans="1:17" ht="14.4">
      <c r="A1042" s="369"/>
      <c r="B1042" s="373"/>
      <c r="C1042" s="373"/>
      <c r="D1042" s="373"/>
      <c r="E1042" s="373"/>
      <c r="F1042" s="373"/>
      <c r="G1042" s="373"/>
      <c r="H1042" s="373"/>
      <c r="I1042" s="373"/>
      <c r="J1042" s="373"/>
      <c r="K1042" s="373"/>
      <c r="L1042" s="373"/>
      <c r="M1042" s="373"/>
      <c r="N1042" s="373"/>
      <c r="O1042" s="373"/>
      <c r="P1042" s="373"/>
      <c r="Q1042" s="373"/>
    </row>
    <row r="1043" spans="1:17" ht="14.4">
      <c r="A1043" s="369"/>
      <c r="B1043" s="373"/>
      <c r="C1043" s="373"/>
      <c r="D1043" s="373"/>
      <c r="E1043" s="373"/>
      <c r="F1043" s="373"/>
      <c r="G1043" s="373"/>
      <c r="H1043" s="373"/>
      <c r="I1043" s="373"/>
      <c r="J1043" s="373"/>
      <c r="K1043" s="373"/>
      <c r="L1043" s="373"/>
      <c r="M1043" s="373"/>
      <c r="N1043" s="373"/>
      <c r="O1043" s="373"/>
      <c r="P1043" s="373"/>
      <c r="Q1043" s="373"/>
    </row>
    <row r="1044" spans="1:17" ht="14.4">
      <c r="A1044" s="369"/>
      <c r="B1044" s="373"/>
      <c r="C1044" s="373"/>
      <c r="D1044" s="373"/>
      <c r="E1044" s="373"/>
      <c r="F1044" s="373"/>
      <c r="G1044" s="373"/>
      <c r="H1044" s="373"/>
      <c r="I1044" s="373"/>
      <c r="J1044" s="373"/>
      <c r="K1044" s="373"/>
      <c r="L1044" s="373"/>
      <c r="M1044" s="373"/>
      <c r="N1044" s="373"/>
      <c r="O1044" s="373"/>
      <c r="P1044" s="373"/>
      <c r="Q1044" s="373"/>
    </row>
    <row r="1045" spans="1:17" ht="14.4">
      <c r="A1045" s="369"/>
      <c r="B1045" s="373"/>
      <c r="C1045" s="373"/>
      <c r="D1045" s="373"/>
      <c r="E1045" s="373"/>
      <c r="F1045" s="373"/>
      <c r="G1045" s="373"/>
      <c r="H1045" s="373"/>
      <c r="I1045" s="373"/>
      <c r="J1045" s="373"/>
      <c r="K1045" s="373"/>
      <c r="L1045" s="373"/>
      <c r="M1045" s="373"/>
      <c r="N1045" s="373"/>
      <c r="O1045" s="373"/>
      <c r="P1045" s="373"/>
      <c r="Q1045" s="373"/>
    </row>
    <row r="1046" spans="1:17" ht="14.4">
      <c r="A1046" s="369"/>
      <c r="B1046" s="373"/>
      <c r="C1046" s="373"/>
      <c r="D1046" s="373"/>
      <c r="E1046" s="373"/>
      <c r="F1046" s="373"/>
      <c r="G1046" s="373"/>
      <c r="H1046" s="373"/>
      <c r="I1046" s="373"/>
      <c r="J1046" s="373"/>
      <c r="K1046" s="373"/>
      <c r="L1046" s="373"/>
      <c r="M1046" s="373"/>
      <c r="N1046" s="373"/>
      <c r="O1046" s="373"/>
      <c r="P1046" s="373"/>
      <c r="Q1046" s="373"/>
    </row>
    <row r="1047" spans="1:17" ht="14.4">
      <c r="A1047" s="369"/>
      <c r="B1047" s="373"/>
      <c r="C1047" s="373"/>
      <c r="D1047" s="373"/>
      <c r="E1047" s="373"/>
      <c r="F1047" s="373"/>
      <c r="G1047" s="373"/>
      <c r="H1047" s="373"/>
      <c r="I1047" s="373"/>
      <c r="J1047" s="373"/>
      <c r="K1047" s="373"/>
      <c r="L1047" s="373"/>
      <c r="M1047" s="373"/>
      <c r="N1047" s="373"/>
      <c r="O1047" s="373"/>
      <c r="P1047" s="373"/>
      <c r="Q1047" s="373"/>
    </row>
    <row r="1048" spans="1:17" ht="14.4">
      <c r="A1048" s="369"/>
      <c r="B1048" s="373"/>
      <c r="C1048" s="373"/>
      <c r="D1048" s="373"/>
      <c r="E1048" s="373"/>
      <c r="F1048" s="373"/>
      <c r="G1048" s="373"/>
      <c r="H1048" s="373"/>
      <c r="I1048" s="373"/>
      <c r="J1048" s="373"/>
      <c r="K1048" s="373"/>
      <c r="L1048" s="373"/>
      <c r="M1048" s="373"/>
      <c r="N1048" s="373"/>
      <c r="O1048" s="373"/>
      <c r="P1048" s="373"/>
      <c r="Q1048" s="373"/>
    </row>
    <row r="1049" spans="1:17" ht="14.4">
      <c r="A1049" s="369"/>
      <c r="B1049" s="373"/>
      <c r="C1049" s="373"/>
      <c r="D1049" s="373"/>
      <c r="E1049" s="373"/>
      <c r="F1049" s="373"/>
      <c r="G1049" s="373"/>
      <c r="H1049" s="373"/>
      <c r="I1049" s="373"/>
      <c r="J1049" s="373"/>
      <c r="K1049" s="373"/>
      <c r="L1049" s="373"/>
      <c r="M1049" s="373"/>
      <c r="N1049" s="373"/>
      <c r="O1049" s="373"/>
      <c r="P1049" s="373"/>
      <c r="Q1049" s="373"/>
    </row>
    <row r="1050" spans="1:17" ht="14.4">
      <c r="A1050" s="369"/>
      <c r="B1050" s="373"/>
      <c r="C1050" s="373"/>
      <c r="D1050" s="373"/>
      <c r="E1050" s="373"/>
      <c r="F1050" s="373"/>
      <c r="G1050" s="373"/>
      <c r="H1050" s="373"/>
      <c r="I1050" s="373"/>
      <c r="J1050" s="373"/>
      <c r="K1050" s="373"/>
      <c r="L1050" s="373"/>
      <c r="M1050" s="373"/>
      <c r="N1050" s="373"/>
      <c r="O1050" s="373"/>
      <c r="P1050" s="373"/>
      <c r="Q1050" s="373"/>
    </row>
    <row r="1051" spans="1:17" ht="14.4">
      <c r="A1051" s="369"/>
      <c r="B1051" s="373"/>
      <c r="C1051" s="373"/>
      <c r="D1051" s="373"/>
      <c r="E1051" s="373"/>
      <c r="F1051" s="373"/>
      <c r="G1051" s="373"/>
      <c r="H1051" s="373"/>
      <c r="I1051" s="373"/>
      <c r="J1051" s="373"/>
      <c r="K1051" s="373"/>
      <c r="L1051" s="373"/>
      <c r="M1051" s="373"/>
      <c r="N1051" s="373"/>
      <c r="O1051" s="373"/>
      <c r="P1051" s="373"/>
      <c r="Q1051" s="373"/>
    </row>
    <row r="1052" spans="1:17" ht="14.4">
      <c r="A1052" s="369"/>
      <c r="B1052" s="373"/>
      <c r="C1052" s="373"/>
      <c r="D1052" s="373"/>
      <c r="E1052" s="373"/>
      <c r="F1052" s="373"/>
      <c r="G1052" s="373"/>
      <c r="H1052" s="373"/>
      <c r="I1052" s="373"/>
      <c r="J1052" s="373"/>
      <c r="K1052" s="373"/>
      <c r="L1052" s="373"/>
      <c r="M1052" s="373"/>
      <c r="N1052" s="373"/>
      <c r="O1052" s="373"/>
      <c r="P1052" s="373"/>
      <c r="Q1052" s="373"/>
    </row>
    <row r="1053" spans="1:17" ht="14.4">
      <c r="A1053" s="369"/>
      <c r="B1053" s="373"/>
      <c r="C1053" s="373"/>
      <c r="D1053" s="373"/>
      <c r="E1053" s="373"/>
      <c r="F1053" s="373"/>
      <c r="G1053" s="373"/>
      <c r="H1053" s="373"/>
      <c r="I1053" s="373"/>
      <c r="J1053" s="373"/>
      <c r="K1053" s="373"/>
      <c r="L1053" s="373"/>
      <c r="M1053" s="373"/>
      <c r="N1053" s="373"/>
      <c r="O1053" s="373"/>
      <c r="P1053" s="373"/>
      <c r="Q1053" s="373"/>
    </row>
    <row r="1054" spans="1:17" ht="14.4">
      <c r="A1054" s="369"/>
      <c r="B1054" s="373"/>
      <c r="C1054" s="373"/>
      <c r="D1054" s="373"/>
      <c r="E1054" s="373"/>
      <c r="F1054" s="373"/>
      <c r="G1054" s="373"/>
      <c r="H1054" s="373"/>
      <c r="I1054" s="373"/>
      <c r="J1054" s="373"/>
      <c r="K1054" s="373"/>
      <c r="L1054" s="373"/>
      <c r="M1054" s="373"/>
      <c r="N1054" s="373"/>
      <c r="O1054" s="373"/>
      <c r="P1054" s="373"/>
      <c r="Q1054" s="373"/>
    </row>
    <row r="1055" spans="1:17" ht="14.4">
      <c r="A1055" s="369"/>
      <c r="B1055" s="373"/>
      <c r="C1055" s="373"/>
      <c r="D1055" s="373"/>
      <c r="E1055" s="373"/>
      <c r="F1055" s="373"/>
      <c r="G1055" s="373"/>
      <c r="H1055" s="373"/>
      <c r="I1055" s="373"/>
      <c r="J1055" s="373"/>
      <c r="K1055" s="373"/>
      <c r="L1055" s="373"/>
      <c r="M1055" s="373"/>
      <c r="N1055" s="373"/>
      <c r="O1055" s="373"/>
      <c r="P1055" s="373"/>
      <c r="Q1055" s="373"/>
    </row>
    <row r="1056" spans="1:17" ht="14.4">
      <c r="A1056" s="369"/>
      <c r="B1056" s="373"/>
      <c r="C1056" s="373"/>
      <c r="D1056" s="373"/>
      <c r="E1056" s="373"/>
      <c r="F1056" s="373"/>
      <c r="G1056" s="373"/>
      <c r="H1056" s="373"/>
      <c r="I1056" s="373"/>
      <c r="J1056" s="373"/>
      <c r="K1056" s="373"/>
      <c r="L1056" s="373"/>
      <c r="M1056" s="373"/>
      <c r="N1056" s="373"/>
      <c r="O1056" s="373"/>
      <c r="P1056" s="373"/>
      <c r="Q1056" s="373"/>
    </row>
    <row r="1057" spans="1:17" ht="14.4">
      <c r="A1057" s="369"/>
      <c r="B1057" s="373"/>
      <c r="C1057" s="373"/>
      <c r="D1057" s="373"/>
      <c r="E1057" s="373"/>
      <c r="F1057" s="373"/>
      <c r="G1057" s="373"/>
      <c r="H1057" s="373"/>
      <c r="I1057" s="373"/>
      <c r="J1057" s="373"/>
      <c r="K1057" s="373"/>
      <c r="L1057" s="373"/>
      <c r="M1057" s="373"/>
      <c r="N1057" s="373"/>
      <c r="O1057" s="373"/>
      <c r="P1057" s="373"/>
      <c r="Q1057" s="373"/>
    </row>
    <row r="1058" spans="1:17" ht="14.4">
      <c r="A1058" s="369"/>
      <c r="B1058" s="373"/>
      <c r="C1058" s="373"/>
      <c r="D1058" s="373"/>
      <c r="E1058" s="373"/>
      <c r="F1058" s="373"/>
      <c r="G1058" s="373"/>
      <c r="H1058" s="373"/>
      <c r="I1058" s="373"/>
      <c r="J1058" s="373"/>
      <c r="K1058" s="373"/>
      <c r="L1058" s="373"/>
      <c r="M1058" s="373"/>
      <c r="N1058" s="373"/>
      <c r="O1058" s="373"/>
      <c r="P1058" s="373"/>
      <c r="Q1058" s="373"/>
    </row>
    <row r="1059" spans="1:17" ht="14.4">
      <c r="A1059" s="369"/>
      <c r="B1059" s="373"/>
      <c r="C1059" s="373"/>
      <c r="D1059" s="373"/>
      <c r="E1059" s="373"/>
      <c r="F1059" s="373"/>
      <c r="G1059" s="373"/>
      <c r="H1059" s="373"/>
      <c r="I1059" s="373"/>
      <c r="J1059" s="373"/>
      <c r="K1059" s="373"/>
      <c r="L1059" s="373"/>
      <c r="M1059" s="373"/>
      <c r="N1059" s="373"/>
      <c r="O1059" s="373"/>
      <c r="P1059" s="373"/>
      <c r="Q1059" s="373"/>
    </row>
    <row r="1060" spans="1:17" ht="14.4">
      <c r="A1060" s="369"/>
      <c r="B1060" s="373"/>
      <c r="C1060" s="373"/>
      <c r="D1060" s="373"/>
      <c r="E1060" s="373"/>
      <c r="F1060" s="373"/>
      <c r="G1060" s="373"/>
      <c r="H1060" s="373"/>
      <c r="I1060" s="373"/>
      <c r="J1060" s="373"/>
      <c r="K1060" s="373"/>
      <c r="L1060" s="373"/>
      <c r="M1060" s="373"/>
      <c r="N1060" s="373"/>
      <c r="O1060" s="373"/>
      <c r="P1060" s="373"/>
      <c r="Q1060" s="373"/>
    </row>
    <row r="1061" spans="1:17" ht="14.4">
      <c r="A1061" s="369"/>
      <c r="B1061" s="373"/>
      <c r="C1061" s="373"/>
      <c r="D1061" s="373"/>
      <c r="E1061" s="373"/>
      <c r="F1061" s="373"/>
      <c r="G1061" s="373"/>
      <c r="H1061" s="373"/>
      <c r="I1061" s="373"/>
      <c r="J1061" s="373"/>
      <c r="K1061" s="373"/>
      <c r="L1061" s="373"/>
      <c r="M1061" s="373"/>
      <c r="N1061" s="373"/>
      <c r="O1061" s="373"/>
      <c r="P1061" s="373"/>
      <c r="Q1061" s="373"/>
    </row>
    <row r="1062" spans="1:17" ht="14.4">
      <c r="A1062" s="369"/>
      <c r="B1062" s="373"/>
      <c r="C1062" s="373"/>
      <c r="D1062" s="373"/>
      <c r="E1062" s="373"/>
      <c r="F1062" s="373"/>
      <c r="G1062" s="373"/>
      <c r="H1062" s="373"/>
      <c r="I1062" s="373"/>
      <c r="J1062" s="373"/>
      <c r="K1062" s="373"/>
      <c r="L1062" s="373"/>
      <c r="M1062" s="373"/>
      <c r="N1062" s="373"/>
      <c r="O1062" s="373"/>
      <c r="P1062" s="373"/>
      <c r="Q1062" s="373"/>
    </row>
    <row r="1063" spans="1:17" ht="14.4">
      <c r="A1063" s="369"/>
      <c r="B1063" s="373"/>
      <c r="C1063" s="373"/>
      <c r="D1063" s="373"/>
      <c r="E1063" s="373"/>
      <c r="F1063" s="373"/>
      <c r="G1063" s="373"/>
      <c r="H1063" s="373"/>
      <c r="I1063" s="373"/>
      <c r="J1063" s="373"/>
      <c r="K1063" s="373"/>
      <c r="L1063" s="373"/>
      <c r="M1063" s="373"/>
      <c r="N1063" s="373"/>
      <c r="O1063" s="373"/>
      <c r="P1063" s="373"/>
      <c r="Q1063" s="373"/>
    </row>
    <row r="1064" spans="1:17" ht="14.4">
      <c r="A1064" s="369"/>
      <c r="B1064" s="373"/>
      <c r="C1064" s="373"/>
      <c r="D1064" s="373"/>
      <c r="E1064" s="373"/>
      <c r="F1064" s="373"/>
      <c r="G1064" s="373"/>
      <c r="H1064" s="373"/>
      <c r="I1064" s="373"/>
      <c r="J1064" s="373"/>
      <c r="K1064" s="373"/>
      <c r="L1064" s="373"/>
      <c r="M1064" s="373"/>
      <c r="N1064" s="373"/>
      <c r="O1064" s="373"/>
      <c r="P1064" s="373"/>
      <c r="Q1064" s="373"/>
    </row>
    <row r="1065" spans="1:17" ht="14.4">
      <c r="A1065" s="369"/>
      <c r="B1065" s="373"/>
      <c r="C1065" s="373"/>
      <c r="D1065" s="373"/>
      <c r="E1065" s="373"/>
      <c r="F1065" s="373"/>
      <c r="G1065" s="373"/>
      <c r="H1065" s="373"/>
      <c r="I1065" s="373"/>
      <c r="J1065" s="373"/>
      <c r="K1065" s="373"/>
      <c r="L1065" s="373"/>
      <c r="M1065" s="373"/>
      <c r="N1065" s="373"/>
      <c r="O1065" s="373"/>
      <c r="P1065" s="373"/>
      <c r="Q1065" s="373"/>
    </row>
    <row r="1066" spans="1:17" ht="14.4">
      <c r="A1066" s="369"/>
      <c r="B1066" s="373"/>
      <c r="C1066" s="373"/>
      <c r="D1066" s="373"/>
      <c r="E1066" s="373"/>
      <c r="F1066" s="373"/>
      <c r="G1066" s="373"/>
      <c r="H1066" s="373"/>
      <c r="I1066" s="373"/>
      <c r="J1066" s="373"/>
      <c r="K1066" s="373"/>
      <c r="L1066" s="373"/>
      <c r="M1066" s="373"/>
      <c r="N1066" s="373"/>
      <c r="O1066" s="373"/>
      <c r="P1066" s="373"/>
      <c r="Q1066" s="373"/>
    </row>
    <row r="1067" spans="1:17" ht="14.4">
      <c r="A1067" s="369"/>
      <c r="B1067" s="373"/>
      <c r="C1067" s="373"/>
      <c r="D1067" s="373"/>
      <c r="E1067" s="373"/>
      <c r="F1067" s="373"/>
      <c r="G1067" s="373"/>
      <c r="H1067" s="373"/>
      <c r="I1067" s="373"/>
      <c r="J1067" s="373"/>
      <c r="K1067" s="373"/>
      <c r="L1067" s="373"/>
      <c r="M1067" s="373"/>
      <c r="N1067" s="373"/>
      <c r="O1067" s="373"/>
      <c r="P1067" s="373"/>
      <c r="Q1067" s="373"/>
    </row>
    <row r="1068" spans="1:17" ht="14.4">
      <c r="A1068" s="369"/>
      <c r="B1068" s="373"/>
      <c r="C1068" s="373"/>
      <c r="D1068" s="373"/>
      <c r="E1068" s="373"/>
      <c r="F1068" s="373"/>
      <c r="G1068" s="373"/>
      <c r="H1068" s="373"/>
      <c r="I1068" s="373"/>
      <c r="J1068" s="373"/>
      <c r="K1068" s="373"/>
      <c r="L1068" s="373"/>
      <c r="M1068" s="373"/>
      <c r="N1068" s="373"/>
      <c r="O1068" s="373"/>
      <c r="P1068" s="373"/>
      <c r="Q1068" s="373"/>
    </row>
    <row r="1069" spans="1:17" ht="14.4">
      <c r="A1069" s="369"/>
      <c r="B1069" s="373"/>
      <c r="C1069" s="373"/>
      <c r="D1069" s="373"/>
      <c r="E1069" s="373"/>
      <c r="F1069" s="373"/>
      <c r="G1069" s="373"/>
      <c r="H1069" s="373"/>
      <c r="I1069" s="373"/>
      <c r="J1069" s="373"/>
      <c r="K1069" s="373"/>
      <c r="L1069" s="373"/>
      <c r="M1069" s="373"/>
      <c r="N1069" s="373"/>
      <c r="O1069" s="373"/>
      <c r="P1069" s="373"/>
      <c r="Q1069" s="373"/>
    </row>
    <row r="1070" spans="1:17" ht="14.4">
      <c r="A1070" s="369"/>
      <c r="B1070" s="373"/>
      <c r="C1070" s="373"/>
      <c r="D1070" s="373"/>
      <c r="E1070" s="373"/>
      <c r="F1070" s="373"/>
      <c r="G1070" s="373"/>
      <c r="H1070" s="373"/>
      <c r="I1070" s="373"/>
      <c r="J1070" s="373"/>
      <c r="K1070" s="373"/>
      <c r="L1070" s="373"/>
      <c r="M1070" s="373"/>
      <c r="N1070" s="373"/>
      <c r="O1070" s="373"/>
      <c r="P1070" s="373"/>
      <c r="Q1070" s="373"/>
    </row>
    <row r="1071" spans="1:17" ht="14.4">
      <c r="A1071" s="369"/>
      <c r="B1071" s="373"/>
      <c r="C1071" s="373"/>
      <c r="D1071" s="373"/>
      <c r="E1071" s="373"/>
      <c r="F1071" s="373"/>
      <c r="G1071" s="373"/>
      <c r="H1071" s="373"/>
      <c r="I1071" s="373"/>
      <c r="J1071" s="373"/>
      <c r="K1071" s="373"/>
      <c r="L1071" s="373"/>
      <c r="M1071" s="373"/>
      <c r="N1071" s="373"/>
      <c r="O1071" s="373"/>
      <c r="P1071" s="373"/>
      <c r="Q1071" s="373"/>
    </row>
    <row r="1072" spans="1:17" ht="14.4">
      <c r="A1072" s="369"/>
      <c r="B1072" s="373"/>
      <c r="C1072" s="373"/>
      <c r="D1072" s="373"/>
      <c r="E1072" s="373"/>
      <c r="F1072" s="373"/>
      <c r="G1072" s="373"/>
      <c r="H1072" s="373"/>
      <c r="I1072" s="373"/>
      <c r="J1072" s="373"/>
      <c r="K1072" s="373"/>
      <c r="L1072" s="373"/>
      <c r="M1072" s="373"/>
      <c r="N1072" s="373"/>
      <c r="O1072" s="373"/>
      <c r="P1072" s="373"/>
      <c r="Q1072" s="373"/>
    </row>
    <row r="1073" spans="1:17" ht="14.4">
      <c r="A1073" s="369"/>
      <c r="B1073" s="373"/>
      <c r="C1073" s="373"/>
      <c r="D1073" s="373"/>
      <c r="E1073" s="373"/>
      <c r="F1073" s="373"/>
      <c r="G1073" s="373"/>
      <c r="H1073" s="373"/>
      <c r="I1073" s="373"/>
      <c r="J1073" s="373"/>
      <c r="K1073" s="373"/>
      <c r="L1073" s="373"/>
      <c r="M1073" s="373"/>
      <c r="N1073" s="373"/>
      <c r="O1073" s="373"/>
      <c r="P1073" s="373"/>
      <c r="Q1073" s="373"/>
    </row>
    <row r="1074" spans="1:17" ht="14.4">
      <c r="A1074" s="369"/>
      <c r="B1074" s="373"/>
      <c r="C1074" s="373"/>
      <c r="D1074" s="373"/>
      <c r="E1074" s="373"/>
      <c r="F1074" s="373"/>
      <c r="G1074" s="373"/>
      <c r="H1074" s="373"/>
      <c r="I1074" s="373"/>
      <c r="J1074" s="373"/>
      <c r="K1074" s="373"/>
      <c r="L1074" s="373"/>
      <c r="M1074" s="373"/>
      <c r="N1074" s="373"/>
      <c r="O1074" s="373"/>
      <c r="P1074" s="373"/>
      <c r="Q1074" s="373"/>
    </row>
    <row r="1075" spans="1:17" ht="14.4">
      <c r="A1075" s="369"/>
      <c r="B1075" s="373"/>
      <c r="C1075" s="373"/>
      <c r="D1075" s="373"/>
      <c r="E1075" s="373"/>
      <c r="F1075" s="373"/>
      <c r="G1075" s="373"/>
      <c r="H1075" s="373"/>
      <c r="I1075" s="373"/>
      <c r="J1075" s="373"/>
      <c r="K1075" s="373"/>
      <c r="L1075" s="373"/>
      <c r="M1075" s="373"/>
      <c r="N1075" s="373"/>
      <c r="O1075" s="373"/>
      <c r="P1075" s="373"/>
      <c r="Q1075" s="373"/>
    </row>
    <row r="1076" spans="1:17" ht="14.4">
      <c r="A1076" s="369"/>
      <c r="B1076" s="373"/>
      <c r="C1076" s="373"/>
      <c r="D1076" s="373"/>
      <c r="E1076" s="373"/>
      <c r="F1076" s="373"/>
      <c r="G1076" s="373"/>
      <c r="H1076" s="373"/>
      <c r="I1076" s="373"/>
      <c r="J1076" s="373"/>
      <c r="K1076" s="373"/>
      <c r="L1076" s="373"/>
      <c r="M1076" s="373"/>
      <c r="N1076" s="373"/>
      <c r="O1076" s="373"/>
      <c r="P1076" s="373"/>
      <c r="Q1076" s="373"/>
    </row>
    <row r="1077" spans="1:17" ht="14.4">
      <c r="A1077" s="369"/>
      <c r="B1077" s="373"/>
      <c r="C1077" s="373"/>
      <c r="D1077" s="373"/>
      <c r="E1077" s="373"/>
      <c r="F1077" s="373"/>
      <c r="G1077" s="373"/>
      <c r="H1077" s="373"/>
      <c r="I1077" s="373"/>
      <c r="J1077" s="373"/>
      <c r="K1077" s="373"/>
      <c r="L1077" s="373"/>
      <c r="M1077" s="373"/>
      <c r="N1077" s="373"/>
      <c r="O1077" s="373"/>
      <c r="P1077" s="373"/>
      <c r="Q1077" s="373"/>
    </row>
    <row r="1078" spans="1:17" ht="14.4">
      <c r="A1078" s="369"/>
      <c r="B1078" s="373"/>
      <c r="C1078" s="373"/>
      <c r="D1078" s="373"/>
      <c r="E1078" s="373"/>
      <c r="F1078" s="373"/>
      <c r="G1078" s="373"/>
      <c r="H1078" s="373"/>
      <c r="I1078" s="373"/>
      <c r="J1078" s="373"/>
      <c r="K1078" s="373"/>
      <c r="L1078" s="373"/>
      <c r="M1078" s="373"/>
      <c r="N1078" s="373"/>
      <c r="O1078" s="373"/>
      <c r="P1078" s="373"/>
      <c r="Q1078" s="373"/>
    </row>
    <row r="1079" spans="1:17" ht="14.4">
      <c r="A1079" s="369"/>
      <c r="B1079" s="373"/>
      <c r="C1079" s="373"/>
      <c r="D1079" s="373"/>
      <c r="E1079" s="373"/>
      <c r="F1079" s="373"/>
      <c r="G1079" s="373"/>
      <c r="H1079" s="373"/>
      <c r="I1079" s="373"/>
      <c r="J1079" s="373"/>
      <c r="K1079" s="373"/>
      <c r="L1079" s="373"/>
      <c r="M1079" s="373"/>
      <c r="N1079" s="373"/>
      <c r="O1079" s="373"/>
      <c r="P1079" s="373"/>
      <c r="Q1079" s="373"/>
    </row>
    <row r="1080" spans="1:17" ht="14.4">
      <c r="A1080" s="369"/>
      <c r="B1080" s="373"/>
      <c r="C1080" s="373"/>
      <c r="D1080" s="373"/>
      <c r="E1080" s="373"/>
      <c r="F1080" s="373"/>
      <c r="G1080" s="373"/>
      <c r="H1080" s="373"/>
      <c r="I1080" s="373"/>
      <c r="J1080" s="373"/>
      <c r="K1080" s="373"/>
      <c r="L1080" s="373"/>
      <c r="M1080" s="373"/>
      <c r="N1080" s="373"/>
      <c r="O1080" s="373"/>
      <c r="P1080" s="373"/>
      <c r="Q1080" s="373"/>
    </row>
    <row r="1081" spans="1:17" ht="14.4">
      <c r="A1081" s="369"/>
      <c r="B1081" s="373"/>
      <c r="C1081" s="373"/>
      <c r="D1081" s="373"/>
      <c r="E1081" s="373"/>
      <c r="F1081" s="373"/>
      <c r="G1081" s="373"/>
      <c r="H1081" s="373"/>
      <c r="I1081" s="373"/>
      <c r="J1081" s="373"/>
      <c r="K1081" s="373"/>
      <c r="L1081" s="373"/>
      <c r="M1081" s="373"/>
      <c r="N1081" s="373"/>
      <c r="O1081" s="373"/>
      <c r="P1081" s="373"/>
      <c r="Q1081" s="373"/>
    </row>
    <row r="1082" spans="1:17" ht="14.4">
      <c r="A1082" s="369"/>
      <c r="B1082" s="373"/>
      <c r="C1082" s="373"/>
      <c r="D1082" s="373"/>
      <c r="E1082" s="373"/>
      <c r="F1082" s="373"/>
      <c r="G1082" s="373"/>
      <c r="H1082" s="373"/>
      <c r="I1082" s="373"/>
      <c r="J1082" s="373"/>
      <c r="K1082" s="373"/>
      <c r="L1082" s="373"/>
      <c r="M1082" s="373"/>
      <c r="N1082" s="373"/>
      <c r="O1082" s="373"/>
      <c r="P1082" s="373"/>
      <c r="Q1082" s="373"/>
    </row>
    <row r="1083" spans="1:17" ht="14.4">
      <c r="A1083" s="369"/>
      <c r="B1083" s="373"/>
      <c r="C1083" s="373"/>
      <c r="D1083" s="373"/>
      <c r="E1083" s="373"/>
      <c r="F1083" s="373"/>
      <c r="G1083" s="373"/>
      <c r="H1083" s="373"/>
      <c r="I1083" s="373"/>
      <c r="J1083" s="373"/>
      <c r="K1083" s="373"/>
      <c r="L1083" s="373"/>
      <c r="M1083" s="373"/>
      <c r="N1083" s="373"/>
      <c r="O1083" s="373"/>
      <c r="P1083" s="373"/>
      <c r="Q1083" s="373"/>
    </row>
    <row r="1084" spans="1:17" ht="14.4">
      <c r="A1084" s="369"/>
      <c r="B1084" s="373"/>
      <c r="C1084" s="373"/>
      <c r="D1084" s="373"/>
      <c r="E1084" s="373"/>
      <c r="F1084" s="373"/>
      <c r="G1084" s="373"/>
      <c r="H1084" s="373"/>
      <c r="I1084" s="373"/>
      <c r="J1084" s="373"/>
      <c r="K1084" s="373"/>
      <c r="L1084" s="373"/>
      <c r="M1084" s="373"/>
      <c r="N1084" s="373"/>
      <c r="O1084" s="373"/>
      <c r="P1084" s="373"/>
      <c r="Q1084" s="373"/>
    </row>
    <row r="1085" spans="1:17" ht="14.4">
      <c r="A1085" s="369"/>
      <c r="B1085" s="373"/>
      <c r="C1085" s="373"/>
      <c r="D1085" s="373"/>
      <c r="E1085" s="373"/>
      <c r="F1085" s="373"/>
      <c r="G1085" s="373"/>
      <c r="H1085" s="373"/>
      <c r="I1085" s="373"/>
      <c r="J1085" s="373"/>
      <c r="K1085" s="373"/>
      <c r="L1085" s="373"/>
      <c r="M1085" s="373"/>
      <c r="N1085" s="373"/>
      <c r="O1085" s="373"/>
      <c r="P1085" s="373"/>
      <c r="Q1085" s="373"/>
    </row>
    <row r="1086" spans="1:17" ht="14.4">
      <c r="A1086" s="369"/>
      <c r="B1086" s="373"/>
      <c r="C1086" s="373"/>
      <c r="D1086" s="373"/>
      <c r="E1086" s="373"/>
      <c r="F1086" s="373"/>
      <c r="G1086" s="373"/>
      <c r="H1086" s="373"/>
      <c r="I1086" s="373"/>
      <c r="J1086" s="373"/>
      <c r="K1086" s="373"/>
      <c r="L1086" s="373"/>
      <c r="M1086" s="373"/>
      <c r="N1086" s="373"/>
      <c r="O1086" s="373"/>
      <c r="P1086" s="373"/>
      <c r="Q1086" s="373"/>
    </row>
    <row r="1087" spans="1:17" ht="14.4">
      <c r="A1087" s="369"/>
      <c r="B1087" s="373"/>
      <c r="C1087" s="373"/>
      <c r="D1087" s="373"/>
      <c r="E1087" s="373"/>
      <c r="F1087" s="373"/>
      <c r="G1087" s="373"/>
      <c r="H1087" s="373"/>
      <c r="I1087" s="373"/>
      <c r="J1087" s="373"/>
      <c r="K1087" s="373"/>
      <c r="L1087" s="373"/>
      <c r="M1087" s="373"/>
      <c r="N1087" s="373"/>
      <c r="O1087" s="373"/>
      <c r="P1087" s="373"/>
      <c r="Q1087" s="373"/>
    </row>
    <row r="1088" spans="1:17" ht="14.4">
      <c r="A1088" s="369"/>
      <c r="B1088" s="373"/>
      <c r="C1088" s="373"/>
      <c r="D1088" s="373"/>
      <c r="E1088" s="373"/>
      <c r="F1088" s="373"/>
      <c r="G1088" s="373"/>
      <c r="H1088" s="373"/>
      <c r="I1088" s="373"/>
      <c r="J1088" s="373"/>
      <c r="K1088" s="373"/>
      <c r="L1088" s="373"/>
      <c r="M1088" s="373"/>
      <c r="N1088" s="373"/>
      <c r="O1088" s="373"/>
      <c r="P1088" s="373"/>
      <c r="Q1088" s="373"/>
    </row>
    <row r="1089" spans="1:17" ht="14.4">
      <c r="A1089" s="369"/>
      <c r="B1089" s="373"/>
      <c r="C1089" s="373"/>
      <c r="D1089" s="373"/>
      <c r="E1089" s="373"/>
      <c r="F1089" s="373"/>
      <c r="G1089" s="373"/>
      <c r="H1089" s="373"/>
      <c r="I1089" s="373"/>
      <c r="J1089" s="373"/>
      <c r="K1089" s="373"/>
      <c r="L1089" s="373"/>
      <c r="M1089" s="373"/>
      <c r="N1089" s="373"/>
      <c r="O1089" s="373"/>
      <c r="P1089" s="373"/>
      <c r="Q1089" s="373"/>
    </row>
    <row r="1090" spans="1:17" ht="14.4">
      <c r="A1090" s="369"/>
      <c r="B1090" s="373"/>
      <c r="C1090" s="373"/>
      <c r="D1090" s="373"/>
      <c r="E1090" s="373"/>
      <c r="F1090" s="373"/>
      <c r="G1090" s="373"/>
      <c r="H1090" s="373"/>
      <c r="I1090" s="373"/>
      <c r="J1090" s="373"/>
      <c r="K1090" s="373"/>
      <c r="L1090" s="373"/>
      <c r="M1090" s="373"/>
      <c r="N1090" s="373"/>
      <c r="O1090" s="373"/>
      <c r="P1090" s="373"/>
      <c r="Q1090" s="373"/>
    </row>
    <row r="1091" spans="1:17" ht="14.4">
      <c r="A1091" s="369"/>
      <c r="B1091" s="373"/>
      <c r="C1091" s="373"/>
      <c r="D1091" s="373"/>
      <c r="E1091" s="373"/>
      <c r="F1091" s="373"/>
      <c r="G1091" s="373"/>
      <c r="H1091" s="373"/>
      <c r="I1091" s="373"/>
      <c r="J1091" s="373"/>
      <c r="K1091" s="373"/>
      <c r="L1091" s="373"/>
      <c r="M1091" s="373"/>
      <c r="N1091" s="373"/>
      <c r="O1091" s="373"/>
      <c r="P1091" s="373"/>
      <c r="Q1091" s="373"/>
    </row>
    <row r="1092" spans="1:17" ht="14.4">
      <c r="A1092" s="369"/>
      <c r="B1092" s="373"/>
      <c r="C1092" s="373"/>
      <c r="D1092" s="373"/>
      <c r="E1092" s="373"/>
      <c r="F1092" s="373"/>
      <c r="G1092" s="373"/>
      <c r="H1092" s="373"/>
      <c r="I1092" s="373"/>
      <c r="J1092" s="373"/>
      <c r="K1092" s="373"/>
      <c r="L1092" s="373"/>
      <c r="M1092" s="373"/>
      <c r="N1092" s="373"/>
      <c r="O1092" s="373"/>
      <c r="P1092" s="373"/>
      <c r="Q1092" s="373"/>
    </row>
    <row r="1093" spans="1:17" ht="14.4">
      <c r="A1093" s="369"/>
      <c r="B1093" s="373"/>
      <c r="C1093" s="373"/>
      <c r="D1093" s="373"/>
      <c r="E1093" s="373"/>
      <c r="F1093" s="373"/>
      <c r="G1093" s="373"/>
      <c r="H1093" s="373"/>
      <c r="I1093" s="373"/>
      <c r="J1093" s="373"/>
      <c r="K1093" s="373"/>
      <c r="L1093" s="373"/>
      <c r="M1093" s="373"/>
      <c r="N1093" s="373"/>
      <c r="O1093" s="373"/>
      <c r="P1093" s="373"/>
      <c r="Q1093" s="373"/>
    </row>
    <row r="1094" spans="1:17" ht="14.4">
      <c r="A1094" s="369"/>
      <c r="B1094" s="373"/>
      <c r="C1094" s="373"/>
      <c r="D1094" s="373"/>
      <c r="E1094" s="373"/>
      <c r="F1094" s="373"/>
      <c r="G1094" s="373"/>
      <c r="H1094" s="373"/>
      <c r="I1094" s="373"/>
      <c r="J1094" s="373"/>
      <c r="K1094" s="373"/>
      <c r="L1094" s="373"/>
      <c r="M1094" s="373"/>
      <c r="N1094" s="373"/>
      <c r="O1094" s="373"/>
      <c r="P1094" s="373"/>
      <c r="Q1094" s="373"/>
    </row>
    <row r="1095" spans="1:17" ht="14.4">
      <c r="A1095" s="369"/>
      <c r="B1095" s="373"/>
      <c r="C1095" s="373"/>
      <c r="D1095" s="373"/>
      <c r="E1095" s="373"/>
      <c r="F1095" s="373"/>
      <c r="G1095" s="373"/>
      <c r="H1095" s="373"/>
      <c r="I1095" s="373"/>
      <c r="J1095" s="373"/>
      <c r="K1095" s="373"/>
      <c r="L1095" s="373"/>
      <c r="M1095" s="373"/>
      <c r="N1095" s="373"/>
      <c r="O1095" s="373"/>
      <c r="P1095" s="373"/>
      <c r="Q1095" s="373"/>
    </row>
    <row r="1096" spans="1:17" ht="14.4">
      <c r="A1096" s="369"/>
      <c r="B1096" s="373"/>
      <c r="C1096" s="373"/>
      <c r="D1096" s="373"/>
      <c r="E1096" s="373"/>
      <c r="F1096" s="373"/>
      <c r="G1096" s="373"/>
      <c r="H1096" s="373"/>
      <c r="I1096" s="373"/>
      <c r="J1096" s="373"/>
      <c r="K1096" s="373"/>
      <c r="L1096" s="373"/>
      <c r="M1096" s="373"/>
      <c r="N1096" s="373"/>
      <c r="O1096" s="373"/>
      <c r="P1096" s="373"/>
      <c r="Q1096" s="373"/>
    </row>
    <row r="1097" spans="1:17" ht="14.4">
      <c r="A1097" s="369"/>
      <c r="B1097" s="373"/>
      <c r="C1097" s="373"/>
      <c r="D1097" s="373"/>
      <c r="E1097" s="373"/>
      <c r="F1097" s="373"/>
      <c r="G1097" s="373"/>
      <c r="H1097" s="373"/>
      <c r="I1097" s="373"/>
      <c r="J1097" s="373"/>
      <c r="K1097" s="373"/>
      <c r="L1097" s="373"/>
      <c r="M1097" s="373"/>
      <c r="N1097" s="373"/>
      <c r="O1097" s="373"/>
      <c r="P1097" s="373"/>
      <c r="Q1097" s="373"/>
    </row>
    <row r="1098" spans="1:17" ht="14.4">
      <c r="A1098" s="369"/>
      <c r="B1098" s="373"/>
      <c r="C1098" s="373"/>
      <c r="D1098" s="373"/>
      <c r="E1098" s="373"/>
      <c r="F1098" s="373"/>
      <c r="G1098" s="373"/>
      <c r="H1098" s="373"/>
      <c r="I1098" s="373"/>
      <c r="J1098" s="373"/>
      <c r="K1098" s="373"/>
      <c r="L1098" s="373"/>
      <c r="M1098" s="373"/>
      <c r="N1098" s="373"/>
      <c r="O1098" s="373"/>
      <c r="P1098" s="373"/>
      <c r="Q1098" s="373"/>
    </row>
    <row r="1099" spans="1:17" ht="14.4">
      <c r="A1099" s="369"/>
      <c r="B1099" s="373"/>
      <c r="C1099" s="373"/>
      <c r="D1099" s="373"/>
      <c r="E1099" s="373"/>
      <c r="F1099" s="373"/>
      <c r="G1099" s="373"/>
      <c r="H1099" s="373"/>
      <c r="I1099" s="373"/>
      <c r="J1099" s="373"/>
      <c r="K1099" s="373"/>
      <c r="L1099" s="373"/>
      <c r="M1099" s="373"/>
      <c r="N1099" s="373"/>
      <c r="O1099" s="373"/>
      <c r="P1099" s="373"/>
      <c r="Q1099" s="373"/>
    </row>
    <row r="1100" spans="1:17" ht="14.4">
      <c r="A1100" s="369"/>
      <c r="B1100" s="373"/>
      <c r="C1100" s="373"/>
      <c r="D1100" s="373"/>
      <c r="E1100" s="373"/>
      <c r="F1100" s="373"/>
      <c r="G1100" s="373"/>
      <c r="H1100" s="373"/>
      <c r="I1100" s="373"/>
      <c r="J1100" s="373"/>
      <c r="K1100" s="373"/>
      <c r="L1100" s="373"/>
      <c r="M1100" s="373"/>
      <c r="N1100" s="373"/>
      <c r="O1100" s="373"/>
      <c r="P1100" s="373"/>
      <c r="Q1100" s="373"/>
    </row>
    <row r="1101" spans="1:17" ht="14.4">
      <c r="A1101" s="369"/>
      <c r="B1101" s="373"/>
      <c r="C1101" s="373"/>
      <c r="D1101" s="373"/>
      <c r="E1101" s="373"/>
      <c r="F1101" s="373"/>
      <c r="G1101" s="373"/>
      <c r="H1101" s="373"/>
      <c r="I1101" s="373"/>
      <c r="J1101" s="373"/>
      <c r="K1101" s="373"/>
      <c r="L1101" s="373"/>
      <c r="M1101" s="373"/>
      <c r="N1101" s="373"/>
      <c r="O1101" s="373"/>
      <c r="P1101" s="373"/>
      <c r="Q1101" s="373"/>
    </row>
    <row r="1102" spans="1:17" ht="14.4">
      <c r="A1102" s="369"/>
      <c r="B1102" s="373"/>
      <c r="C1102" s="373"/>
      <c r="D1102" s="373"/>
      <c r="E1102" s="373"/>
      <c r="F1102" s="373"/>
      <c r="G1102" s="373"/>
      <c r="H1102" s="373"/>
      <c r="I1102" s="373"/>
      <c r="J1102" s="373"/>
      <c r="K1102" s="373"/>
      <c r="L1102" s="373"/>
      <c r="M1102" s="373"/>
      <c r="N1102" s="373"/>
      <c r="O1102" s="373"/>
      <c r="P1102" s="373"/>
      <c r="Q1102" s="373"/>
    </row>
    <row r="1103" spans="1:17" ht="14.4">
      <c r="A1103" s="369"/>
      <c r="B1103" s="373"/>
      <c r="C1103" s="373"/>
      <c r="D1103" s="373"/>
      <c r="E1103" s="373"/>
      <c r="F1103" s="373"/>
      <c r="G1103" s="373"/>
      <c r="H1103" s="373"/>
      <c r="I1103" s="373"/>
      <c r="J1103" s="373"/>
      <c r="K1103" s="373"/>
      <c r="L1103" s="373"/>
      <c r="M1103" s="373"/>
      <c r="N1103" s="373"/>
      <c r="O1103" s="373"/>
      <c r="P1103" s="373"/>
      <c r="Q1103" s="373"/>
    </row>
    <row r="1104" spans="1:17" ht="14.4">
      <c r="A1104" s="369"/>
      <c r="B1104" s="373"/>
      <c r="C1104" s="373"/>
      <c r="D1104" s="373"/>
      <c r="E1104" s="373"/>
      <c r="F1104" s="373"/>
      <c r="G1104" s="373"/>
      <c r="H1104" s="373"/>
      <c r="I1104" s="373"/>
      <c r="J1104" s="373"/>
      <c r="K1104" s="373"/>
      <c r="L1104" s="373"/>
      <c r="M1104" s="373"/>
      <c r="N1104" s="373"/>
      <c r="O1104" s="373"/>
      <c r="P1104" s="373"/>
      <c r="Q1104" s="373"/>
    </row>
    <row r="1105" spans="1:17" ht="14.4">
      <c r="A1105" s="369"/>
      <c r="B1105" s="373"/>
      <c r="C1105" s="373"/>
      <c r="D1105" s="373"/>
      <c r="E1105" s="373"/>
      <c r="F1105" s="373"/>
      <c r="G1105" s="373"/>
      <c r="H1105" s="373"/>
      <c r="I1105" s="373"/>
      <c r="J1105" s="373"/>
      <c r="K1105" s="373"/>
      <c r="L1105" s="373"/>
      <c r="M1105" s="373"/>
      <c r="N1105" s="373"/>
      <c r="O1105" s="373"/>
      <c r="P1105" s="373"/>
      <c r="Q1105" s="373"/>
    </row>
    <row r="1106" spans="1:17" ht="14.4">
      <c r="A1106" s="369"/>
      <c r="B1106" s="373"/>
      <c r="C1106" s="373"/>
      <c r="D1106" s="373"/>
      <c r="E1106" s="373"/>
      <c r="F1106" s="373"/>
      <c r="G1106" s="373"/>
      <c r="H1106" s="373"/>
      <c r="I1106" s="373"/>
      <c r="J1106" s="373"/>
      <c r="K1106" s="373"/>
      <c r="L1106" s="373"/>
      <c r="M1106" s="373"/>
      <c r="N1106" s="373"/>
      <c r="O1106" s="373"/>
      <c r="P1106" s="373"/>
      <c r="Q1106" s="373"/>
    </row>
    <row r="1107" spans="1:17" ht="14.4">
      <c r="A1107" s="369"/>
      <c r="B1107" s="373"/>
      <c r="C1107" s="373"/>
      <c r="D1107" s="373"/>
      <c r="E1107" s="373"/>
      <c r="F1107" s="373"/>
      <c r="G1107" s="373"/>
      <c r="H1107" s="373"/>
      <c r="I1107" s="373"/>
      <c r="J1107" s="373"/>
      <c r="K1107" s="373"/>
      <c r="L1107" s="373"/>
      <c r="M1107" s="373"/>
      <c r="N1107" s="373"/>
      <c r="O1107" s="373"/>
      <c r="P1107" s="373"/>
      <c r="Q1107" s="373"/>
    </row>
    <row r="1108" spans="1:17" ht="14.4">
      <c r="A1108" s="369"/>
      <c r="B1108" s="373"/>
      <c r="C1108" s="373"/>
      <c r="D1108" s="373"/>
      <c r="E1108" s="373"/>
      <c r="F1108" s="373"/>
      <c r="G1108" s="373"/>
      <c r="H1108" s="373"/>
      <c r="I1108" s="373"/>
      <c r="J1108" s="373"/>
      <c r="K1108" s="373"/>
      <c r="L1108" s="373"/>
      <c r="M1108" s="373"/>
      <c r="N1108" s="373"/>
      <c r="O1108" s="373"/>
      <c r="P1108" s="373"/>
      <c r="Q1108" s="373"/>
    </row>
    <row r="1109" spans="1:17" ht="14.4">
      <c r="A1109" s="369"/>
      <c r="B1109" s="373"/>
      <c r="C1109" s="373"/>
      <c r="D1109" s="373"/>
      <c r="E1109" s="373"/>
      <c r="F1109" s="373"/>
      <c r="G1109" s="373"/>
      <c r="H1109" s="373"/>
      <c r="I1109" s="373"/>
      <c r="J1109" s="373"/>
      <c r="K1109" s="373"/>
      <c r="L1109" s="373"/>
      <c r="M1109" s="373"/>
      <c r="N1109" s="373"/>
      <c r="O1109" s="373"/>
      <c r="P1109" s="373"/>
      <c r="Q1109" s="373"/>
    </row>
    <row r="1110" spans="1:17" ht="14.4">
      <c r="A1110" s="369"/>
      <c r="B1110" s="373"/>
      <c r="C1110" s="373"/>
      <c r="D1110" s="373"/>
      <c r="E1110" s="373"/>
      <c r="F1110" s="373"/>
      <c r="G1110" s="373"/>
      <c r="H1110" s="373"/>
      <c r="I1110" s="373"/>
      <c r="J1110" s="373"/>
      <c r="K1110" s="373"/>
      <c r="L1110" s="373"/>
      <c r="M1110" s="373"/>
      <c r="N1110" s="373"/>
      <c r="O1110" s="373"/>
      <c r="P1110" s="373"/>
      <c r="Q1110" s="373"/>
    </row>
    <row r="1111" spans="1:17" ht="14.4">
      <c r="A1111" s="369"/>
      <c r="B1111" s="373"/>
      <c r="C1111" s="373"/>
      <c r="D1111" s="373"/>
      <c r="E1111" s="373"/>
      <c r="F1111" s="373"/>
      <c r="G1111" s="373"/>
      <c r="H1111" s="373"/>
      <c r="I1111" s="373"/>
      <c r="J1111" s="373"/>
      <c r="K1111" s="373"/>
      <c r="L1111" s="373"/>
      <c r="M1111" s="373"/>
      <c r="N1111" s="373"/>
      <c r="O1111" s="373"/>
      <c r="P1111" s="373"/>
      <c r="Q1111" s="373"/>
    </row>
    <row r="1112" spans="1:17" ht="14.4">
      <c r="A1112" s="369"/>
      <c r="B1112" s="373"/>
      <c r="C1112" s="373"/>
      <c r="D1112" s="373"/>
      <c r="E1112" s="373"/>
      <c r="F1112" s="373"/>
      <c r="G1112" s="373"/>
      <c r="H1112" s="373"/>
      <c r="I1112" s="373"/>
      <c r="J1112" s="373"/>
      <c r="K1112" s="373"/>
      <c r="L1112" s="373"/>
      <c r="M1112" s="373"/>
      <c r="N1112" s="373"/>
      <c r="O1112" s="373"/>
      <c r="P1112" s="373"/>
      <c r="Q1112" s="373"/>
    </row>
    <row r="1113" spans="1:17" ht="14.4">
      <c r="A1113" s="369"/>
      <c r="B1113" s="373"/>
      <c r="C1113" s="373"/>
      <c r="D1113" s="373"/>
      <c r="E1113" s="373"/>
      <c r="F1113" s="373"/>
      <c r="G1113" s="373"/>
      <c r="H1113" s="373"/>
      <c r="I1113" s="373"/>
      <c r="J1113" s="373"/>
      <c r="K1113" s="373"/>
      <c r="L1113" s="373"/>
      <c r="M1113" s="373"/>
      <c r="N1113" s="373"/>
      <c r="O1113" s="373"/>
      <c r="P1113" s="373"/>
      <c r="Q1113" s="373"/>
    </row>
    <row r="1114" spans="1:17" ht="14.4">
      <c r="A1114" s="369"/>
      <c r="B1114" s="373"/>
      <c r="C1114" s="373"/>
      <c r="D1114" s="373"/>
      <c r="E1114" s="373"/>
      <c r="F1114" s="373"/>
      <c r="G1114" s="373"/>
      <c r="H1114" s="373"/>
      <c r="I1114" s="373"/>
      <c r="J1114" s="373"/>
      <c r="K1114" s="373"/>
      <c r="L1114" s="373"/>
      <c r="M1114" s="373"/>
      <c r="N1114" s="373"/>
      <c r="O1114" s="373"/>
      <c r="P1114" s="373"/>
      <c r="Q1114" s="373"/>
    </row>
    <row r="1115" spans="1:17" ht="14.4">
      <c r="A1115" s="369"/>
      <c r="B1115" s="373"/>
      <c r="C1115" s="373"/>
      <c r="D1115" s="373"/>
      <c r="E1115" s="373"/>
      <c r="F1115" s="373"/>
      <c r="G1115" s="373"/>
      <c r="H1115" s="373"/>
      <c r="I1115" s="373"/>
      <c r="J1115" s="373"/>
      <c r="K1115" s="373"/>
      <c r="L1115" s="373"/>
      <c r="M1115" s="373"/>
      <c r="N1115" s="373"/>
      <c r="O1115" s="373"/>
      <c r="P1115" s="373"/>
      <c r="Q1115" s="373"/>
    </row>
    <row r="1116" spans="1:17" ht="14.4">
      <c r="A1116" s="369"/>
      <c r="B1116" s="373"/>
      <c r="C1116" s="373"/>
      <c r="D1116" s="373"/>
      <c r="E1116" s="373"/>
      <c r="F1116" s="373"/>
      <c r="G1116" s="373"/>
      <c r="H1116" s="373"/>
      <c r="I1116" s="373"/>
      <c r="J1116" s="373"/>
      <c r="K1116" s="373"/>
      <c r="L1116" s="373"/>
      <c r="M1116" s="373"/>
      <c r="N1116" s="373"/>
      <c r="O1116" s="373"/>
      <c r="P1116" s="373"/>
      <c r="Q1116" s="373"/>
    </row>
    <row r="1117" spans="1:17" ht="14.4">
      <c r="A1117" s="369"/>
      <c r="B1117" s="373"/>
      <c r="C1117" s="373"/>
      <c r="D1117" s="373"/>
      <c r="E1117" s="373"/>
      <c r="F1117" s="373"/>
      <c r="G1117" s="373"/>
      <c r="H1117" s="373"/>
      <c r="I1117" s="373"/>
      <c r="J1117" s="373"/>
      <c r="K1117" s="373"/>
      <c r="L1117" s="373"/>
      <c r="M1117" s="373"/>
      <c r="N1117" s="373"/>
      <c r="O1117" s="373"/>
      <c r="P1117" s="373"/>
      <c r="Q1117" s="373"/>
    </row>
    <row r="1118" spans="1:17" ht="14.4">
      <c r="A1118" s="369"/>
      <c r="B1118" s="373"/>
      <c r="C1118" s="373"/>
      <c r="D1118" s="373"/>
      <c r="E1118" s="373"/>
      <c r="F1118" s="373"/>
      <c r="G1118" s="373"/>
      <c r="H1118" s="373"/>
      <c r="I1118" s="373"/>
      <c r="J1118" s="373"/>
      <c r="K1118" s="373"/>
      <c r="L1118" s="373"/>
      <c r="M1118" s="373"/>
      <c r="N1118" s="373"/>
      <c r="O1118" s="373"/>
      <c r="P1118" s="373"/>
      <c r="Q1118" s="373"/>
    </row>
    <row r="1119" spans="1:17" ht="14.4">
      <c r="A1119" s="369"/>
      <c r="B1119" s="373"/>
      <c r="C1119" s="373"/>
      <c r="D1119" s="373"/>
      <c r="E1119" s="373"/>
      <c r="F1119" s="373"/>
      <c r="G1119" s="373"/>
      <c r="H1119" s="373"/>
      <c r="I1119" s="373"/>
      <c r="J1119" s="373"/>
      <c r="K1119" s="373"/>
      <c r="L1119" s="373"/>
      <c r="M1119" s="373"/>
      <c r="N1119" s="373"/>
      <c r="O1119" s="373"/>
      <c r="P1119" s="373"/>
      <c r="Q1119" s="373"/>
    </row>
    <row r="1120" spans="1:17" ht="14.4">
      <c r="A1120" s="369"/>
      <c r="B1120" s="373"/>
      <c r="C1120" s="373"/>
      <c r="D1120" s="373"/>
      <c r="E1120" s="373"/>
      <c r="F1120" s="373"/>
      <c r="G1120" s="373"/>
      <c r="H1120" s="373"/>
      <c r="I1120" s="373"/>
      <c r="J1120" s="373"/>
      <c r="K1120" s="373"/>
      <c r="L1120" s="373"/>
      <c r="M1120" s="373"/>
      <c r="N1120" s="373"/>
      <c r="O1120" s="373"/>
      <c r="P1120" s="373"/>
      <c r="Q1120" s="373"/>
    </row>
    <row r="1121" spans="1:17" ht="14.4">
      <c r="A1121" s="369"/>
      <c r="B1121" s="373"/>
      <c r="C1121" s="373"/>
      <c r="D1121" s="373"/>
      <c r="E1121" s="373"/>
      <c r="F1121" s="373"/>
      <c r="G1121" s="373"/>
      <c r="H1121" s="373"/>
      <c r="I1121" s="373"/>
      <c r="J1121" s="373"/>
      <c r="K1121" s="373"/>
      <c r="L1121" s="373"/>
      <c r="M1121" s="373"/>
      <c r="N1121" s="373"/>
      <c r="O1121" s="373"/>
      <c r="P1121" s="373"/>
      <c r="Q1121" s="373"/>
    </row>
    <row r="1122" spans="1:17" ht="14.4">
      <c r="A1122" s="369"/>
      <c r="B1122" s="373"/>
      <c r="C1122" s="373"/>
      <c r="D1122" s="373"/>
      <c r="E1122" s="373"/>
      <c r="F1122" s="373"/>
      <c r="G1122" s="373"/>
      <c r="H1122" s="373"/>
      <c r="I1122" s="373"/>
      <c r="J1122" s="373"/>
      <c r="K1122" s="373"/>
      <c r="L1122" s="373"/>
      <c r="M1122" s="373"/>
      <c r="N1122" s="373"/>
      <c r="O1122" s="373"/>
      <c r="P1122" s="373"/>
      <c r="Q1122" s="373"/>
    </row>
    <row r="1123" spans="1:17" ht="14.4">
      <c r="A1123" s="369"/>
      <c r="B1123" s="373"/>
      <c r="C1123" s="373"/>
      <c r="D1123" s="373"/>
      <c r="E1123" s="373"/>
      <c r="F1123" s="373"/>
      <c r="G1123" s="373"/>
      <c r="H1123" s="373"/>
      <c r="I1123" s="373"/>
      <c r="J1123" s="373"/>
      <c r="K1123" s="373"/>
      <c r="L1123" s="373"/>
      <c r="M1123" s="373"/>
      <c r="N1123" s="373"/>
      <c r="O1123" s="373"/>
      <c r="P1123" s="373"/>
      <c r="Q1123" s="373"/>
    </row>
    <row r="1124" spans="1:17" ht="14.4">
      <c r="A1124" s="369"/>
      <c r="B1124" s="373"/>
      <c r="C1124" s="373"/>
      <c r="D1124" s="373"/>
      <c r="E1124" s="373"/>
      <c r="F1124" s="373"/>
      <c r="G1124" s="373"/>
      <c r="H1124" s="373"/>
      <c r="I1124" s="373"/>
      <c r="J1124" s="373"/>
      <c r="K1124" s="373"/>
      <c r="L1124" s="373"/>
      <c r="M1124" s="373"/>
      <c r="N1124" s="373"/>
      <c r="O1124" s="373"/>
      <c r="P1124" s="373"/>
      <c r="Q1124" s="373"/>
    </row>
    <row r="1125" spans="1:17" ht="14.4">
      <c r="A1125" s="369"/>
      <c r="B1125" s="373"/>
      <c r="C1125" s="373"/>
      <c r="D1125" s="373"/>
      <c r="E1125" s="373"/>
      <c r="F1125" s="373"/>
      <c r="G1125" s="373"/>
      <c r="H1125" s="373"/>
      <c r="I1125" s="373"/>
      <c r="J1125" s="373"/>
      <c r="K1125" s="373"/>
      <c r="L1125" s="373"/>
      <c r="M1125" s="373"/>
      <c r="N1125" s="373"/>
      <c r="O1125" s="373"/>
      <c r="P1125" s="373"/>
      <c r="Q1125" s="373"/>
    </row>
    <row r="1126" spans="1:17" ht="14.4">
      <c r="A1126" s="369"/>
      <c r="B1126" s="373"/>
      <c r="C1126" s="373"/>
      <c r="D1126" s="373"/>
      <c r="E1126" s="373"/>
      <c r="F1126" s="373"/>
      <c r="G1126" s="373"/>
      <c r="H1126" s="373"/>
      <c r="I1126" s="373"/>
      <c r="J1126" s="373"/>
      <c r="K1126" s="373"/>
      <c r="L1126" s="373"/>
      <c r="M1126" s="373"/>
      <c r="N1126" s="373"/>
      <c r="O1126" s="373"/>
      <c r="P1126" s="373"/>
      <c r="Q1126" s="373"/>
    </row>
    <row r="1127" spans="1:17" ht="14.4">
      <c r="A1127" s="369"/>
      <c r="B1127" s="373"/>
      <c r="C1127" s="373"/>
      <c r="D1127" s="373"/>
      <c r="E1127" s="373"/>
      <c r="F1127" s="373"/>
      <c r="G1127" s="373"/>
      <c r="H1127" s="373"/>
      <c r="I1127" s="373"/>
      <c r="J1127" s="373"/>
      <c r="K1127" s="373"/>
      <c r="L1127" s="373"/>
      <c r="M1127" s="373"/>
      <c r="N1127" s="373"/>
      <c r="O1127" s="373"/>
      <c r="P1127" s="373"/>
      <c r="Q1127" s="373"/>
    </row>
    <row r="1128" spans="1:17" ht="14.4">
      <c r="A1128" s="369"/>
      <c r="B1128" s="373"/>
      <c r="C1128" s="373"/>
      <c r="D1128" s="373"/>
      <c r="E1128" s="373"/>
      <c r="F1128" s="373"/>
      <c r="G1128" s="373"/>
      <c r="H1128" s="373"/>
      <c r="I1128" s="373"/>
      <c r="J1128" s="373"/>
      <c r="K1128" s="373"/>
      <c r="L1128" s="373"/>
      <c r="M1128" s="373"/>
      <c r="N1128" s="373"/>
      <c r="O1128" s="373"/>
      <c r="P1128" s="373"/>
      <c r="Q1128" s="373"/>
    </row>
    <row r="1129" spans="1:17" ht="14.4">
      <c r="A1129" s="369"/>
      <c r="B1129" s="373"/>
      <c r="C1129" s="373"/>
      <c r="D1129" s="373"/>
      <c r="E1129" s="373"/>
      <c r="F1129" s="373"/>
      <c r="G1129" s="373"/>
      <c r="H1129" s="373"/>
      <c r="I1129" s="373"/>
      <c r="J1129" s="373"/>
      <c r="K1129" s="373"/>
      <c r="L1129" s="373"/>
      <c r="M1129" s="373"/>
      <c r="N1129" s="373"/>
      <c r="O1129" s="373"/>
      <c r="P1129" s="373"/>
      <c r="Q1129" s="373"/>
    </row>
    <row r="1130" spans="1:17" ht="14.4">
      <c r="A1130" s="369"/>
      <c r="B1130" s="373"/>
      <c r="C1130" s="373"/>
      <c r="D1130" s="373"/>
      <c r="E1130" s="373"/>
      <c r="F1130" s="373"/>
      <c r="G1130" s="373"/>
      <c r="H1130" s="373"/>
      <c r="I1130" s="373"/>
      <c r="J1130" s="373"/>
      <c r="K1130" s="373"/>
      <c r="L1130" s="373"/>
      <c r="M1130" s="373"/>
      <c r="N1130" s="373"/>
      <c r="O1130" s="373"/>
      <c r="P1130" s="373"/>
      <c r="Q1130" s="373"/>
    </row>
    <row r="1131" spans="1:17" ht="14.4">
      <c r="A1131" s="369"/>
      <c r="B1131" s="373"/>
      <c r="C1131" s="373"/>
      <c r="D1131" s="373"/>
      <c r="E1131" s="373"/>
      <c r="F1131" s="373"/>
      <c r="G1131" s="373"/>
      <c r="H1131" s="373"/>
      <c r="I1131" s="373"/>
      <c r="J1131" s="373"/>
      <c r="K1131" s="373"/>
      <c r="L1131" s="373"/>
      <c r="M1131" s="373"/>
      <c r="N1131" s="373"/>
      <c r="O1131" s="373"/>
      <c r="P1131" s="373"/>
      <c r="Q1131" s="373"/>
    </row>
    <row r="1132" spans="1:17" ht="14.4">
      <c r="A1132" s="369"/>
      <c r="B1132" s="373"/>
      <c r="C1132" s="373"/>
      <c r="D1132" s="373"/>
      <c r="E1132" s="373"/>
      <c r="F1132" s="373"/>
      <c r="G1132" s="373"/>
      <c r="H1132" s="373"/>
      <c r="I1132" s="373"/>
      <c r="J1132" s="373"/>
      <c r="K1132" s="373"/>
      <c r="L1132" s="373"/>
      <c r="M1132" s="373"/>
      <c r="N1132" s="373"/>
      <c r="O1132" s="373"/>
      <c r="P1132" s="373"/>
      <c r="Q1132" s="373"/>
    </row>
    <row r="1133" spans="1:17" ht="14.4">
      <c r="A1133" s="369"/>
      <c r="B1133" s="373"/>
      <c r="C1133" s="373"/>
      <c r="D1133" s="373"/>
      <c r="E1133" s="373"/>
      <c r="F1133" s="373"/>
      <c r="G1133" s="373"/>
      <c r="H1133" s="373"/>
      <c r="I1133" s="373"/>
      <c r="J1133" s="373"/>
      <c r="K1133" s="373"/>
      <c r="L1133" s="373"/>
      <c r="M1133" s="373"/>
      <c r="N1133" s="373"/>
      <c r="O1133" s="373"/>
      <c r="P1133" s="373"/>
      <c r="Q1133" s="373"/>
    </row>
    <row r="1134" spans="1:17" ht="14.4">
      <c r="A1134" s="369"/>
      <c r="B1134" s="373"/>
      <c r="C1134" s="373"/>
      <c r="D1134" s="373"/>
      <c r="E1134" s="373"/>
      <c r="F1134" s="373"/>
      <c r="G1134" s="373"/>
      <c r="H1134" s="373"/>
      <c r="I1134" s="373"/>
      <c r="J1134" s="373"/>
      <c r="K1134" s="373"/>
      <c r="L1134" s="373"/>
      <c r="M1134" s="373"/>
      <c r="N1134" s="373"/>
      <c r="O1134" s="373"/>
      <c r="P1134" s="373"/>
      <c r="Q1134" s="373"/>
    </row>
    <row r="1135" spans="1:17" ht="14.4">
      <c r="A1135" s="369"/>
      <c r="B1135" s="373"/>
      <c r="C1135" s="373"/>
      <c r="D1135" s="373"/>
      <c r="E1135" s="373"/>
      <c r="F1135" s="373"/>
      <c r="G1135" s="373"/>
      <c r="H1135" s="373"/>
      <c r="I1135" s="373"/>
      <c r="J1135" s="373"/>
      <c r="K1135" s="373"/>
      <c r="L1135" s="373"/>
      <c r="M1135" s="373"/>
      <c r="N1135" s="373"/>
      <c r="O1135" s="373"/>
      <c r="P1135" s="373"/>
      <c r="Q1135" s="373"/>
    </row>
    <row r="1136" spans="1:17" ht="14.4">
      <c r="A1136" s="369"/>
      <c r="B1136" s="373"/>
      <c r="C1136" s="373"/>
      <c r="D1136" s="373"/>
      <c r="E1136" s="373"/>
      <c r="F1136" s="373"/>
      <c r="G1136" s="373"/>
      <c r="H1136" s="373"/>
      <c r="I1136" s="373"/>
      <c r="J1136" s="373"/>
      <c r="K1136" s="373"/>
      <c r="L1136" s="373"/>
      <c r="M1136" s="373"/>
      <c r="N1136" s="373"/>
      <c r="O1136" s="373"/>
      <c r="P1136" s="373"/>
      <c r="Q1136" s="373"/>
    </row>
    <row r="1137" spans="1:17" ht="14.4">
      <c r="A1137" s="369"/>
      <c r="B1137" s="373"/>
      <c r="C1137" s="373"/>
      <c r="D1137" s="373"/>
      <c r="E1137" s="373"/>
      <c r="F1137" s="373"/>
      <c r="G1137" s="373"/>
      <c r="H1137" s="373"/>
      <c r="I1137" s="373"/>
      <c r="J1137" s="373"/>
      <c r="K1137" s="373"/>
      <c r="L1137" s="373"/>
      <c r="M1137" s="373"/>
      <c r="N1137" s="373"/>
      <c r="O1137" s="373"/>
      <c r="P1137" s="373"/>
      <c r="Q1137" s="373"/>
    </row>
    <row r="1138" spans="1:17" ht="14.4">
      <c r="A1138" s="369"/>
      <c r="B1138" s="373"/>
      <c r="C1138" s="373"/>
      <c r="D1138" s="373"/>
      <c r="E1138" s="373"/>
      <c r="F1138" s="373"/>
      <c r="G1138" s="373"/>
      <c r="H1138" s="373"/>
      <c r="I1138" s="373"/>
      <c r="J1138" s="373"/>
      <c r="K1138" s="373"/>
      <c r="L1138" s="373"/>
      <c r="M1138" s="373"/>
      <c r="N1138" s="373"/>
      <c r="O1138" s="373"/>
      <c r="P1138" s="373"/>
      <c r="Q1138" s="373"/>
    </row>
    <row r="1139" spans="1:17" ht="14.4">
      <c r="A1139" s="369"/>
      <c r="B1139" s="373"/>
      <c r="C1139" s="373"/>
      <c r="D1139" s="373"/>
      <c r="E1139" s="373"/>
      <c r="F1139" s="373"/>
      <c r="G1139" s="373"/>
      <c r="H1139" s="373"/>
      <c r="I1139" s="373"/>
      <c r="J1139" s="373"/>
      <c r="K1139" s="373"/>
      <c r="L1139" s="373"/>
      <c r="M1139" s="373"/>
      <c r="N1139" s="373"/>
      <c r="O1139" s="373"/>
      <c r="P1139" s="373"/>
      <c r="Q1139" s="373"/>
    </row>
    <row r="1140" spans="1:17" ht="14.4">
      <c r="A1140" s="369"/>
      <c r="B1140" s="373"/>
      <c r="C1140" s="373"/>
      <c r="D1140" s="373"/>
      <c r="E1140" s="373"/>
      <c r="F1140" s="373"/>
      <c r="G1140" s="373"/>
      <c r="H1140" s="373"/>
      <c r="I1140" s="373"/>
      <c r="J1140" s="373"/>
      <c r="K1140" s="373"/>
      <c r="L1140" s="373"/>
      <c r="M1140" s="373"/>
      <c r="N1140" s="373"/>
      <c r="O1140" s="373"/>
      <c r="P1140" s="373"/>
      <c r="Q1140" s="373"/>
    </row>
    <row r="1141" spans="1:17" ht="14.4">
      <c r="A1141" s="369"/>
      <c r="B1141" s="373"/>
      <c r="C1141" s="373"/>
      <c r="D1141" s="373"/>
      <c r="E1141" s="373"/>
      <c r="F1141" s="373"/>
      <c r="G1141" s="373"/>
      <c r="H1141" s="373"/>
      <c r="I1141" s="373"/>
      <c r="J1141" s="373"/>
      <c r="K1141" s="373"/>
      <c r="L1141" s="373"/>
      <c r="M1141" s="373"/>
      <c r="N1141" s="373"/>
      <c r="O1141" s="373"/>
      <c r="P1141" s="373"/>
      <c r="Q1141" s="373"/>
    </row>
    <row r="1142" spans="1:17" ht="14.4">
      <c r="A1142" s="369"/>
      <c r="B1142" s="373"/>
      <c r="C1142" s="373"/>
      <c r="D1142" s="373"/>
      <c r="E1142" s="373"/>
      <c r="F1142" s="373"/>
      <c r="G1142" s="373"/>
      <c r="H1142" s="373"/>
      <c r="I1142" s="373"/>
      <c r="J1142" s="373"/>
      <c r="K1142" s="373"/>
      <c r="L1142" s="373"/>
      <c r="M1142" s="373"/>
      <c r="N1142" s="373"/>
      <c r="O1142" s="373"/>
      <c r="P1142" s="373"/>
      <c r="Q1142" s="373"/>
    </row>
    <row r="1143" spans="1:17" ht="14.4">
      <c r="A1143" s="369"/>
      <c r="B1143" s="373"/>
      <c r="C1143" s="373"/>
      <c r="D1143" s="373"/>
      <c r="E1143" s="373"/>
      <c r="F1143" s="373"/>
      <c r="G1143" s="373"/>
      <c r="H1143" s="373"/>
      <c r="I1143" s="373"/>
      <c r="J1143" s="373"/>
      <c r="K1143" s="373"/>
      <c r="L1143" s="373"/>
      <c r="M1143" s="373"/>
      <c r="N1143" s="373"/>
      <c r="O1143" s="373"/>
      <c r="P1143" s="373"/>
      <c r="Q1143" s="373"/>
    </row>
    <row r="1144" spans="1:17" ht="14.4">
      <c r="A1144" s="369"/>
      <c r="B1144" s="373"/>
      <c r="C1144" s="373"/>
      <c r="D1144" s="373"/>
      <c r="E1144" s="373"/>
      <c r="F1144" s="373"/>
      <c r="G1144" s="373"/>
      <c r="H1144" s="373"/>
      <c r="I1144" s="373"/>
      <c r="J1144" s="373"/>
      <c r="K1144" s="373"/>
      <c r="L1144" s="373"/>
      <c r="M1144" s="373"/>
      <c r="N1144" s="373"/>
      <c r="O1144" s="373"/>
      <c r="P1144" s="373"/>
      <c r="Q1144" s="373"/>
    </row>
    <row r="1145" spans="1:17" ht="14.4">
      <c r="A1145" s="369"/>
      <c r="B1145" s="373"/>
      <c r="C1145" s="373"/>
      <c r="D1145" s="373"/>
      <c r="E1145" s="373"/>
      <c r="F1145" s="373"/>
      <c r="G1145" s="373"/>
      <c r="H1145" s="373"/>
      <c r="I1145" s="373"/>
      <c r="J1145" s="373"/>
      <c r="K1145" s="373"/>
      <c r="L1145" s="373"/>
      <c r="M1145" s="373"/>
      <c r="N1145" s="373"/>
      <c r="O1145" s="373"/>
      <c r="P1145" s="373"/>
      <c r="Q1145" s="373"/>
    </row>
    <row r="1146" spans="1:17" ht="14.4">
      <c r="A1146" s="369"/>
      <c r="B1146" s="373"/>
      <c r="C1146" s="373"/>
      <c r="D1146" s="373"/>
      <c r="E1146" s="373"/>
      <c r="F1146" s="373"/>
      <c r="G1146" s="373"/>
      <c r="H1146" s="373"/>
      <c r="I1146" s="373"/>
      <c r="J1146" s="373"/>
      <c r="K1146" s="373"/>
      <c r="L1146" s="373"/>
      <c r="M1146" s="373"/>
      <c r="N1146" s="373"/>
      <c r="O1146" s="373"/>
      <c r="P1146" s="373"/>
      <c r="Q1146" s="373"/>
    </row>
    <row r="1147" spans="1:17" ht="14.4">
      <c r="A1147" s="369"/>
      <c r="B1147" s="373"/>
      <c r="C1147" s="373"/>
      <c r="D1147" s="373"/>
      <c r="E1147" s="373"/>
      <c r="F1147" s="373"/>
      <c r="G1147" s="373"/>
      <c r="H1147" s="373"/>
      <c r="I1147" s="373"/>
      <c r="J1147" s="373"/>
      <c r="K1147" s="373"/>
      <c r="L1147" s="373"/>
      <c r="M1147" s="373"/>
      <c r="N1147" s="373"/>
      <c r="O1147" s="373"/>
      <c r="P1147" s="373"/>
      <c r="Q1147" s="373"/>
    </row>
    <row r="1148" spans="1:17" ht="14.4">
      <c r="A1148" s="369"/>
      <c r="B1148" s="373"/>
      <c r="C1148" s="373"/>
      <c r="D1148" s="373"/>
      <c r="E1148" s="373"/>
      <c r="F1148" s="373"/>
      <c r="G1148" s="373"/>
      <c r="H1148" s="373"/>
      <c r="I1148" s="373"/>
      <c r="J1148" s="373"/>
      <c r="K1148" s="373"/>
      <c r="L1148" s="373"/>
      <c r="M1148" s="373"/>
      <c r="N1148" s="373"/>
      <c r="O1148" s="373"/>
      <c r="P1148" s="373"/>
      <c r="Q1148" s="373"/>
    </row>
    <row r="1149" spans="1:17" ht="14.4">
      <c r="A1149" s="369"/>
      <c r="B1149" s="373"/>
      <c r="C1149" s="373"/>
      <c r="D1149" s="373"/>
      <c r="E1149" s="373"/>
      <c r="F1149" s="373"/>
      <c r="G1149" s="373"/>
      <c r="H1149" s="373"/>
      <c r="I1149" s="373"/>
      <c r="J1149" s="373"/>
      <c r="K1149" s="373"/>
      <c r="L1149" s="373"/>
      <c r="M1149" s="373"/>
      <c r="N1149" s="373"/>
      <c r="O1149" s="373"/>
      <c r="P1149" s="373"/>
      <c r="Q1149" s="373"/>
    </row>
    <row r="1150" spans="1:17" ht="14.4">
      <c r="A1150" s="369"/>
      <c r="B1150" s="373"/>
      <c r="C1150" s="373"/>
      <c r="D1150" s="373"/>
      <c r="E1150" s="373"/>
      <c r="F1150" s="373"/>
      <c r="G1150" s="373"/>
      <c r="H1150" s="373"/>
      <c r="I1150" s="373"/>
      <c r="J1150" s="373"/>
      <c r="K1150" s="373"/>
      <c r="L1150" s="373"/>
      <c r="M1150" s="373"/>
      <c r="N1150" s="373"/>
      <c r="O1150" s="373"/>
      <c r="P1150" s="373"/>
      <c r="Q1150" s="373"/>
    </row>
    <row r="1151" spans="1:17" ht="14.4">
      <c r="A1151" s="369"/>
      <c r="B1151" s="373"/>
      <c r="C1151" s="373"/>
      <c r="D1151" s="373"/>
      <c r="E1151" s="373"/>
      <c r="F1151" s="373"/>
      <c r="G1151" s="373"/>
      <c r="H1151" s="373"/>
      <c r="I1151" s="373"/>
      <c r="J1151" s="373"/>
      <c r="K1151" s="373"/>
      <c r="L1151" s="373"/>
      <c r="M1151" s="373"/>
      <c r="N1151" s="373"/>
      <c r="O1151" s="373"/>
      <c r="P1151" s="373"/>
      <c r="Q1151" s="373"/>
    </row>
    <row r="1152" spans="1:17" ht="14.4">
      <c r="A1152" s="369"/>
      <c r="B1152" s="373"/>
      <c r="C1152" s="373"/>
      <c r="D1152" s="373"/>
      <c r="E1152" s="373"/>
      <c r="F1152" s="373"/>
      <c r="G1152" s="373"/>
      <c r="H1152" s="373"/>
      <c r="I1152" s="373"/>
      <c r="J1152" s="373"/>
      <c r="K1152" s="373"/>
      <c r="L1152" s="373"/>
      <c r="M1152" s="373"/>
      <c r="N1152" s="373"/>
      <c r="O1152" s="373"/>
      <c r="P1152" s="373"/>
      <c r="Q1152" s="373"/>
    </row>
    <row r="1153" spans="1:17" ht="14.4">
      <c r="A1153" s="369"/>
      <c r="B1153" s="373"/>
      <c r="C1153" s="373"/>
      <c r="D1153" s="373"/>
      <c r="E1153" s="373"/>
      <c r="F1153" s="373"/>
      <c r="G1153" s="373"/>
      <c r="H1153" s="373"/>
      <c r="I1153" s="373"/>
      <c r="J1153" s="373"/>
      <c r="K1153" s="373"/>
      <c r="L1153" s="373"/>
      <c r="M1153" s="373"/>
      <c r="N1153" s="373"/>
      <c r="O1153" s="373"/>
      <c r="P1153" s="373"/>
      <c r="Q1153" s="373"/>
    </row>
    <row r="1154" spans="1:17" ht="14.4">
      <c r="A1154" s="369"/>
      <c r="B1154" s="373"/>
      <c r="C1154" s="373"/>
      <c r="D1154" s="373"/>
      <c r="E1154" s="373"/>
      <c r="F1154" s="373"/>
      <c r="G1154" s="373"/>
      <c r="H1154" s="373"/>
      <c r="I1154" s="373"/>
      <c r="J1154" s="373"/>
      <c r="K1154" s="373"/>
      <c r="L1154" s="373"/>
      <c r="M1154" s="373"/>
      <c r="N1154" s="373"/>
      <c r="O1154" s="373"/>
      <c r="P1154" s="373"/>
      <c r="Q1154" s="373"/>
    </row>
    <row r="1155" spans="1:17" ht="14.4">
      <c r="A1155" s="369"/>
      <c r="B1155" s="373"/>
      <c r="C1155" s="373"/>
      <c r="D1155" s="373"/>
      <c r="E1155" s="373"/>
      <c r="F1155" s="373"/>
      <c r="G1155" s="373"/>
      <c r="H1155" s="373"/>
      <c r="I1155" s="373"/>
      <c r="J1155" s="373"/>
      <c r="K1155" s="373"/>
      <c r="L1155" s="373"/>
      <c r="M1155" s="373"/>
      <c r="N1155" s="373"/>
      <c r="O1155" s="373"/>
      <c r="P1155" s="373"/>
      <c r="Q1155" s="373"/>
    </row>
    <row r="1156" spans="1:17" ht="14.4">
      <c r="A1156" s="369"/>
      <c r="B1156" s="373"/>
      <c r="C1156" s="373"/>
      <c r="D1156" s="373"/>
      <c r="E1156" s="373"/>
      <c r="F1156" s="373"/>
      <c r="G1156" s="373"/>
      <c r="H1156" s="373"/>
      <c r="I1156" s="373"/>
      <c r="J1156" s="373"/>
      <c r="K1156" s="373"/>
      <c r="L1156" s="373"/>
      <c r="M1156" s="373"/>
      <c r="N1156" s="373"/>
      <c r="O1156" s="373"/>
      <c r="P1156" s="373"/>
      <c r="Q1156" s="373"/>
    </row>
    <row r="1157" spans="1:17" ht="14.4">
      <c r="A1157" s="369"/>
      <c r="B1157" s="373"/>
      <c r="C1157" s="373"/>
      <c r="D1157" s="373"/>
      <c r="E1157" s="373"/>
      <c r="F1157" s="373"/>
      <c r="G1157" s="373"/>
      <c r="H1157" s="373"/>
      <c r="I1157" s="373"/>
      <c r="J1157" s="373"/>
      <c r="K1157" s="373"/>
      <c r="L1157" s="373"/>
      <c r="M1157" s="373"/>
      <c r="N1157" s="373"/>
      <c r="O1157" s="373"/>
      <c r="P1157" s="373"/>
      <c r="Q1157" s="373"/>
    </row>
    <row r="1158" spans="1:17" ht="14.4">
      <c r="A1158" s="369"/>
      <c r="B1158" s="373"/>
      <c r="C1158" s="373"/>
      <c r="D1158" s="373"/>
      <c r="E1158" s="373"/>
      <c r="F1158" s="373"/>
      <c r="G1158" s="373"/>
      <c r="H1158" s="373"/>
      <c r="I1158" s="373"/>
      <c r="J1158" s="373"/>
      <c r="K1158" s="373"/>
      <c r="L1158" s="373"/>
      <c r="M1158" s="373"/>
      <c r="N1158" s="373"/>
      <c r="O1158" s="373"/>
      <c r="P1158" s="373"/>
      <c r="Q1158" s="373"/>
    </row>
    <row r="1159" spans="1:17" ht="14.4">
      <c r="A1159" s="369"/>
      <c r="B1159" s="373"/>
      <c r="C1159" s="373"/>
      <c r="D1159" s="373"/>
      <c r="E1159" s="373"/>
      <c r="F1159" s="373"/>
      <c r="G1159" s="373"/>
      <c r="H1159" s="373"/>
      <c r="I1159" s="373"/>
      <c r="J1159" s="373"/>
      <c r="K1159" s="373"/>
      <c r="L1159" s="373"/>
      <c r="M1159" s="373"/>
      <c r="N1159" s="373"/>
      <c r="O1159" s="373"/>
      <c r="P1159" s="373"/>
      <c r="Q1159" s="373"/>
    </row>
    <row r="1160" spans="1:17" ht="14.4">
      <c r="A1160" s="369"/>
      <c r="B1160" s="373"/>
      <c r="C1160" s="373"/>
      <c r="D1160" s="373"/>
      <c r="E1160" s="373"/>
      <c r="F1160" s="373"/>
      <c r="G1160" s="373"/>
      <c r="H1160" s="373"/>
      <c r="I1160" s="373"/>
      <c r="J1160" s="373"/>
      <c r="K1160" s="373"/>
      <c r="L1160" s="373"/>
      <c r="M1160" s="373"/>
      <c r="N1160" s="373"/>
      <c r="O1160" s="373"/>
      <c r="P1160" s="373"/>
      <c r="Q1160" s="373"/>
    </row>
    <row r="1161" spans="1:17" ht="14.4">
      <c r="A1161" s="369"/>
      <c r="B1161" s="373"/>
      <c r="C1161" s="373"/>
      <c r="D1161" s="373"/>
      <c r="E1161" s="373"/>
      <c r="F1161" s="373"/>
      <c r="G1161" s="373"/>
      <c r="H1161" s="373"/>
      <c r="I1161" s="373"/>
      <c r="J1161" s="373"/>
      <c r="K1161" s="373"/>
      <c r="L1161" s="373"/>
      <c r="M1161" s="373"/>
      <c r="N1161" s="373"/>
      <c r="O1161" s="373"/>
      <c r="P1161" s="373"/>
      <c r="Q1161" s="373"/>
    </row>
    <row r="1162" spans="1:17" ht="14.4">
      <c r="A1162" s="369"/>
      <c r="B1162" s="373"/>
      <c r="C1162" s="373"/>
      <c r="D1162" s="373"/>
      <c r="E1162" s="373"/>
      <c r="F1162" s="373"/>
      <c r="G1162" s="373"/>
      <c r="H1162" s="373"/>
      <c r="I1162" s="373"/>
      <c r="J1162" s="373"/>
      <c r="K1162" s="373"/>
      <c r="L1162" s="373"/>
      <c r="M1162" s="373"/>
      <c r="N1162" s="373"/>
      <c r="O1162" s="373"/>
      <c r="P1162" s="373"/>
      <c r="Q1162" s="373"/>
    </row>
    <row r="1163" spans="1:17" ht="14.4">
      <c r="A1163" s="369"/>
      <c r="B1163" s="373"/>
      <c r="C1163" s="373"/>
      <c r="D1163" s="373"/>
      <c r="E1163" s="373"/>
      <c r="F1163" s="373"/>
      <c r="G1163" s="373"/>
      <c r="H1163" s="373"/>
      <c r="I1163" s="373"/>
      <c r="J1163" s="373"/>
      <c r="K1163" s="373"/>
      <c r="L1163" s="373"/>
      <c r="M1163" s="373"/>
      <c r="N1163" s="373"/>
      <c r="O1163" s="373"/>
      <c r="P1163" s="373"/>
      <c r="Q1163" s="373"/>
    </row>
    <row r="1164" spans="1:17" ht="14.4">
      <c r="A1164" s="369"/>
      <c r="B1164" s="373"/>
      <c r="C1164" s="373"/>
      <c r="D1164" s="373"/>
      <c r="E1164" s="373"/>
      <c r="F1164" s="373"/>
      <c r="G1164" s="373"/>
      <c r="H1164" s="373"/>
      <c r="I1164" s="373"/>
      <c r="J1164" s="373"/>
      <c r="K1164" s="373"/>
      <c r="L1164" s="373"/>
      <c r="M1164" s="373"/>
      <c r="N1164" s="373"/>
      <c r="O1164" s="373"/>
      <c r="P1164" s="373"/>
      <c r="Q1164" s="373"/>
    </row>
    <row r="1165" spans="1:17" ht="14.4">
      <c r="A1165" s="369"/>
      <c r="B1165" s="373"/>
      <c r="C1165" s="373"/>
      <c r="D1165" s="373"/>
      <c r="E1165" s="373"/>
      <c r="F1165" s="373"/>
      <c r="G1165" s="373"/>
      <c r="H1165" s="373"/>
      <c r="I1165" s="373"/>
      <c r="J1165" s="373"/>
      <c r="K1165" s="373"/>
      <c r="L1165" s="373"/>
      <c r="M1165" s="373"/>
      <c r="N1165" s="373"/>
      <c r="O1165" s="373"/>
      <c r="P1165" s="373"/>
      <c r="Q1165" s="373"/>
    </row>
    <row r="1166" spans="1:17" ht="14.4">
      <c r="A1166" s="369"/>
      <c r="B1166" s="373"/>
      <c r="C1166" s="373"/>
      <c r="D1166" s="373"/>
      <c r="E1166" s="373"/>
      <c r="F1166" s="373"/>
      <c r="G1166" s="373"/>
      <c r="H1166" s="373"/>
      <c r="I1166" s="373"/>
      <c r="J1166" s="373"/>
      <c r="K1166" s="373"/>
      <c r="L1166" s="373"/>
      <c r="M1166" s="373"/>
      <c r="N1166" s="373"/>
      <c r="O1166" s="373"/>
      <c r="P1166" s="373"/>
      <c r="Q1166" s="373"/>
    </row>
    <row r="1167" spans="1:17" ht="14.4">
      <c r="A1167" s="369"/>
      <c r="B1167" s="373"/>
      <c r="C1167" s="373"/>
      <c r="D1167" s="373"/>
      <c r="E1167" s="373"/>
      <c r="F1167" s="373"/>
      <c r="G1167" s="373"/>
      <c r="H1167" s="373"/>
      <c r="I1167" s="373"/>
      <c r="J1167" s="373"/>
      <c r="K1167" s="373"/>
      <c r="L1167" s="373"/>
      <c r="M1167" s="373"/>
      <c r="N1167" s="373"/>
      <c r="O1167" s="373"/>
      <c r="P1167" s="373"/>
      <c r="Q1167" s="373"/>
    </row>
    <row r="1168" spans="1:17" ht="14.4">
      <c r="A1168" s="369"/>
      <c r="B1168" s="373"/>
      <c r="C1168" s="373"/>
      <c r="D1168" s="373"/>
      <c r="E1168" s="373"/>
      <c r="F1168" s="373"/>
      <c r="G1168" s="373"/>
      <c r="H1168" s="373"/>
      <c r="I1168" s="373"/>
      <c r="J1168" s="373"/>
      <c r="K1168" s="373"/>
      <c r="L1168" s="373"/>
      <c r="M1168" s="373"/>
      <c r="N1168" s="373"/>
      <c r="O1168" s="373"/>
      <c r="P1168" s="373"/>
      <c r="Q1168" s="373"/>
    </row>
    <row r="1169" spans="1:17" ht="14.4">
      <c r="A1169" s="369"/>
      <c r="B1169" s="373"/>
      <c r="C1169" s="373"/>
      <c r="D1169" s="373"/>
      <c r="E1169" s="373"/>
      <c r="F1169" s="373"/>
      <c r="G1169" s="373"/>
      <c r="H1169" s="373"/>
      <c r="I1169" s="373"/>
      <c r="J1169" s="373"/>
      <c r="K1169" s="373"/>
      <c r="L1169" s="373"/>
      <c r="M1169" s="373"/>
      <c r="N1169" s="373"/>
      <c r="O1169" s="373"/>
      <c r="P1169" s="373"/>
      <c r="Q1169" s="373"/>
    </row>
    <row r="1170" spans="1:17" ht="14.4">
      <c r="A1170" s="369"/>
      <c r="B1170" s="373"/>
      <c r="C1170" s="373"/>
      <c r="D1170" s="373"/>
      <c r="E1170" s="373"/>
      <c r="F1170" s="373"/>
      <c r="G1170" s="373"/>
      <c r="H1170" s="373"/>
      <c r="I1170" s="373"/>
      <c r="J1170" s="373"/>
      <c r="K1170" s="373"/>
      <c r="L1170" s="373"/>
      <c r="M1170" s="373"/>
      <c r="N1170" s="373"/>
      <c r="O1170" s="373"/>
      <c r="P1170" s="373"/>
      <c r="Q1170" s="373"/>
    </row>
    <row r="1171" spans="1:17" ht="14.4">
      <c r="A1171" s="369"/>
      <c r="B1171" s="373"/>
      <c r="C1171" s="373"/>
      <c r="D1171" s="373"/>
      <c r="E1171" s="373"/>
      <c r="F1171" s="373"/>
      <c r="G1171" s="373"/>
      <c r="H1171" s="373"/>
      <c r="I1171" s="373"/>
      <c r="J1171" s="373"/>
      <c r="K1171" s="373"/>
      <c r="L1171" s="373"/>
      <c r="M1171" s="373"/>
      <c r="N1171" s="373"/>
      <c r="O1171" s="373"/>
      <c r="P1171" s="373"/>
      <c r="Q1171" s="373"/>
    </row>
    <row r="1172" spans="1:17" ht="14.4">
      <c r="A1172" s="369"/>
      <c r="B1172" s="373"/>
      <c r="C1172" s="373"/>
      <c r="D1172" s="373"/>
      <c r="E1172" s="373"/>
      <c r="F1172" s="373"/>
      <c r="G1172" s="373"/>
      <c r="H1172" s="373"/>
      <c r="I1172" s="373"/>
      <c r="J1172" s="373"/>
      <c r="K1172" s="373"/>
      <c r="L1172" s="373"/>
      <c r="M1172" s="373"/>
      <c r="N1172" s="373"/>
      <c r="O1172" s="373"/>
      <c r="P1172" s="373"/>
      <c r="Q1172" s="373"/>
    </row>
    <row r="1173" spans="1:17" ht="14.4">
      <c r="A1173" s="369"/>
      <c r="B1173" s="373"/>
      <c r="C1173" s="373"/>
      <c r="D1173" s="373"/>
      <c r="E1173" s="373"/>
      <c r="F1173" s="373"/>
      <c r="G1173" s="373"/>
      <c r="H1173" s="373"/>
      <c r="I1173" s="373"/>
      <c r="J1173" s="373"/>
      <c r="K1173" s="373"/>
      <c r="L1173" s="373"/>
      <c r="M1173" s="373"/>
      <c r="N1173" s="373"/>
      <c r="O1173" s="373"/>
      <c r="P1173" s="373"/>
      <c r="Q1173" s="373"/>
    </row>
    <row r="1174" spans="1:17" ht="14.4">
      <c r="A1174" s="369"/>
      <c r="B1174" s="373"/>
      <c r="C1174" s="373"/>
      <c r="D1174" s="373"/>
      <c r="E1174" s="373"/>
      <c r="F1174" s="373"/>
      <c r="G1174" s="373"/>
      <c r="H1174" s="373"/>
      <c r="I1174" s="373"/>
      <c r="J1174" s="373"/>
      <c r="K1174" s="373"/>
      <c r="L1174" s="373"/>
      <c r="M1174" s="373"/>
      <c r="N1174" s="373"/>
      <c r="O1174" s="373"/>
      <c r="P1174" s="373"/>
      <c r="Q1174" s="373"/>
    </row>
    <row r="1175" spans="1:17" ht="14.4">
      <c r="A1175" s="369"/>
      <c r="B1175" s="373"/>
      <c r="C1175" s="373"/>
      <c r="D1175" s="373"/>
      <c r="E1175" s="373"/>
      <c r="F1175" s="373"/>
      <c r="G1175" s="373"/>
      <c r="H1175" s="373"/>
      <c r="I1175" s="373"/>
      <c r="J1175" s="373"/>
      <c r="K1175" s="373"/>
      <c r="L1175" s="373"/>
      <c r="M1175" s="373"/>
      <c r="N1175" s="373"/>
      <c r="O1175" s="373"/>
      <c r="P1175" s="373"/>
      <c r="Q1175" s="373"/>
    </row>
    <row r="1176" spans="1:17" ht="14.4">
      <c r="A1176" s="369"/>
      <c r="B1176" s="373"/>
      <c r="C1176" s="373"/>
      <c r="D1176" s="373"/>
      <c r="E1176" s="373"/>
      <c r="F1176" s="373"/>
      <c r="G1176" s="373"/>
      <c r="H1176" s="373"/>
      <c r="I1176" s="373"/>
      <c r="J1176" s="373"/>
      <c r="K1176" s="373"/>
      <c r="L1176" s="373"/>
      <c r="M1176" s="373"/>
      <c r="N1176" s="373"/>
      <c r="O1176" s="373"/>
      <c r="P1176" s="373"/>
      <c r="Q1176" s="373"/>
    </row>
    <row r="1177" spans="1:17" ht="14.4">
      <c r="A1177" s="369"/>
      <c r="B1177" s="373"/>
      <c r="C1177" s="373"/>
      <c r="D1177" s="373"/>
      <c r="E1177" s="373"/>
      <c r="F1177" s="373"/>
      <c r="G1177" s="373"/>
      <c r="H1177" s="373"/>
      <c r="I1177" s="373"/>
      <c r="J1177" s="373"/>
      <c r="K1177" s="373"/>
      <c r="L1177" s="373"/>
      <c r="M1177" s="373"/>
      <c r="N1177" s="373"/>
      <c r="O1177" s="373"/>
      <c r="P1177" s="373"/>
      <c r="Q1177" s="373"/>
    </row>
    <row r="1178" spans="1:17" ht="14.4">
      <c r="A1178" s="369"/>
      <c r="B1178" s="373"/>
      <c r="C1178" s="373"/>
      <c r="D1178" s="373"/>
      <c r="E1178" s="373"/>
      <c r="F1178" s="373"/>
      <c r="G1178" s="373"/>
      <c r="H1178" s="373"/>
      <c r="I1178" s="373"/>
      <c r="J1178" s="373"/>
      <c r="K1178" s="373"/>
      <c r="L1178" s="373"/>
      <c r="M1178" s="373"/>
      <c r="N1178" s="373"/>
      <c r="O1178" s="373"/>
      <c r="P1178" s="373"/>
      <c r="Q1178" s="373"/>
    </row>
    <row r="1179" spans="1:17" ht="14.4">
      <c r="A1179" s="369"/>
      <c r="B1179" s="373"/>
      <c r="C1179" s="373"/>
      <c r="D1179" s="373"/>
      <c r="E1179" s="373"/>
      <c r="F1179" s="373"/>
      <c r="G1179" s="373"/>
      <c r="H1179" s="373"/>
      <c r="I1179" s="373"/>
      <c r="J1179" s="373"/>
      <c r="K1179" s="373"/>
      <c r="L1179" s="373"/>
      <c r="M1179" s="373"/>
      <c r="N1179" s="373"/>
      <c r="O1179" s="373"/>
      <c r="P1179" s="373"/>
      <c r="Q1179" s="373"/>
    </row>
    <row r="1180" spans="1:17" ht="14.4">
      <c r="A1180" s="369"/>
      <c r="B1180" s="373"/>
      <c r="C1180" s="373"/>
      <c r="D1180" s="373"/>
      <c r="E1180" s="373"/>
      <c r="F1180" s="373"/>
      <c r="G1180" s="373"/>
      <c r="H1180" s="373"/>
      <c r="I1180" s="373"/>
      <c r="J1180" s="373"/>
      <c r="K1180" s="373"/>
      <c r="L1180" s="373"/>
      <c r="M1180" s="373"/>
      <c r="N1180" s="373"/>
      <c r="O1180" s="373"/>
      <c r="P1180" s="373"/>
      <c r="Q1180" s="373"/>
    </row>
    <row r="1181" spans="1:17" ht="14.4">
      <c r="A1181" s="369"/>
      <c r="B1181" s="373"/>
      <c r="C1181" s="373"/>
      <c r="D1181" s="373"/>
      <c r="E1181" s="373"/>
      <c r="F1181" s="373"/>
      <c r="G1181" s="373"/>
      <c r="H1181" s="373"/>
      <c r="I1181" s="373"/>
      <c r="J1181" s="373"/>
      <c r="K1181" s="373"/>
      <c r="L1181" s="373"/>
      <c r="M1181" s="373"/>
      <c r="N1181" s="373"/>
      <c r="O1181" s="373"/>
      <c r="P1181" s="373"/>
      <c r="Q1181" s="373"/>
    </row>
    <row r="1182" spans="1:17" ht="14.4">
      <c r="A1182" s="369"/>
      <c r="B1182" s="373"/>
      <c r="C1182" s="373"/>
      <c r="D1182" s="373"/>
      <c r="E1182" s="373"/>
      <c r="F1182" s="373"/>
      <c r="G1182" s="373"/>
      <c r="H1182" s="373"/>
      <c r="I1182" s="373"/>
      <c r="J1182" s="373"/>
      <c r="K1182" s="373"/>
      <c r="L1182" s="373"/>
      <c r="M1182" s="373"/>
      <c r="N1182" s="373"/>
      <c r="O1182" s="373"/>
      <c r="P1182" s="373"/>
      <c r="Q1182" s="373"/>
    </row>
    <row r="1183" spans="1:17" ht="14.4">
      <c r="A1183" s="369"/>
      <c r="B1183" s="373"/>
      <c r="C1183" s="373"/>
      <c r="D1183" s="373"/>
      <c r="E1183" s="373"/>
      <c r="F1183" s="373"/>
      <c r="G1183" s="373"/>
      <c r="H1183" s="373"/>
      <c r="I1183" s="373"/>
      <c r="J1183" s="373"/>
      <c r="K1183" s="373"/>
      <c r="L1183" s="373"/>
      <c r="M1183" s="373"/>
      <c r="N1183" s="373"/>
      <c r="O1183" s="373"/>
      <c r="P1183" s="373"/>
      <c r="Q1183" s="373"/>
    </row>
    <row r="1184" spans="1:17" ht="14.4">
      <c r="A1184" s="369"/>
      <c r="B1184" s="373"/>
      <c r="C1184" s="373"/>
      <c r="D1184" s="373"/>
      <c r="E1184" s="373"/>
      <c r="F1184" s="373"/>
      <c r="G1184" s="373"/>
      <c r="H1184" s="373"/>
      <c r="I1184" s="373"/>
      <c r="J1184" s="373"/>
      <c r="K1184" s="373"/>
      <c r="L1184" s="373"/>
      <c r="M1184" s="373"/>
      <c r="N1184" s="373"/>
      <c r="O1184" s="373"/>
      <c r="P1184" s="373"/>
      <c r="Q1184" s="373"/>
    </row>
    <row r="1185" spans="1:17" ht="14.4">
      <c r="A1185" s="369"/>
      <c r="B1185" s="373"/>
      <c r="C1185" s="373"/>
      <c r="D1185" s="373"/>
      <c r="E1185" s="373"/>
      <c r="F1185" s="373"/>
      <c r="G1185" s="373"/>
      <c r="H1185" s="373"/>
      <c r="I1185" s="373"/>
      <c r="J1185" s="373"/>
      <c r="K1185" s="373"/>
      <c r="L1185" s="373"/>
      <c r="M1185" s="373"/>
      <c r="N1185" s="373"/>
      <c r="O1185" s="373"/>
      <c r="P1185" s="373"/>
      <c r="Q1185" s="373"/>
    </row>
    <row r="1186" spans="1:17" ht="14.4">
      <c r="A1186" s="369"/>
      <c r="B1186" s="373"/>
      <c r="C1186" s="373"/>
      <c r="D1186" s="373"/>
      <c r="E1186" s="373"/>
      <c r="F1186" s="373"/>
      <c r="G1186" s="373"/>
      <c r="H1186" s="373"/>
      <c r="I1186" s="373"/>
      <c r="J1186" s="373"/>
      <c r="K1186" s="373"/>
      <c r="L1186" s="373"/>
      <c r="M1186" s="373"/>
      <c r="N1186" s="373"/>
      <c r="O1186" s="373"/>
      <c r="P1186" s="373"/>
      <c r="Q1186" s="373"/>
    </row>
    <row r="1187" spans="1:17" ht="14.4">
      <c r="A1187" s="369"/>
      <c r="B1187" s="373"/>
      <c r="C1187" s="373"/>
      <c r="D1187" s="373"/>
      <c r="E1187" s="373"/>
      <c r="F1187" s="373"/>
      <c r="G1187" s="373"/>
      <c r="H1187" s="373"/>
      <c r="I1187" s="373"/>
      <c r="J1187" s="373"/>
      <c r="K1187" s="373"/>
      <c r="L1187" s="373"/>
      <c r="M1187" s="373"/>
      <c r="N1187" s="373"/>
      <c r="O1187" s="373"/>
      <c r="P1187" s="373"/>
      <c r="Q1187" s="373"/>
    </row>
    <row r="1188" spans="1:17" ht="14.4">
      <c r="A1188" s="369"/>
      <c r="B1188" s="373"/>
      <c r="C1188" s="373"/>
      <c r="D1188" s="373"/>
      <c r="E1188" s="373"/>
      <c r="F1188" s="373"/>
      <c r="G1188" s="373"/>
      <c r="H1188" s="373"/>
      <c r="I1188" s="373"/>
      <c r="J1188" s="373"/>
      <c r="K1188" s="373"/>
      <c r="L1188" s="373"/>
      <c r="M1188" s="373"/>
      <c r="N1188" s="373"/>
      <c r="O1188" s="373"/>
      <c r="P1188" s="373"/>
      <c r="Q1188" s="373"/>
    </row>
    <row r="1189" spans="1:17">
      <c r="A1189" s="390"/>
      <c r="B1189" s="390"/>
      <c r="C1189" s="390"/>
      <c r="D1189" s="390"/>
      <c r="E1189" s="390"/>
      <c r="F1189" s="390"/>
      <c r="G1189" s="390"/>
      <c r="H1189" s="390"/>
      <c r="I1189" s="390"/>
      <c r="J1189" s="390"/>
      <c r="K1189" s="390"/>
      <c r="L1189" s="390"/>
      <c r="M1189" s="390"/>
      <c r="N1189" s="390"/>
      <c r="O1189" s="390"/>
      <c r="P1189" s="390"/>
      <c r="Q1189" s="390"/>
    </row>
    <row r="1190" spans="1:17" ht="14.4">
      <c r="A1190" s="373"/>
      <c r="B1190" s="373"/>
      <c r="C1190" s="373"/>
      <c r="D1190" s="373"/>
      <c r="E1190" s="373"/>
      <c r="F1190" s="373"/>
      <c r="G1190" s="373"/>
      <c r="H1190" s="373"/>
      <c r="I1190" s="373"/>
      <c r="J1190" s="373"/>
      <c r="K1190" s="373"/>
      <c r="L1190" s="373"/>
      <c r="M1190" s="373"/>
      <c r="N1190" s="373"/>
      <c r="O1190" s="373"/>
      <c r="P1190" s="373"/>
      <c r="Q1190" s="373"/>
    </row>
  </sheetData>
  <mergeCells count="9">
    <mergeCell ref="A113:Q113"/>
    <mergeCell ref="A152:Q152"/>
    <mergeCell ref="A3:F3"/>
    <mergeCell ref="A4:F4"/>
    <mergeCell ref="A22:Q22"/>
    <mergeCell ref="A61:Q61"/>
    <mergeCell ref="A108:Q108"/>
    <mergeCell ref="A69:Q69"/>
    <mergeCell ref="A16:J2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sheetPr codeName="Hoja8">
    <pageSetUpPr fitToPage="1"/>
  </sheetPr>
  <dimension ref="A1:T59"/>
  <sheetViews>
    <sheetView zoomScale="70" workbookViewId="0">
      <pane xSplit="1" ySplit="2" topLeftCell="B3" activePane="bottomRight" state="frozen"/>
      <selection activeCell="E37" activeCellId="2" sqref="K15 C37 E37"/>
      <selection pane="topRight" activeCell="E37" activeCellId="2" sqref="K15 C37 E37"/>
      <selection pane="bottomLeft" activeCell="E37" activeCellId="2" sqref="K15 C37 E37"/>
      <selection pane="bottomRight"/>
    </sheetView>
  </sheetViews>
  <sheetFormatPr baseColWidth="10" defaultColWidth="11.44140625" defaultRowHeight="13.2"/>
  <cols>
    <col min="1" max="1" width="36.44140625" style="74" customWidth="1"/>
    <col min="2" max="2" width="17.33203125" style="74" bestFit="1" customWidth="1"/>
    <col min="3" max="3" width="17.33203125" style="74" customWidth="1"/>
    <col min="4" max="4" width="19.6640625" style="74" customWidth="1"/>
    <col min="5" max="5" width="14" style="74" bestFit="1" customWidth="1"/>
    <col min="6" max="6" width="14.5546875" style="74" bestFit="1" customWidth="1"/>
    <col min="7" max="10" width="14" style="74" bestFit="1" customWidth="1"/>
    <col min="11" max="11" width="13.5546875" style="74" bestFit="1" customWidth="1"/>
    <col min="12" max="13" width="14" style="74" bestFit="1" customWidth="1"/>
    <col min="14" max="15" width="16.33203125" style="74" customWidth="1"/>
    <col min="16" max="16" width="15.5546875" style="74" customWidth="1"/>
    <col min="17" max="17" width="16.33203125" style="74" customWidth="1"/>
    <col min="18" max="18" width="15.88671875" style="74" customWidth="1"/>
    <col min="19" max="19" width="12.88671875" style="74" bestFit="1" customWidth="1"/>
    <col min="20" max="20" width="16.33203125" style="75" bestFit="1" customWidth="1"/>
    <col min="21" max="16384" width="11.44140625" style="74"/>
  </cols>
  <sheetData>
    <row r="1" spans="1:20">
      <c r="A1" s="71"/>
      <c r="B1" s="72"/>
      <c r="C1" s="73" t="s">
        <v>266</v>
      </c>
      <c r="D1" s="73" t="s">
        <v>2</v>
      </c>
      <c r="E1" s="73" t="s">
        <v>3</v>
      </c>
      <c r="F1" s="73" t="s">
        <v>4</v>
      </c>
      <c r="G1" s="73" t="s">
        <v>5</v>
      </c>
      <c r="H1" s="73" t="s">
        <v>6</v>
      </c>
      <c r="I1" s="73" t="s">
        <v>7</v>
      </c>
      <c r="J1" s="73" t="s">
        <v>8</v>
      </c>
      <c r="K1" s="73" t="s">
        <v>9</v>
      </c>
      <c r="L1" s="73" t="s">
        <v>10</v>
      </c>
      <c r="M1" s="73" t="s">
        <v>11</v>
      </c>
      <c r="N1" s="73" t="s">
        <v>26</v>
      </c>
      <c r="O1" s="73" t="s">
        <v>52</v>
      </c>
      <c r="P1" s="73" t="s">
        <v>53</v>
      </c>
      <c r="Q1" s="73" t="s">
        <v>54</v>
      </c>
      <c r="R1" s="73" t="s">
        <v>55</v>
      </c>
    </row>
    <row r="2" spans="1:20" ht="26.4">
      <c r="A2" s="76"/>
      <c r="B2" s="77"/>
      <c r="C2" s="304" t="s">
        <v>35</v>
      </c>
      <c r="D2" s="352" t="s">
        <v>407</v>
      </c>
      <c r="E2" s="352" t="s">
        <v>408</v>
      </c>
      <c r="F2" s="352" t="s">
        <v>409</v>
      </c>
      <c r="G2" s="352" t="s">
        <v>410</v>
      </c>
      <c r="H2" s="352" t="s">
        <v>411</v>
      </c>
      <c r="I2" s="352" t="s">
        <v>412</v>
      </c>
      <c r="J2" s="352" t="s">
        <v>413</v>
      </c>
      <c r="K2" s="352" t="s">
        <v>414</v>
      </c>
      <c r="L2" s="352" t="s">
        <v>415</v>
      </c>
      <c r="M2" s="352" t="s">
        <v>416</v>
      </c>
      <c r="N2" s="352" t="s">
        <v>417</v>
      </c>
      <c r="O2" s="352" t="s">
        <v>418</v>
      </c>
      <c r="P2" s="352" t="s">
        <v>419</v>
      </c>
      <c r="Q2" s="352" t="s">
        <v>420</v>
      </c>
      <c r="R2" s="352" t="s">
        <v>421</v>
      </c>
      <c r="T2" s="78"/>
    </row>
    <row r="3" spans="1:20">
      <c r="A3" s="74" t="s">
        <v>443</v>
      </c>
      <c r="B3" s="100" t="s">
        <v>109</v>
      </c>
      <c r="C3" s="80">
        <f>'Initial Data'!C72/1000</f>
        <v>26961.051310714291</v>
      </c>
      <c r="E3" s="81">
        <f>+C3/$C$8</f>
        <v>0.61435855966360642</v>
      </c>
      <c r="F3" s="82"/>
      <c r="G3" s="83"/>
      <c r="H3" s="84"/>
      <c r="I3" s="84"/>
      <c r="J3" s="84"/>
      <c r="K3" s="84"/>
      <c r="L3" s="84"/>
      <c r="M3" s="85"/>
      <c r="N3" s="84"/>
      <c r="O3" s="86"/>
      <c r="P3" s="87"/>
      <c r="Q3" s="87"/>
      <c r="R3" s="87"/>
      <c r="T3" s="88"/>
    </row>
    <row r="4" spans="1:20">
      <c r="A4" s="74" t="s">
        <v>432</v>
      </c>
      <c r="B4" s="100" t="s">
        <v>109</v>
      </c>
      <c r="C4" s="80">
        <f>'Initial Data'!C73/1000</f>
        <v>8578.053741964286</v>
      </c>
      <c r="E4" s="81">
        <f>+C4/$C$8</f>
        <v>0.19546718267384089</v>
      </c>
      <c r="F4" s="82"/>
      <c r="G4" s="83"/>
      <c r="H4" s="84"/>
      <c r="I4" s="84"/>
      <c r="J4" s="84"/>
      <c r="K4" s="84"/>
      <c r="L4" s="84"/>
      <c r="M4" s="85"/>
      <c r="N4" s="84"/>
      <c r="O4" s="86"/>
      <c r="P4" s="87"/>
      <c r="Q4" s="87"/>
      <c r="R4" s="87"/>
      <c r="T4" s="88"/>
    </row>
    <row r="5" spans="1:20">
      <c r="A5" s="74" t="s">
        <v>57</v>
      </c>
      <c r="B5" s="100" t="s">
        <v>109</v>
      </c>
      <c r="C5" s="80">
        <f>'Initial Data'!C74/1000</f>
        <v>2952.2347473214286</v>
      </c>
      <c r="E5" s="81">
        <f>+C5/$C$8</f>
        <v>6.7272253824629952E-2</v>
      </c>
      <c r="F5" s="82"/>
      <c r="G5" s="89"/>
      <c r="I5" s="150"/>
      <c r="J5" s="84"/>
      <c r="K5" s="84"/>
      <c r="L5" s="84"/>
      <c r="M5" s="85"/>
      <c r="N5" s="84"/>
      <c r="O5" s="86"/>
      <c r="P5" s="87"/>
      <c r="Q5" s="87"/>
      <c r="R5" s="87"/>
      <c r="T5" s="88"/>
    </row>
    <row r="6" spans="1:20">
      <c r="A6" s="74" t="s">
        <v>442</v>
      </c>
      <c r="B6" s="100" t="s">
        <v>109</v>
      </c>
      <c r="C6" s="80">
        <f>'Initial Data'!C60/1000</f>
        <v>4398.8847526785712</v>
      </c>
      <c r="E6" s="81">
        <f>+C6/$C$8</f>
        <v>0.10023691100308982</v>
      </c>
      <c r="F6" s="82"/>
      <c r="G6" s="89"/>
      <c r="H6" s="98"/>
      <c r="I6" s="150"/>
      <c r="J6" s="84"/>
      <c r="K6" s="84"/>
      <c r="L6" s="84"/>
      <c r="M6" s="85"/>
      <c r="N6" s="84"/>
      <c r="O6" s="86"/>
      <c r="P6" s="87"/>
      <c r="Q6" s="87"/>
      <c r="R6" s="87"/>
      <c r="T6" s="88"/>
    </row>
    <row r="7" spans="1:20">
      <c r="A7" s="74" t="s">
        <v>444</v>
      </c>
      <c r="B7" s="100" t="s">
        <v>109</v>
      </c>
      <c r="C7" s="80">
        <f>('Initial Data'!C75)/1000</f>
        <v>994.65486607142861</v>
      </c>
      <c r="E7" s="81">
        <f>+C7/$C$8</f>
        <v>2.266509283483318E-2</v>
      </c>
      <c r="F7" s="82"/>
      <c r="H7" s="84"/>
      <c r="I7" s="84"/>
      <c r="J7" s="84"/>
      <c r="K7" s="84"/>
      <c r="L7" s="84"/>
      <c r="M7" s="85"/>
      <c r="N7" s="84"/>
      <c r="O7" s="86"/>
      <c r="P7" s="87"/>
      <c r="Q7" s="87"/>
      <c r="R7" s="87"/>
      <c r="T7" s="88"/>
    </row>
    <row r="8" spans="1:20" ht="13.8" thickBot="1">
      <c r="A8" s="90" t="s">
        <v>59</v>
      </c>
      <c r="B8" s="91" t="s">
        <v>109</v>
      </c>
      <c r="C8" s="142">
        <f>SUM(C3:C7)</f>
        <v>43884.879418749995</v>
      </c>
      <c r="E8" s="84"/>
      <c r="I8" s="147"/>
      <c r="J8" s="519"/>
      <c r="K8" s="520"/>
      <c r="L8" s="84"/>
      <c r="M8" s="84"/>
      <c r="N8" s="84"/>
      <c r="O8" s="86"/>
      <c r="P8" s="87"/>
      <c r="Q8" s="87"/>
      <c r="R8" s="87"/>
      <c r="T8" s="88"/>
    </row>
    <row r="9" spans="1:20" ht="13.8" thickTop="1">
      <c r="B9" s="91" t="s">
        <v>60</v>
      </c>
      <c r="C9" s="94">
        <f>C8*C11</f>
        <v>491510.64948999992</v>
      </c>
      <c r="E9" s="84"/>
      <c r="I9" s="97"/>
      <c r="J9" s="97"/>
      <c r="K9" s="97"/>
      <c r="L9" s="97"/>
      <c r="M9" s="84"/>
      <c r="N9" s="84"/>
      <c r="O9" s="86"/>
      <c r="P9" s="87"/>
      <c r="Q9" s="87"/>
      <c r="R9" s="87"/>
      <c r="T9" s="88"/>
    </row>
    <row r="10" spans="1:20">
      <c r="B10" s="91"/>
      <c r="C10" s="99"/>
      <c r="E10" s="84"/>
      <c r="I10" s="97"/>
      <c r="J10" s="97"/>
      <c r="K10" s="97"/>
      <c r="L10" s="97"/>
      <c r="M10" s="84"/>
      <c r="N10" s="84"/>
      <c r="O10" s="86"/>
      <c r="P10" s="87"/>
      <c r="Q10" s="87"/>
      <c r="R10" s="87"/>
      <c r="T10" s="88"/>
    </row>
    <row r="11" spans="1:20">
      <c r="B11" s="91" t="s">
        <v>61</v>
      </c>
      <c r="C11" s="99">
        <f>'Initial Data'!C14</f>
        <v>11.2</v>
      </c>
      <c r="E11" s="84"/>
      <c r="F11" s="95"/>
      <c r="G11" s="98"/>
      <c r="H11" s="96"/>
      <c r="I11" s="97"/>
      <c r="J11" s="97"/>
      <c r="K11" s="97"/>
      <c r="L11" s="97"/>
      <c r="M11" s="84"/>
      <c r="N11" s="84"/>
      <c r="O11" s="86"/>
      <c r="P11" s="87"/>
      <c r="Q11" s="87"/>
      <c r="R11" s="87"/>
      <c r="T11" s="88"/>
    </row>
    <row r="12" spans="1:20">
      <c r="B12" s="91"/>
      <c r="C12" s="302"/>
      <c r="E12" s="84"/>
      <c r="F12" s="95"/>
      <c r="G12" s="98"/>
      <c r="H12" s="96"/>
      <c r="I12" s="97"/>
      <c r="J12" s="97"/>
      <c r="K12" s="97"/>
      <c r="L12" s="97"/>
      <c r="M12" s="84"/>
      <c r="N12" s="84"/>
      <c r="O12" s="86"/>
      <c r="P12" s="87"/>
      <c r="Q12" s="87"/>
      <c r="R12" s="87"/>
      <c r="T12" s="88"/>
    </row>
    <row r="13" spans="1:20">
      <c r="B13" s="91"/>
      <c r="C13" s="302"/>
      <c r="E13" s="84"/>
      <c r="F13" s="95"/>
      <c r="G13" s="98"/>
      <c r="H13" s="96"/>
      <c r="I13" s="97"/>
      <c r="J13" s="97"/>
      <c r="K13" s="97"/>
      <c r="L13" s="97"/>
      <c r="M13" s="84"/>
      <c r="N13" s="84"/>
      <c r="O13" s="86"/>
      <c r="P13" s="87"/>
      <c r="Q13" s="87"/>
      <c r="R13" s="87"/>
      <c r="T13" s="88"/>
    </row>
    <row r="14" spans="1:20" ht="15" customHeight="1">
      <c r="B14" s="91"/>
      <c r="D14" s="99"/>
      <c r="E14" s="84"/>
      <c r="F14" s="95"/>
      <c r="G14" s="98"/>
      <c r="H14" s="96"/>
      <c r="I14" s="97"/>
      <c r="J14" s="97"/>
      <c r="K14" s="97"/>
      <c r="L14" s="97"/>
      <c r="M14" s="84"/>
      <c r="N14" s="84"/>
      <c r="O14" s="86"/>
      <c r="P14" s="87"/>
      <c r="Q14" s="87"/>
      <c r="R14" s="87"/>
      <c r="T14" s="88"/>
    </row>
    <row r="15" spans="1:20" ht="15" customHeight="1">
      <c r="A15" s="74" t="s">
        <v>62</v>
      </c>
      <c r="B15" s="100" t="s">
        <v>82</v>
      </c>
      <c r="C15" s="100"/>
      <c r="D15" s="210">
        <f>'Initial Data'!C49*365*(1-'Initial Data'!C53)</f>
        <v>215214.92335078961</v>
      </c>
      <c r="E15" s="210">
        <f>D15</f>
        <v>215214.92335078961</v>
      </c>
      <c r="F15" s="210">
        <f t="shared" ref="F15:R16" si="0">E15</f>
        <v>215214.92335078961</v>
      </c>
      <c r="G15" s="210">
        <f t="shared" si="0"/>
        <v>215214.92335078961</v>
      </c>
      <c r="H15" s="210">
        <f t="shared" si="0"/>
        <v>215214.92335078961</v>
      </c>
      <c r="I15" s="210">
        <f t="shared" si="0"/>
        <v>215214.92335078961</v>
      </c>
      <c r="J15" s="210">
        <f t="shared" si="0"/>
        <v>215214.92335078961</v>
      </c>
      <c r="K15" s="210">
        <f t="shared" si="0"/>
        <v>215214.92335078961</v>
      </c>
      <c r="L15" s="210">
        <f t="shared" si="0"/>
        <v>215214.92335078961</v>
      </c>
      <c r="M15" s="210">
        <f t="shared" si="0"/>
        <v>215214.92335078961</v>
      </c>
      <c r="N15" s="210">
        <f t="shared" si="0"/>
        <v>215214.92335078961</v>
      </c>
      <c r="O15" s="210">
        <f t="shared" si="0"/>
        <v>215214.92335078961</v>
      </c>
      <c r="P15" s="210">
        <f t="shared" si="0"/>
        <v>215214.92335078961</v>
      </c>
      <c r="Q15" s="210">
        <f t="shared" si="0"/>
        <v>215214.92335078961</v>
      </c>
      <c r="R15" s="210">
        <f t="shared" si="0"/>
        <v>215214.92335078961</v>
      </c>
      <c r="T15" s="88"/>
    </row>
    <row r="16" spans="1:20" ht="15" customHeight="1">
      <c r="A16" s="139" t="s">
        <v>118</v>
      </c>
      <c r="B16" s="141" t="s">
        <v>99</v>
      </c>
      <c r="C16" s="305"/>
      <c r="D16" s="210">
        <f>('Initial Data'!C50-'Initial Data'!C51)</f>
        <v>70</v>
      </c>
      <c r="E16" s="210">
        <f>D16</f>
        <v>70</v>
      </c>
      <c r="F16" s="210">
        <f t="shared" si="0"/>
        <v>70</v>
      </c>
      <c r="G16" s="210">
        <f t="shared" si="0"/>
        <v>70</v>
      </c>
      <c r="H16" s="210">
        <f t="shared" si="0"/>
        <v>70</v>
      </c>
      <c r="I16" s="210">
        <f t="shared" si="0"/>
        <v>70</v>
      </c>
      <c r="J16" s="210">
        <f t="shared" si="0"/>
        <v>70</v>
      </c>
      <c r="K16" s="210">
        <f t="shared" si="0"/>
        <v>70</v>
      </c>
      <c r="L16" s="210">
        <f t="shared" si="0"/>
        <v>70</v>
      </c>
      <c r="M16" s="210">
        <f t="shared" ref="M16:R16" si="1">L16</f>
        <v>70</v>
      </c>
      <c r="N16" s="210">
        <f t="shared" si="1"/>
        <v>70</v>
      </c>
      <c r="O16" s="210">
        <f t="shared" si="1"/>
        <v>70</v>
      </c>
      <c r="P16" s="210">
        <f t="shared" si="1"/>
        <v>70</v>
      </c>
      <c r="Q16" s="210">
        <f t="shared" si="1"/>
        <v>70</v>
      </c>
      <c r="R16" s="210">
        <f t="shared" si="1"/>
        <v>70</v>
      </c>
      <c r="T16" s="88"/>
    </row>
    <row r="17" spans="1:20" ht="15" customHeight="1">
      <c r="A17" s="140" t="s">
        <v>119</v>
      </c>
      <c r="B17" s="141" t="s">
        <v>100</v>
      </c>
      <c r="C17" s="305"/>
      <c r="D17" s="101">
        <f>'Initial Data'!C52/C11</f>
        <v>6.4285714285714288</v>
      </c>
      <c r="E17" s="101">
        <f>+D17*(1+'Initial Data'!$C$20/100)</f>
        <v>6.6008571428571425</v>
      </c>
      <c r="F17" s="101">
        <f>+E17*(1+'Initial Data'!$C$20/100)</f>
        <v>6.7777601142857131</v>
      </c>
      <c r="G17" s="101">
        <f>+F17*(1+'Initial Data'!$C$20/100)</f>
        <v>6.9594040853485701</v>
      </c>
      <c r="H17" s="101">
        <f>+G17*(1+'Initial Data'!$C$20/100)</f>
        <v>7.1459161148359112</v>
      </c>
      <c r="I17" s="101">
        <f>+H17*(1+'Initial Data'!$C$20/100)</f>
        <v>7.3374266667135135</v>
      </c>
      <c r="J17" s="101">
        <f>+I17*(1+'Initial Data'!$C$20/100)</f>
        <v>7.5340697013814353</v>
      </c>
      <c r="K17" s="101">
        <f>+J17*(1+'Initial Data'!$C$20/100)</f>
        <v>7.7359827693784569</v>
      </c>
      <c r="L17" s="101">
        <f>+K17*(1+'Initial Data'!$C$20/100)</f>
        <v>7.943307107597799</v>
      </c>
      <c r="M17" s="101">
        <f>+L17*(1+'Initial Data'!$C$20/100)</f>
        <v>8.1561877380814192</v>
      </c>
      <c r="N17" s="101">
        <f>+M17*(1+'Initial Data'!$C$20/100)</f>
        <v>8.3747735694620005</v>
      </c>
      <c r="O17" s="101">
        <f>+N17*(1+'Initial Data'!$C$20/100)</f>
        <v>8.5992175011235812</v>
      </c>
      <c r="P17" s="101">
        <f>+O17*(1+'Initial Data'!$C$20/100)</f>
        <v>8.8296765301536926</v>
      </c>
      <c r="Q17" s="101">
        <f>+P17*(1+'Initial Data'!$C$20/100)</f>
        <v>9.066311861161811</v>
      </c>
      <c r="R17" s="101">
        <f>+Q17*(1+'Initial Data'!$C$20/100)</f>
        <v>9.3092890190409463</v>
      </c>
      <c r="T17" s="88"/>
    </row>
    <row r="18" spans="1:20" ht="15" customHeight="1">
      <c r="A18" s="153" t="s">
        <v>115</v>
      </c>
      <c r="B18" s="100" t="s">
        <v>81</v>
      </c>
      <c r="C18" s="306"/>
      <c r="D18" s="101">
        <f>D16*D17</f>
        <v>450</v>
      </c>
      <c r="E18" s="101">
        <f t="shared" ref="E18:R18" si="2">E16*E17</f>
        <v>462.06</v>
      </c>
      <c r="F18" s="101">
        <f t="shared" si="2"/>
        <v>474.44320799999991</v>
      </c>
      <c r="G18" s="101">
        <f t="shared" si="2"/>
        <v>487.15828597439992</v>
      </c>
      <c r="H18" s="101">
        <f t="shared" si="2"/>
        <v>500.21412803851376</v>
      </c>
      <c r="I18" s="101">
        <f t="shared" si="2"/>
        <v>513.61986666994596</v>
      </c>
      <c r="J18" s="101">
        <f t="shared" si="2"/>
        <v>527.3848790967005</v>
      </c>
      <c r="K18" s="101">
        <f t="shared" si="2"/>
        <v>541.51879385649192</v>
      </c>
      <c r="L18" s="101">
        <f t="shared" si="2"/>
        <v>556.03149753184596</v>
      </c>
      <c r="M18" s="101">
        <f t="shared" si="2"/>
        <v>570.9331416656994</v>
      </c>
      <c r="N18" s="101">
        <f t="shared" si="2"/>
        <v>586.23414986234002</v>
      </c>
      <c r="O18" s="101">
        <f t="shared" si="2"/>
        <v>601.94522507865065</v>
      </c>
      <c r="P18" s="101">
        <f t="shared" si="2"/>
        <v>618.0773571107585</v>
      </c>
      <c r="Q18" s="101">
        <f t="shared" si="2"/>
        <v>634.64183028132675</v>
      </c>
      <c r="R18" s="101">
        <f t="shared" si="2"/>
        <v>651.65023133286627</v>
      </c>
      <c r="T18" s="88"/>
    </row>
    <row r="19" spans="1:20" ht="15" customHeight="1">
      <c r="B19" s="100"/>
      <c r="C19" s="100"/>
      <c r="D19" s="100"/>
      <c r="E19" s="84"/>
      <c r="F19" s="95"/>
      <c r="G19" s="98"/>
      <c r="H19" s="96"/>
      <c r="I19" s="97"/>
      <c r="J19" s="97"/>
      <c r="K19" s="97"/>
      <c r="L19" s="97"/>
      <c r="M19" s="84"/>
      <c r="N19" s="84"/>
      <c r="O19" s="86"/>
      <c r="P19" s="87"/>
      <c r="Q19" s="87"/>
      <c r="R19" s="87"/>
      <c r="T19" s="88"/>
    </row>
    <row r="20" spans="1:20" ht="13.8" thickBot="1">
      <c r="A20" s="90" t="s">
        <v>83</v>
      </c>
      <c r="B20" s="100" t="s">
        <v>109</v>
      </c>
      <c r="C20" s="307">
        <f>+SUM(D20:R20)</f>
        <v>1759578.4023479735</v>
      </c>
      <c r="D20" s="114">
        <f>D15*D18/1000*'Initial Data'!C34/'Initial Data'!C33</f>
        <v>96846.715507855319</v>
      </c>
      <c r="E20" s="114">
        <f>E15*E18/1000</f>
        <v>99442.207483465856</v>
      </c>
      <c r="F20" s="114">
        <f t="shared" ref="F20:R20" si="3">F15*F18/1000</f>
        <v>102107.25864402272</v>
      </c>
      <c r="G20" s="114">
        <f t="shared" si="3"/>
        <v>104843.73317568253</v>
      </c>
      <c r="H20" s="114">
        <f t="shared" si="3"/>
        <v>107653.5452247908</v>
      </c>
      <c r="I20" s="114">
        <f t="shared" si="3"/>
        <v>110538.66023681519</v>
      </c>
      <c r="J20" s="114">
        <f t="shared" si="3"/>
        <v>113501.09633116184</v>
      </c>
      <c r="K20" s="114">
        <f t="shared" si="3"/>
        <v>116542.92571283695</v>
      </c>
      <c r="L20" s="114">
        <f t="shared" si="3"/>
        <v>119666.27612194099</v>
      </c>
      <c r="M20" s="114">
        <f t="shared" si="3"/>
        <v>122873.332322009</v>
      </c>
      <c r="N20" s="114">
        <f t="shared" si="3"/>
        <v>126166.33762823881</v>
      </c>
      <c r="O20" s="114">
        <f t="shared" si="3"/>
        <v>129547.5954766756</v>
      </c>
      <c r="P20" s="114">
        <f t="shared" si="3"/>
        <v>133019.47103545049</v>
      </c>
      <c r="Q20" s="114">
        <f t="shared" si="3"/>
        <v>136584.39285920057</v>
      </c>
      <c r="R20" s="114">
        <f t="shared" si="3"/>
        <v>140244.85458782714</v>
      </c>
      <c r="T20" s="74"/>
    </row>
    <row r="21" spans="1:20" ht="15" customHeight="1" thickTop="1">
      <c r="B21" s="91"/>
      <c r="C21" s="298"/>
      <c r="D21" s="151"/>
      <c r="E21" s="84"/>
      <c r="F21" s="95"/>
      <c r="G21" s="98"/>
      <c r="H21" s="96"/>
      <c r="I21" s="97"/>
      <c r="J21" s="97"/>
      <c r="K21" s="97"/>
      <c r="L21" s="97"/>
      <c r="M21" s="84"/>
      <c r="N21" s="84"/>
      <c r="O21" s="86"/>
      <c r="P21" s="87"/>
      <c r="Q21" s="87"/>
      <c r="R21" s="87"/>
      <c r="T21" s="88"/>
    </row>
    <row r="22" spans="1:20">
      <c r="A22" s="90" t="s">
        <v>67</v>
      </c>
      <c r="B22" s="91" t="s">
        <v>109</v>
      </c>
      <c r="C22" s="307">
        <f>+SUM(D22:R22)</f>
        <v>1759578.4023479735</v>
      </c>
      <c r="D22" s="70">
        <f>D20</f>
        <v>96846.715507855319</v>
      </c>
      <c r="E22" s="70">
        <f t="shared" ref="E22:R22" si="4">E20</f>
        <v>99442.207483465856</v>
      </c>
      <c r="F22" s="70">
        <f t="shared" si="4"/>
        <v>102107.25864402272</v>
      </c>
      <c r="G22" s="70">
        <f t="shared" si="4"/>
        <v>104843.73317568253</v>
      </c>
      <c r="H22" s="70">
        <f t="shared" si="4"/>
        <v>107653.5452247908</v>
      </c>
      <c r="I22" s="70">
        <f t="shared" si="4"/>
        <v>110538.66023681519</v>
      </c>
      <c r="J22" s="70">
        <f t="shared" si="4"/>
        <v>113501.09633116184</v>
      </c>
      <c r="K22" s="70">
        <f t="shared" si="4"/>
        <v>116542.92571283695</v>
      </c>
      <c r="L22" s="70">
        <f t="shared" si="4"/>
        <v>119666.27612194099</v>
      </c>
      <c r="M22" s="70">
        <f t="shared" si="4"/>
        <v>122873.332322009</v>
      </c>
      <c r="N22" s="70">
        <f t="shared" si="4"/>
        <v>126166.33762823881</v>
      </c>
      <c r="O22" s="70">
        <f t="shared" si="4"/>
        <v>129547.5954766756</v>
      </c>
      <c r="P22" s="70">
        <f t="shared" si="4"/>
        <v>133019.47103545049</v>
      </c>
      <c r="Q22" s="70">
        <f t="shared" si="4"/>
        <v>136584.39285920057</v>
      </c>
      <c r="R22" s="70">
        <f t="shared" si="4"/>
        <v>140244.85458782714</v>
      </c>
      <c r="T22" s="74"/>
    </row>
    <row r="23" spans="1:20">
      <c r="B23" s="79"/>
      <c r="C23" s="79"/>
      <c r="D23" s="84"/>
      <c r="E23" s="106"/>
      <c r="F23" s="106"/>
      <c r="G23" s="106"/>
      <c r="H23" s="106"/>
      <c r="I23" s="106"/>
      <c r="J23" s="106"/>
      <c r="K23" s="106"/>
      <c r="L23" s="106"/>
      <c r="M23" s="106"/>
      <c r="N23" s="106"/>
      <c r="O23" s="107"/>
      <c r="P23" s="108"/>
      <c r="Q23" s="108"/>
      <c r="R23" s="108"/>
      <c r="T23" s="109"/>
    </row>
    <row r="24" spans="1:20">
      <c r="A24" s="90" t="s">
        <v>68</v>
      </c>
      <c r="B24" s="79"/>
      <c r="C24" s="79"/>
      <c r="D24" s="84"/>
      <c r="E24" s="106"/>
      <c r="F24" s="106"/>
      <c r="G24" s="106"/>
      <c r="H24" s="106"/>
      <c r="I24" s="106"/>
      <c r="J24" s="106"/>
      <c r="K24" s="106"/>
      <c r="L24" s="106"/>
      <c r="M24" s="106"/>
      <c r="N24" s="106"/>
      <c r="O24" s="107"/>
      <c r="P24" s="108"/>
      <c r="Q24" s="108"/>
      <c r="R24" s="108"/>
      <c r="T24" s="109"/>
    </row>
    <row r="25" spans="1:20">
      <c r="A25" s="74" t="s">
        <v>69</v>
      </c>
      <c r="B25" s="100" t="s">
        <v>109</v>
      </c>
      <c r="C25" s="308">
        <f>SUM(D25:R25)</f>
        <v>11529.370291765843</v>
      </c>
      <c r="D25" s="110">
        <f>'Initial Data'!C81/'Initial Data'!$C$14/1000</f>
        <v>634.57339732142862</v>
      </c>
      <c r="E25" s="110">
        <f>D25*(1+'Initial Data'!$C$20/100)</f>
        <v>651.57996436964288</v>
      </c>
      <c r="F25" s="110">
        <f>E25*(1+'Initial Data'!$C$20/100)</f>
        <v>669.0423074147493</v>
      </c>
      <c r="G25" s="110">
        <f>F25*(1+'Initial Data'!$C$20/100)</f>
        <v>686.97264125346453</v>
      </c>
      <c r="H25" s="110">
        <f>G25*(1+'Initial Data'!$C$20/100)</f>
        <v>705.38350803905735</v>
      </c>
      <c r="I25" s="110">
        <f>H25*(1+'Initial Data'!$C$20/100)</f>
        <v>724.28778605450407</v>
      </c>
      <c r="J25" s="110">
        <f>I25*(1+'Initial Data'!$C$20/100)</f>
        <v>743.6986987207647</v>
      </c>
      <c r="K25" s="110">
        <f>J25*(1+'Initial Data'!$C$20/100)</f>
        <v>763.62982384648114</v>
      </c>
      <c r="L25" s="110">
        <f>K25*(1+'Initial Data'!$C$20/100)</f>
        <v>784.09510312556677</v>
      </c>
      <c r="M25" s="110">
        <f>L25*(1+'Initial Data'!$C$20/100)</f>
        <v>805.10885188933196</v>
      </c>
      <c r="N25" s="110">
        <f>M25*(1+'Initial Data'!$C$20/100)</f>
        <v>826.68576911996604</v>
      </c>
      <c r="O25" s="110">
        <f>N25*(1+'Initial Data'!$C$20/100)</f>
        <v>848.8409477323811</v>
      </c>
      <c r="P25" s="110">
        <f>O25*(1+'Initial Data'!$C$20/100)</f>
        <v>871.58988513160887</v>
      </c>
      <c r="Q25" s="110">
        <f>P25*(1+'Initial Data'!$C$20/100)</f>
        <v>894.94849405313596</v>
      </c>
      <c r="R25" s="110">
        <f>Q25*(1+'Initial Data'!$C$20/100)</f>
        <v>918.93311369375999</v>
      </c>
      <c r="T25" s="74"/>
    </row>
    <row r="26" spans="1:20">
      <c r="A26" s="74" t="s">
        <v>70</v>
      </c>
      <c r="B26" s="100" t="s">
        <v>109</v>
      </c>
      <c r="C26" s="308">
        <f>SUM(D26:R26)</f>
        <v>13836.767075562184</v>
      </c>
      <c r="D26" s="110">
        <f>'Initial Data'!C85/1000</f>
        <v>761.57188717892848</v>
      </c>
      <c r="E26" s="110">
        <f>D26*(1+'Initial Data'!$C$20/100)</f>
        <v>781.98201375532369</v>
      </c>
      <c r="F26" s="110">
        <f>E26*(1+'Initial Data'!$C$20/100)</f>
        <v>802.93913172396628</v>
      </c>
      <c r="G26" s="110">
        <f>F26*(1+'Initial Data'!$C$20/100)</f>
        <v>824.45790045416857</v>
      </c>
      <c r="H26" s="110">
        <f>G26*(1+'Initial Data'!$C$20/100)</f>
        <v>846.5533721863402</v>
      </c>
      <c r="I26" s="110">
        <f>H26*(1+'Initial Data'!$C$20/100)</f>
        <v>869.24100256093402</v>
      </c>
      <c r="J26" s="110">
        <f>I26*(1+'Initial Data'!$C$20/100)</f>
        <v>892.53666142956695</v>
      </c>
      <c r="K26" s="110">
        <f>J26*(1+'Initial Data'!$C$20/100)</f>
        <v>916.45664395587926</v>
      </c>
      <c r="L26" s="110">
        <f>K26*(1+'Initial Data'!$C$20/100)</f>
        <v>941.01768201389677</v>
      </c>
      <c r="M26" s="110">
        <f>L26*(1+'Initial Data'!$C$20/100)</f>
        <v>966.23695589186912</v>
      </c>
      <c r="N26" s="110">
        <f>M26*(1+'Initial Data'!$C$20/100)</f>
        <v>992.13210630977119</v>
      </c>
      <c r="O26" s="110">
        <f>N26*(1+'Initial Data'!$C$20/100)</f>
        <v>1018.721246758873</v>
      </c>
      <c r="P26" s="110">
        <f>O26*(1+'Initial Data'!$C$20/100)</f>
        <v>1046.0229761720107</v>
      </c>
      <c r="Q26" s="110">
        <f>P26*(1+'Initial Data'!$C$20/100)</f>
        <v>1074.0563919334204</v>
      </c>
      <c r="R26" s="110">
        <f>Q26*(1+'Initial Data'!$C$20/100)</f>
        <v>1102.841103237236</v>
      </c>
      <c r="T26" s="74"/>
    </row>
    <row r="27" spans="1:20">
      <c r="B27" s="79"/>
      <c r="C27" s="79"/>
      <c r="D27" s="79"/>
      <c r="E27" s="79"/>
      <c r="F27" s="79"/>
      <c r="G27" s="79"/>
      <c r="H27" s="79"/>
      <c r="I27" s="79"/>
      <c r="J27" s="79"/>
      <c r="K27" s="79"/>
      <c r="L27" s="79"/>
      <c r="M27" s="79"/>
      <c r="N27" s="79"/>
      <c r="O27" s="79"/>
      <c r="P27" s="79"/>
      <c r="Q27" s="79"/>
      <c r="R27" s="79"/>
      <c r="S27" s="79"/>
      <c r="T27" s="79"/>
    </row>
    <row r="28" spans="1:20">
      <c r="A28" s="90" t="s">
        <v>71</v>
      </c>
      <c r="B28" s="79"/>
      <c r="C28" s="79"/>
      <c r="D28" s="79"/>
      <c r="E28" s="79"/>
      <c r="F28" s="79"/>
      <c r="G28" s="79"/>
      <c r="H28" s="79"/>
      <c r="I28" s="79"/>
      <c r="J28" s="79"/>
      <c r="K28" s="79"/>
      <c r="L28" s="79"/>
      <c r="M28" s="79"/>
      <c r="N28" s="79"/>
      <c r="O28" s="79"/>
      <c r="P28" s="79"/>
      <c r="Q28" s="79"/>
      <c r="R28" s="79"/>
      <c r="S28" s="79"/>
      <c r="T28" s="79"/>
    </row>
    <row r="30" spans="1:20">
      <c r="A30" s="90" t="s">
        <v>72</v>
      </c>
      <c r="B30" s="100" t="s">
        <v>109</v>
      </c>
      <c r="C30" s="308">
        <f>SUM(D30:R30)</f>
        <v>25366.137367328029</v>
      </c>
      <c r="D30" s="111">
        <f>+SUM(D25:D29)</f>
        <v>1396.1452845003571</v>
      </c>
      <c r="E30" s="111">
        <f t="shared" ref="E30:R30" si="5">+SUM(E25:E29)</f>
        <v>1433.5619781249666</v>
      </c>
      <c r="F30" s="111">
        <f t="shared" si="5"/>
        <v>1471.9814391387156</v>
      </c>
      <c r="G30" s="111">
        <f t="shared" si="5"/>
        <v>1511.430541707633</v>
      </c>
      <c r="H30" s="111">
        <f t="shared" si="5"/>
        <v>1551.9368802253975</v>
      </c>
      <c r="I30" s="111">
        <f t="shared" si="5"/>
        <v>1593.5287886154381</v>
      </c>
      <c r="J30" s="111">
        <f t="shared" si="5"/>
        <v>1636.2353601503316</v>
      </c>
      <c r="K30" s="111">
        <f t="shared" si="5"/>
        <v>1680.0864678023604</v>
      </c>
      <c r="L30" s="111">
        <f t="shared" si="5"/>
        <v>1725.1127851394635</v>
      </c>
      <c r="M30" s="111">
        <f t="shared" si="5"/>
        <v>1771.3458077812011</v>
      </c>
      <c r="N30" s="111">
        <f t="shared" si="5"/>
        <v>1818.8178754297373</v>
      </c>
      <c r="O30" s="111">
        <f t="shared" si="5"/>
        <v>1867.5621944912541</v>
      </c>
      <c r="P30" s="111">
        <f t="shared" si="5"/>
        <v>1917.6128613036194</v>
      </c>
      <c r="Q30" s="111">
        <f t="shared" si="5"/>
        <v>1969.0048859865565</v>
      </c>
      <c r="R30" s="111">
        <f t="shared" si="5"/>
        <v>2021.7742169309959</v>
      </c>
      <c r="T30" s="74"/>
    </row>
    <row r="31" spans="1:20">
      <c r="B31" s="79"/>
      <c r="C31" s="79"/>
      <c r="D31" s="84"/>
      <c r="E31" s="106"/>
      <c r="F31" s="106"/>
      <c r="G31" s="106"/>
      <c r="H31" s="106"/>
      <c r="I31" s="106"/>
      <c r="J31" s="106"/>
      <c r="K31" s="106"/>
      <c r="L31" s="106"/>
      <c r="M31" s="106"/>
      <c r="N31" s="106"/>
      <c r="O31" s="107"/>
      <c r="P31" s="108"/>
      <c r="Q31" s="108"/>
      <c r="R31" s="108"/>
      <c r="T31" s="109"/>
    </row>
    <row r="32" spans="1:20" s="113" customFormat="1" ht="13.8" thickBot="1">
      <c r="A32" s="113" t="s">
        <v>73</v>
      </c>
      <c r="B32" s="100" t="s">
        <v>109</v>
      </c>
      <c r="C32" s="309">
        <f>SUM(D32:R32)</f>
        <v>43884.879418749995</v>
      </c>
      <c r="D32" s="114">
        <f>($C$8)/'Initial Data'!$C$19</f>
        <v>4388.4879418749997</v>
      </c>
      <c r="E32" s="114">
        <f>($C$8)/'Initial Data'!$C$19</f>
        <v>4388.4879418749997</v>
      </c>
      <c r="F32" s="114">
        <f>($C$8)/'Initial Data'!$C$19</f>
        <v>4388.4879418749997</v>
      </c>
      <c r="G32" s="114">
        <f>($C$8)/'Initial Data'!$C$19</f>
        <v>4388.4879418749997</v>
      </c>
      <c r="H32" s="114">
        <f>($C$8)/'Initial Data'!$C$19</f>
        <v>4388.4879418749997</v>
      </c>
      <c r="I32" s="114">
        <f>($C$8)/'Initial Data'!$C$19</f>
        <v>4388.4879418749997</v>
      </c>
      <c r="J32" s="114">
        <f>($C$8)/'Initial Data'!$C$19</f>
        <v>4388.4879418749997</v>
      </c>
      <c r="K32" s="114">
        <f>($C$8)/'Initial Data'!$C$19</f>
        <v>4388.4879418749997</v>
      </c>
      <c r="L32" s="114">
        <f>($C$8)/'Initial Data'!$C$19</f>
        <v>4388.4879418749997</v>
      </c>
      <c r="M32" s="114">
        <f>($C$8)/'Initial Data'!$C$19</f>
        <v>4388.4879418749997</v>
      </c>
      <c r="N32" s="114">
        <v>0</v>
      </c>
      <c r="O32" s="114">
        <v>0</v>
      </c>
      <c r="P32" s="114">
        <v>0</v>
      </c>
      <c r="Q32" s="114">
        <v>0</v>
      </c>
      <c r="R32" s="114">
        <v>0</v>
      </c>
    </row>
    <row r="33" spans="1:20" ht="13.8" thickTop="1">
      <c r="A33" s="90" t="s">
        <v>74</v>
      </c>
      <c r="B33" s="100" t="s">
        <v>109</v>
      </c>
      <c r="C33" s="308">
        <f>SUM(D33:R33)</f>
        <v>43884.879418749995</v>
      </c>
      <c r="D33" s="111">
        <f t="shared" ref="D33:R33" si="6">+SUM(D32:D32)</f>
        <v>4388.4879418749997</v>
      </c>
      <c r="E33" s="111">
        <f t="shared" si="6"/>
        <v>4388.4879418749997</v>
      </c>
      <c r="F33" s="111">
        <f t="shared" si="6"/>
        <v>4388.4879418749997</v>
      </c>
      <c r="G33" s="111">
        <f t="shared" si="6"/>
        <v>4388.4879418749997</v>
      </c>
      <c r="H33" s="111">
        <f t="shared" si="6"/>
        <v>4388.4879418749997</v>
      </c>
      <c r="I33" s="111">
        <f t="shared" si="6"/>
        <v>4388.4879418749997</v>
      </c>
      <c r="J33" s="111">
        <f t="shared" si="6"/>
        <v>4388.4879418749997</v>
      </c>
      <c r="K33" s="111">
        <f t="shared" si="6"/>
        <v>4388.4879418749997</v>
      </c>
      <c r="L33" s="111">
        <f t="shared" si="6"/>
        <v>4388.4879418749997</v>
      </c>
      <c r="M33" s="111">
        <f t="shared" si="6"/>
        <v>4388.4879418749997</v>
      </c>
      <c r="N33" s="111">
        <f t="shared" si="6"/>
        <v>0</v>
      </c>
      <c r="O33" s="111">
        <f t="shared" si="6"/>
        <v>0</v>
      </c>
      <c r="P33" s="111">
        <f t="shared" si="6"/>
        <v>0</v>
      </c>
      <c r="Q33" s="111">
        <f t="shared" si="6"/>
        <v>0</v>
      </c>
      <c r="R33" s="111">
        <f t="shared" si="6"/>
        <v>0</v>
      </c>
      <c r="T33" s="74"/>
    </row>
    <row r="34" spans="1:20">
      <c r="A34" s="90"/>
      <c r="B34" s="91"/>
      <c r="C34" s="299"/>
      <c r="D34" s="115"/>
      <c r="E34" s="115"/>
      <c r="F34" s="115"/>
      <c r="G34" s="115"/>
      <c r="H34" s="115"/>
      <c r="I34" s="115"/>
      <c r="J34" s="115"/>
      <c r="K34" s="115"/>
      <c r="L34" s="115"/>
      <c r="M34" s="115"/>
      <c r="N34" s="115"/>
      <c r="O34" s="115"/>
      <c r="P34" s="115"/>
      <c r="Q34" s="115"/>
      <c r="R34" s="115"/>
      <c r="T34" s="109"/>
    </row>
    <row r="35" spans="1:20">
      <c r="A35" s="90" t="s">
        <v>75</v>
      </c>
      <c r="B35" s="91" t="s">
        <v>109</v>
      </c>
      <c r="C35" s="307">
        <f>+SUM(D35:R35)</f>
        <v>69251.01678607802</v>
      </c>
      <c r="D35" s="70">
        <f>+D33+D30</f>
        <v>5784.6332263753566</v>
      </c>
      <c r="E35" s="70">
        <f>+E33+E30</f>
        <v>5822.0499199999667</v>
      </c>
      <c r="F35" s="70">
        <f t="shared" ref="F35:R35" si="7">+F33+F30</f>
        <v>5860.4693810137151</v>
      </c>
      <c r="G35" s="70">
        <f t="shared" si="7"/>
        <v>5899.9184835826327</v>
      </c>
      <c r="H35" s="70">
        <f t="shared" si="7"/>
        <v>5940.4248221003973</v>
      </c>
      <c r="I35" s="70">
        <f t="shared" si="7"/>
        <v>5982.016730490438</v>
      </c>
      <c r="J35" s="70">
        <f t="shared" si="7"/>
        <v>6024.7233020253316</v>
      </c>
      <c r="K35" s="70">
        <f t="shared" si="7"/>
        <v>6068.5744096773597</v>
      </c>
      <c r="L35" s="70">
        <f t="shared" si="7"/>
        <v>6113.6007270144637</v>
      </c>
      <c r="M35" s="70">
        <f t="shared" si="7"/>
        <v>6159.8337496562008</v>
      </c>
      <c r="N35" s="70">
        <f t="shared" si="7"/>
        <v>1818.8178754297373</v>
      </c>
      <c r="O35" s="70">
        <f t="shared" si="7"/>
        <v>1867.5621944912541</v>
      </c>
      <c r="P35" s="70">
        <f t="shared" si="7"/>
        <v>1917.6128613036194</v>
      </c>
      <c r="Q35" s="70">
        <f t="shared" si="7"/>
        <v>1969.0048859865565</v>
      </c>
      <c r="R35" s="70">
        <f t="shared" si="7"/>
        <v>2021.7742169309959</v>
      </c>
      <c r="T35" s="74"/>
    </row>
    <row r="36" spans="1:20">
      <c r="B36" s="79"/>
      <c r="C36" s="79"/>
      <c r="D36" s="84"/>
      <c r="E36" s="84"/>
      <c r="F36" s="84"/>
      <c r="G36" s="84"/>
      <c r="H36" s="84"/>
      <c r="I36" s="84"/>
      <c r="J36" s="84"/>
      <c r="K36" s="84"/>
      <c r="L36" s="84"/>
      <c r="M36" s="84"/>
      <c r="N36" s="84"/>
      <c r="O36" s="86"/>
      <c r="P36" s="87"/>
      <c r="Q36" s="87"/>
      <c r="R36" s="87"/>
      <c r="T36" s="88"/>
    </row>
    <row r="37" spans="1:20">
      <c r="A37" s="90" t="s">
        <v>76</v>
      </c>
      <c r="B37" s="91" t="s">
        <v>109</v>
      </c>
      <c r="C37" s="307">
        <f>+SUM(D37:R37)</f>
        <v>1690327.3855618956</v>
      </c>
      <c r="D37" s="116">
        <f>+D22-D35</f>
        <v>91062.082281479961</v>
      </c>
      <c r="E37" s="116">
        <f t="shared" ref="E37:R37" si="8">+E22-E35</f>
        <v>93620.157563465895</v>
      </c>
      <c r="F37" s="116">
        <f t="shared" si="8"/>
        <v>96246.789263009006</v>
      </c>
      <c r="G37" s="116">
        <f t="shared" si="8"/>
        <v>98943.814692099899</v>
      </c>
      <c r="H37" s="116">
        <f t="shared" si="8"/>
        <v>101713.1204026904</v>
      </c>
      <c r="I37" s="116">
        <f t="shared" si="8"/>
        <v>104556.64350632476</v>
      </c>
      <c r="J37" s="116">
        <f t="shared" si="8"/>
        <v>107476.37302913651</v>
      </c>
      <c r="K37" s="116">
        <f t="shared" si="8"/>
        <v>110474.35130315959</v>
      </c>
      <c r="L37" s="116">
        <f t="shared" si="8"/>
        <v>113552.67539492653</v>
      </c>
      <c r="M37" s="116">
        <f t="shared" si="8"/>
        <v>116713.49857235279</v>
      </c>
      <c r="N37" s="116">
        <f t="shared" si="8"/>
        <v>124347.51975280906</v>
      </c>
      <c r="O37" s="116">
        <f t="shared" si="8"/>
        <v>127680.03328218435</v>
      </c>
      <c r="P37" s="116">
        <f t="shared" si="8"/>
        <v>131101.85817414688</v>
      </c>
      <c r="Q37" s="116">
        <f t="shared" si="8"/>
        <v>134615.387973214</v>
      </c>
      <c r="R37" s="116">
        <f t="shared" si="8"/>
        <v>138223.08037089615</v>
      </c>
      <c r="T37" s="74"/>
    </row>
    <row r="38" spans="1:20">
      <c r="B38" s="79"/>
      <c r="C38" s="79"/>
      <c r="D38" s="84"/>
      <c r="E38" s="88"/>
      <c r="F38" s="88"/>
      <c r="G38" s="88"/>
      <c r="H38" s="88"/>
      <c r="I38" s="88"/>
      <c r="J38" s="88"/>
      <c r="K38" s="88"/>
      <c r="L38" s="88"/>
      <c r="M38" s="88"/>
      <c r="N38" s="88"/>
      <c r="O38" s="117"/>
      <c r="P38" s="118"/>
      <c r="Q38" s="118"/>
      <c r="R38" s="118"/>
      <c r="T38" s="88"/>
    </row>
    <row r="39" spans="1:20">
      <c r="A39" s="74" t="s">
        <v>222</v>
      </c>
      <c r="C39" s="310">
        <f>'Initial Data'!C18/100</f>
        <v>0.7</v>
      </c>
      <c r="D39" s="119">
        <f>IF((+$C$39*D37)&lt;0,"0",(+$C$39*D37))</f>
        <v>63743.457597035966</v>
      </c>
      <c r="E39" s="119">
        <f t="shared" ref="E39:R39" si="9">IF((+$C$39*E37)&lt;0,"0",(+$C$39*E37))</f>
        <v>65534.110294426122</v>
      </c>
      <c r="F39" s="119">
        <f t="shared" si="9"/>
        <v>67372.752484106299</v>
      </c>
      <c r="G39" s="119">
        <f t="shared" si="9"/>
        <v>69260.670284469918</v>
      </c>
      <c r="H39" s="119">
        <f t="shared" si="9"/>
        <v>71199.184281883281</v>
      </c>
      <c r="I39" s="119">
        <f t="shared" si="9"/>
        <v>73189.650454427334</v>
      </c>
      <c r="J39" s="119">
        <f t="shared" si="9"/>
        <v>75233.461120395543</v>
      </c>
      <c r="K39" s="119">
        <f t="shared" si="9"/>
        <v>77332.045912211717</v>
      </c>
      <c r="L39" s="119">
        <f t="shared" si="9"/>
        <v>79486.872776448567</v>
      </c>
      <c r="M39" s="119">
        <f t="shared" si="9"/>
        <v>81699.449000646957</v>
      </c>
      <c r="N39" s="119">
        <f t="shared" si="9"/>
        <v>87043.263826966344</v>
      </c>
      <c r="O39" s="120">
        <f t="shared" si="9"/>
        <v>89376.023297529042</v>
      </c>
      <c r="P39" s="121">
        <f t="shared" si="9"/>
        <v>91771.300721902808</v>
      </c>
      <c r="Q39" s="121">
        <f t="shared" si="9"/>
        <v>94230.771581249792</v>
      </c>
      <c r="R39" s="121">
        <f t="shared" si="9"/>
        <v>96756.1562596273</v>
      </c>
      <c r="T39" s="74"/>
    </row>
    <row r="40" spans="1:20">
      <c r="A40" s="90" t="s">
        <v>77</v>
      </c>
      <c r="B40" s="91" t="s">
        <v>109</v>
      </c>
      <c r="C40" s="308">
        <f>SUM(D40:R40)</f>
        <v>1183229.1698933272</v>
      </c>
      <c r="D40" s="111">
        <f t="shared" ref="D40:R40" si="10">+SUM(D39:D39)</f>
        <v>63743.457597035966</v>
      </c>
      <c r="E40" s="111">
        <f t="shared" si="10"/>
        <v>65534.110294426122</v>
      </c>
      <c r="F40" s="111">
        <f t="shared" si="10"/>
        <v>67372.752484106299</v>
      </c>
      <c r="G40" s="111">
        <f t="shared" si="10"/>
        <v>69260.670284469918</v>
      </c>
      <c r="H40" s="111">
        <f t="shared" si="10"/>
        <v>71199.184281883281</v>
      </c>
      <c r="I40" s="111">
        <f t="shared" si="10"/>
        <v>73189.650454427334</v>
      </c>
      <c r="J40" s="111">
        <f t="shared" si="10"/>
        <v>75233.461120395543</v>
      </c>
      <c r="K40" s="111">
        <f t="shared" si="10"/>
        <v>77332.045912211717</v>
      </c>
      <c r="L40" s="111">
        <f t="shared" si="10"/>
        <v>79486.872776448567</v>
      </c>
      <c r="M40" s="111">
        <f t="shared" si="10"/>
        <v>81699.449000646957</v>
      </c>
      <c r="N40" s="111">
        <f t="shared" si="10"/>
        <v>87043.263826966344</v>
      </c>
      <c r="O40" s="111">
        <f t="shared" si="10"/>
        <v>89376.023297529042</v>
      </c>
      <c r="P40" s="111">
        <f t="shared" si="10"/>
        <v>91771.300721902808</v>
      </c>
      <c r="Q40" s="111">
        <f t="shared" si="10"/>
        <v>94230.771581249792</v>
      </c>
      <c r="R40" s="111">
        <f t="shared" si="10"/>
        <v>96756.1562596273</v>
      </c>
      <c r="T40" s="74"/>
    </row>
    <row r="41" spans="1:20">
      <c r="B41" s="79"/>
      <c r="C41" s="79"/>
      <c r="D41" s="84"/>
      <c r="E41" s="84"/>
      <c r="F41" s="84"/>
      <c r="G41" s="84"/>
      <c r="H41" s="84"/>
      <c r="I41" s="84"/>
      <c r="J41" s="84"/>
      <c r="K41" s="84"/>
      <c r="L41" s="84"/>
      <c r="M41" s="84"/>
      <c r="N41" s="84"/>
      <c r="O41" s="86"/>
      <c r="P41" s="87"/>
      <c r="Q41" s="87"/>
      <c r="R41" s="87"/>
      <c r="T41" s="88"/>
    </row>
    <row r="42" spans="1:20">
      <c r="A42" s="90" t="s">
        <v>78</v>
      </c>
      <c r="B42" s="91" t="s">
        <v>109</v>
      </c>
      <c r="C42" s="307">
        <f>SUM(D42:R42)</f>
        <v>507098.2156685688</v>
      </c>
      <c r="D42" s="123">
        <f>+D37-D40</f>
        <v>27318.624684443996</v>
      </c>
      <c r="E42" s="123">
        <f>+E37-E40</f>
        <v>28086.047269039773</v>
      </c>
      <c r="F42" s="123">
        <f t="shared" ref="F42:R42" si="11">+F37-F40</f>
        <v>28874.036778902708</v>
      </c>
      <c r="G42" s="123">
        <f t="shared" si="11"/>
        <v>29683.144407629981</v>
      </c>
      <c r="H42" s="123">
        <f t="shared" si="11"/>
        <v>30513.93612080712</v>
      </c>
      <c r="I42" s="123">
        <f t="shared" si="11"/>
        <v>31366.993051897429</v>
      </c>
      <c r="J42" s="123">
        <f t="shared" si="11"/>
        <v>32242.911908740964</v>
      </c>
      <c r="K42" s="123">
        <f t="shared" si="11"/>
        <v>33142.305390947877</v>
      </c>
      <c r="L42" s="123">
        <f t="shared" si="11"/>
        <v>34065.802618477959</v>
      </c>
      <c r="M42" s="123">
        <f t="shared" si="11"/>
        <v>35014.049571705837</v>
      </c>
      <c r="N42" s="123">
        <f t="shared" si="11"/>
        <v>37304.255925842721</v>
      </c>
      <c r="O42" s="123">
        <f t="shared" si="11"/>
        <v>38304.009984655306</v>
      </c>
      <c r="P42" s="123">
        <f t="shared" si="11"/>
        <v>39330.557452244073</v>
      </c>
      <c r="Q42" s="123">
        <f t="shared" si="11"/>
        <v>40384.616391964213</v>
      </c>
      <c r="R42" s="123">
        <f t="shared" si="11"/>
        <v>41466.924111268847</v>
      </c>
      <c r="T42" s="74"/>
    </row>
    <row r="43" spans="1:20" ht="15">
      <c r="A43" s="124" t="s">
        <v>79</v>
      </c>
      <c r="B43" s="100" t="s">
        <v>109</v>
      </c>
      <c r="C43" s="307">
        <f>SUM(D43:R43)</f>
        <v>43884.879418749995</v>
      </c>
      <c r="D43" s="101">
        <f>+D32</f>
        <v>4388.4879418749997</v>
      </c>
      <c r="E43" s="101">
        <f t="shared" ref="E43:R43" si="12">+E32</f>
        <v>4388.4879418749997</v>
      </c>
      <c r="F43" s="101">
        <f t="shared" si="12"/>
        <v>4388.4879418749997</v>
      </c>
      <c r="G43" s="101">
        <f t="shared" si="12"/>
        <v>4388.4879418749997</v>
      </c>
      <c r="H43" s="101">
        <f t="shared" si="12"/>
        <v>4388.4879418749997</v>
      </c>
      <c r="I43" s="101">
        <f t="shared" si="12"/>
        <v>4388.4879418749997</v>
      </c>
      <c r="J43" s="101">
        <f t="shared" si="12"/>
        <v>4388.4879418749997</v>
      </c>
      <c r="K43" s="101">
        <f t="shared" si="12"/>
        <v>4388.4879418749997</v>
      </c>
      <c r="L43" s="101">
        <f t="shared" si="12"/>
        <v>4388.4879418749997</v>
      </c>
      <c r="M43" s="101">
        <f t="shared" si="12"/>
        <v>4388.4879418749997</v>
      </c>
      <c r="N43" s="101">
        <f t="shared" si="12"/>
        <v>0</v>
      </c>
      <c r="O43" s="101">
        <f t="shared" si="12"/>
        <v>0</v>
      </c>
      <c r="P43" s="101">
        <f t="shared" si="12"/>
        <v>0</v>
      </c>
      <c r="Q43" s="101">
        <f t="shared" si="12"/>
        <v>0</v>
      </c>
      <c r="R43" s="101">
        <f t="shared" si="12"/>
        <v>0</v>
      </c>
      <c r="T43" s="74"/>
    </row>
    <row r="44" spans="1:20" ht="15">
      <c r="A44" s="124" t="s">
        <v>80</v>
      </c>
      <c r="B44" s="100" t="s">
        <v>109</v>
      </c>
      <c r="C44" s="307">
        <f>+SUM(D44:R44)</f>
        <v>0</v>
      </c>
      <c r="D44" s="101"/>
      <c r="E44" s="101"/>
      <c r="F44" s="101"/>
      <c r="G44" s="101"/>
      <c r="H44" s="101"/>
      <c r="I44" s="101"/>
      <c r="J44" s="101"/>
      <c r="K44" s="101"/>
      <c r="L44" s="101"/>
      <c r="M44" s="101">
        <f>+C32-SUM(D43:M43)</f>
        <v>0</v>
      </c>
      <c r="N44" s="125"/>
      <c r="O44" s="125"/>
      <c r="P44" s="125"/>
      <c r="Q44" s="125"/>
      <c r="R44" s="125">
        <f>C8-SUM(D32:R32)</f>
        <v>0</v>
      </c>
      <c r="T44" s="74"/>
    </row>
    <row r="45" spans="1:20">
      <c r="B45" s="79"/>
      <c r="C45" s="79"/>
      <c r="D45" s="84"/>
      <c r="E45" s="126"/>
      <c r="F45" s="126"/>
      <c r="G45" s="126"/>
      <c r="H45" s="126"/>
      <c r="I45" s="126"/>
      <c r="J45" s="126"/>
      <c r="K45" s="126"/>
      <c r="L45" s="126"/>
      <c r="M45" s="126"/>
      <c r="N45" s="126"/>
      <c r="O45" s="127"/>
      <c r="P45" s="128"/>
      <c r="Q45" s="128"/>
      <c r="R45" s="128"/>
      <c r="T45" s="129"/>
    </row>
    <row r="46" spans="1:20">
      <c r="A46" s="90" t="s">
        <v>110</v>
      </c>
      <c r="C46" s="130">
        <f>-C8</f>
        <v>-43884.879418749995</v>
      </c>
      <c r="D46" s="123">
        <f>+D42+D43+D44</f>
        <v>31707.112626318994</v>
      </c>
      <c r="E46" s="123">
        <f>+E42+E43+E44</f>
        <v>32474.535210914772</v>
      </c>
      <c r="F46" s="123">
        <f t="shared" ref="F46:R46" si="13">+F42+F43+F44</f>
        <v>33262.524720777707</v>
      </c>
      <c r="G46" s="123">
        <f>+G42+G43+G44</f>
        <v>34071.63234950498</v>
      </c>
      <c r="H46" s="123">
        <f t="shared" si="13"/>
        <v>34902.424062682119</v>
      </c>
      <c r="I46" s="123">
        <f t="shared" si="13"/>
        <v>35755.480993772428</v>
      </c>
      <c r="J46" s="123">
        <f t="shared" si="13"/>
        <v>36631.399850615962</v>
      </c>
      <c r="K46" s="123">
        <f t="shared" si="13"/>
        <v>37530.793332822876</v>
      </c>
      <c r="L46" s="123">
        <f t="shared" si="13"/>
        <v>38454.290560352958</v>
      </c>
      <c r="M46" s="123">
        <f t="shared" si="13"/>
        <v>39402.537513580835</v>
      </c>
      <c r="N46" s="123">
        <f t="shared" si="13"/>
        <v>37304.255925842721</v>
      </c>
      <c r="O46" s="123">
        <f t="shared" si="13"/>
        <v>38304.009984655306</v>
      </c>
      <c r="P46" s="123">
        <f t="shared" si="13"/>
        <v>39330.557452244073</v>
      </c>
      <c r="Q46" s="123">
        <f t="shared" si="13"/>
        <v>40384.616391964213</v>
      </c>
      <c r="R46" s="123">
        <f t="shared" si="13"/>
        <v>41466.924111268847</v>
      </c>
      <c r="T46" s="311"/>
    </row>
    <row r="47" spans="1:20" s="124" customFormat="1" ht="15.6">
      <c r="A47" s="131" t="s">
        <v>51</v>
      </c>
      <c r="C47" s="132">
        <f>IRR(C46:R46)</f>
        <v>0.74631049628791313</v>
      </c>
      <c r="D47" s="133"/>
      <c r="E47" s="134"/>
      <c r="F47" s="134"/>
      <c r="G47" s="134"/>
      <c r="H47" s="135"/>
      <c r="I47" s="134"/>
      <c r="J47" s="134"/>
      <c r="K47" s="134"/>
      <c r="L47" s="134"/>
      <c r="M47" s="134"/>
      <c r="N47" s="134"/>
      <c r="O47" s="136"/>
      <c r="P47" s="137"/>
      <c r="Q47" s="137"/>
      <c r="R47" s="137"/>
      <c r="T47" s="312"/>
    </row>
    <row r="48" spans="1:20" s="124" customFormat="1" ht="15.6">
      <c r="A48" s="131" t="s">
        <v>267</v>
      </c>
      <c r="C48" s="303">
        <f>NPV('Initial Data'!C21/100,C46:R46)</f>
        <v>176118.00956786249</v>
      </c>
      <c r="D48" s="300"/>
      <c r="E48" s="137"/>
      <c r="F48" s="137"/>
      <c r="G48" s="137"/>
      <c r="H48" s="301"/>
      <c r="I48" s="137"/>
      <c r="J48" s="137"/>
      <c r="K48" s="137"/>
      <c r="L48" s="137"/>
      <c r="M48" s="137"/>
      <c r="N48" s="137"/>
      <c r="O48" s="137"/>
      <c r="P48" s="137"/>
      <c r="Q48" s="137"/>
      <c r="R48" s="137"/>
      <c r="T48" s="313"/>
    </row>
    <row r="49" spans="1:20">
      <c r="T49" s="314"/>
    </row>
    <row r="50" spans="1:20">
      <c r="A50" s="90" t="s">
        <v>103</v>
      </c>
      <c r="T50" s="314"/>
    </row>
    <row r="52" spans="1:20">
      <c r="A52" s="74" t="s">
        <v>42</v>
      </c>
      <c r="B52" s="74" t="s">
        <v>105</v>
      </c>
      <c r="D52" s="112">
        <f>'Emissions Reductions'!B9</f>
        <v>88111</v>
      </c>
      <c r="E52" s="112">
        <f>'Emissions Reductions'!C9</f>
        <v>88111</v>
      </c>
      <c r="F52" s="112">
        <f>'Emissions Reductions'!D9</f>
        <v>88111</v>
      </c>
      <c r="G52" s="112">
        <f>'Emissions Reductions'!E9</f>
        <v>88111</v>
      </c>
      <c r="H52" s="112">
        <f>'Emissions Reductions'!F9</f>
        <v>88111</v>
      </c>
      <c r="I52" s="112">
        <f>'Emissions Reductions'!G9</f>
        <v>88111</v>
      </c>
      <c r="J52" s="112">
        <f>'Emissions Reductions'!H9</f>
        <v>88111</v>
      </c>
      <c r="K52" s="112">
        <f>'Emissions Reductions'!I9</f>
        <v>88111</v>
      </c>
      <c r="L52" s="112">
        <f>'Emissions Reductions'!J9</f>
        <v>88111</v>
      </c>
      <c r="M52" s="112">
        <f>'Emissions Reductions'!K9</f>
        <v>88111</v>
      </c>
      <c r="N52" s="112"/>
      <c r="O52" s="112"/>
      <c r="P52" s="112"/>
      <c r="Q52" s="112"/>
      <c r="R52" s="112"/>
    </row>
    <row r="53" spans="1:20">
      <c r="A53" s="74" t="s">
        <v>104</v>
      </c>
      <c r="B53" s="74" t="s">
        <v>106</v>
      </c>
      <c r="D53" s="112">
        <f>+'Initial Data'!C24</f>
        <v>20</v>
      </c>
    </row>
    <row r="55" spans="1:20" ht="13.8" thickBot="1">
      <c r="A55" s="74" t="s">
        <v>107</v>
      </c>
      <c r="B55" s="100" t="s">
        <v>109</v>
      </c>
      <c r="C55" s="297"/>
      <c r="D55" s="122">
        <f>D52*$D$53/1000</f>
        <v>1762.22</v>
      </c>
      <c r="E55" s="122">
        <f t="shared" ref="E55:R55" si="14">E52*$D$53/1000</f>
        <v>1762.22</v>
      </c>
      <c r="F55" s="122">
        <f t="shared" si="14"/>
        <v>1762.22</v>
      </c>
      <c r="G55" s="122">
        <f t="shared" si="14"/>
        <v>1762.22</v>
      </c>
      <c r="H55" s="122">
        <f t="shared" si="14"/>
        <v>1762.22</v>
      </c>
      <c r="I55" s="122">
        <f t="shared" si="14"/>
        <v>1762.22</v>
      </c>
      <c r="J55" s="122">
        <f t="shared" si="14"/>
        <v>1762.22</v>
      </c>
      <c r="K55" s="122">
        <f t="shared" si="14"/>
        <v>1762.22</v>
      </c>
      <c r="L55" s="122">
        <f t="shared" si="14"/>
        <v>1762.22</v>
      </c>
      <c r="M55" s="122">
        <f t="shared" si="14"/>
        <v>1762.22</v>
      </c>
      <c r="N55" s="122">
        <f t="shared" si="14"/>
        <v>0</v>
      </c>
      <c r="O55" s="122">
        <f t="shared" si="14"/>
        <v>0</v>
      </c>
      <c r="P55" s="122">
        <f t="shared" si="14"/>
        <v>0</v>
      </c>
      <c r="Q55" s="122">
        <f t="shared" si="14"/>
        <v>0</v>
      </c>
      <c r="R55" s="122">
        <f t="shared" si="14"/>
        <v>0</v>
      </c>
    </row>
    <row r="56" spans="1:20" ht="13.8" thickTop="1"/>
    <row r="57" spans="1:20">
      <c r="A57" s="90" t="s">
        <v>110</v>
      </c>
      <c r="C57" s="130">
        <f>C46</f>
        <v>-43884.879418749995</v>
      </c>
      <c r="D57" s="123">
        <f t="shared" ref="D57:R57" si="15">+D46+D55</f>
        <v>33469.332626318996</v>
      </c>
      <c r="E57" s="123">
        <f t="shared" si="15"/>
        <v>34236.755210914773</v>
      </c>
      <c r="F57" s="123">
        <f t="shared" si="15"/>
        <v>35024.744720777708</v>
      </c>
      <c r="G57" s="123">
        <f t="shared" si="15"/>
        <v>35833.852349504981</v>
      </c>
      <c r="H57" s="123">
        <f t="shared" si="15"/>
        <v>36664.64406268212</v>
      </c>
      <c r="I57" s="123">
        <f t="shared" si="15"/>
        <v>37517.700993772429</v>
      </c>
      <c r="J57" s="123">
        <f t="shared" si="15"/>
        <v>38393.619850615964</v>
      </c>
      <c r="K57" s="123">
        <f t="shared" si="15"/>
        <v>39293.013332822877</v>
      </c>
      <c r="L57" s="123">
        <f t="shared" si="15"/>
        <v>40216.510560352959</v>
      </c>
      <c r="M57" s="123">
        <f t="shared" si="15"/>
        <v>41164.757513580837</v>
      </c>
      <c r="N57" s="123">
        <f t="shared" si="15"/>
        <v>37304.255925842721</v>
      </c>
      <c r="O57" s="123">
        <f t="shared" si="15"/>
        <v>38304.009984655306</v>
      </c>
      <c r="P57" s="123">
        <f t="shared" si="15"/>
        <v>39330.557452244073</v>
      </c>
      <c r="Q57" s="123">
        <f t="shared" si="15"/>
        <v>40384.616391964213</v>
      </c>
      <c r="R57" s="123">
        <f t="shared" si="15"/>
        <v>41466.924111268847</v>
      </c>
    </row>
    <row r="58" spans="1:20" ht="15.6">
      <c r="A58" s="131" t="s">
        <v>51</v>
      </c>
      <c r="C58" s="132">
        <f>IRR(C57:R57)</f>
        <v>0.78521602069247809</v>
      </c>
      <c r="D58" s="133"/>
      <c r="E58" s="134"/>
      <c r="F58" s="134"/>
      <c r="G58" s="134"/>
      <c r="H58" s="135"/>
      <c r="I58" s="134"/>
      <c r="J58" s="134"/>
      <c r="K58" s="134"/>
      <c r="L58" s="134"/>
      <c r="M58" s="134"/>
      <c r="N58" s="134"/>
      <c r="O58" s="136"/>
      <c r="P58" s="137"/>
      <c r="Q58" s="137"/>
      <c r="R58" s="137"/>
    </row>
    <row r="59" spans="1:20" ht="15.6">
      <c r="A59" s="131" t="s">
        <v>267</v>
      </c>
      <c r="C59" s="303">
        <f>NPV('Initial Data'!C21/100,C57:R57)</f>
        <v>185008.13101886807</v>
      </c>
    </row>
  </sheetData>
  <mergeCells count="1">
    <mergeCell ref="J8:K8"/>
  </mergeCells>
  <phoneticPr fontId="3" type="noConversion"/>
  <conditionalFormatting sqref="E3:E7">
    <cfRule type="cellIs" dxfId="0" priority="1" stopIfTrue="1" operator="greaterThan">
      <formula>0.09</formula>
    </cfRule>
  </conditionalFormatting>
  <printOptions horizontalCentered="1" verticalCentered="1"/>
  <pageMargins left="0.63" right="0.24" top="0.54" bottom="0.56999999999999995" header="0" footer="0"/>
  <pageSetup paperSize="9" scale="51" orientation="landscape" horizontalDpi="300" verticalDpi="300" r:id="rId1"/>
  <headerFooter alignWithMargins="0"/>
</worksheet>
</file>

<file path=xl/worksheets/sheet11.xml><?xml version="1.0" encoding="utf-8"?>
<worksheet xmlns="http://schemas.openxmlformats.org/spreadsheetml/2006/main" xmlns:r="http://schemas.openxmlformats.org/officeDocument/2006/relationships">
  <dimension ref="A1:R1308"/>
  <sheetViews>
    <sheetView zoomScale="70" zoomScaleNormal="70" workbookViewId="0"/>
  </sheetViews>
  <sheetFormatPr baseColWidth="10" defaultColWidth="11.44140625" defaultRowHeight="13.2"/>
  <cols>
    <col min="1" max="1" width="44.109375" style="354" customWidth="1"/>
    <col min="2" max="2" width="20.44140625" style="354" customWidth="1"/>
    <col min="3" max="3" width="15.33203125" style="354" bestFit="1" customWidth="1"/>
    <col min="4" max="5" width="14.44140625" style="354" bestFit="1" customWidth="1"/>
    <col min="6" max="7" width="17.109375" style="354" bestFit="1" customWidth="1"/>
    <col min="8" max="8" width="16.6640625" style="354" bestFit="1" customWidth="1"/>
    <col min="9" max="9" width="17.109375" style="354" bestFit="1" customWidth="1"/>
    <col min="10" max="10" width="16.6640625" style="354" bestFit="1" customWidth="1"/>
    <col min="11" max="15" width="17.109375" style="354" bestFit="1" customWidth="1"/>
    <col min="16" max="17" width="17" style="354" bestFit="1" customWidth="1"/>
    <col min="18" max="16384" width="11.44140625" style="354"/>
  </cols>
  <sheetData>
    <row r="1" spans="1:7">
      <c r="A1" s="355" t="s">
        <v>206</v>
      </c>
    </row>
    <row r="3" spans="1:7" ht="14.4">
      <c r="A3" s="512" t="s">
        <v>206</v>
      </c>
      <c r="B3" s="513"/>
      <c r="C3" s="513"/>
      <c r="D3" s="513"/>
      <c r="E3" s="513"/>
      <c r="F3" s="514"/>
    </row>
    <row r="4" spans="1:7" ht="14.4">
      <c r="A4" s="403"/>
      <c r="B4" s="403"/>
      <c r="C4" s="403"/>
      <c r="D4" s="403"/>
      <c r="E4" s="403"/>
      <c r="F4" s="403"/>
    </row>
    <row r="5" spans="1:7" ht="14.4">
      <c r="A5" s="359" t="s">
        <v>359</v>
      </c>
    </row>
    <row r="6" spans="1:7" ht="14.4">
      <c r="A6" s="356"/>
      <c r="B6" s="357">
        <v>-0.1</v>
      </c>
      <c r="C6" s="357">
        <v>-0.05</v>
      </c>
      <c r="D6" s="357">
        <v>0</v>
      </c>
      <c r="E6" s="357">
        <v>0.05</v>
      </c>
      <c r="F6" s="357">
        <v>0.1</v>
      </c>
      <c r="G6" s="358"/>
    </row>
    <row r="7" spans="1:7" ht="14.4">
      <c r="A7" s="359" t="s">
        <v>286</v>
      </c>
      <c r="B7" s="360">
        <f>+B74</f>
        <v>0.81921045849425644</v>
      </c>
      <c r="C7" s="360">
        <f>+B112</f>
        <v>0.78085811420762141</v>
      </c>
      <c r="D7" s="360">
        <f>+'WHRS_Project Scenario'!C47</f>
        <v>0.74631049628791313</v>
      </c>
      <c r="E7" s="360">
        <f>+B150</f>
        <v>0.71502214494590322</v>
      </c>
      <c r="F7" s="360">
        <f>+B188</f>
        <v>0.68654685254910475</v>
      </c>
      <c r="G7" s="356"/>
    </row>
    <row r="8" spans="1:7" ht="14.4">
      <c r="A8" s="359" t="s">
        <v>287</v>
      </c>
      <c r="B8" s="360">
        <f>+B226</f>
        <v>0.7472710647469486</v>
      </c>
      <c r="C8" s="360">
        <f>+B264</f>
        <v>0.74679078398750931</v>
      </c>
      <c r="D8" s="360">
        <f>+'WHRS_Project Scenario'!C47</f>
        <v>0.74631049628791313</v>
      </c>
      <c r="E8" s="361">
        <f>+B302</f>
        <v>0.7458302016267061</v>
      </c>
      <c r="F8" s="360">
        <f>+B340</f>
        <v>0.74534989998235779</v>
      </c>
      <c r="G8" s="356"/>
    </row>
    <row r="9" spans="1:7" ht="14.4">
      <c r="A9" s="359" t="s">
        <v>370</v>
      </c>
      <c r="B9" s="360">
        <f>B378</f>
        <v>0.6795996748989418</v>
      </c>
      <c r="C9" s="360">
        <f>B416</f>
        <v>0.71297600988335852</v>
      </c>
      <c r="D9" s="360">
        <f>+'WHRS_Project Scenario'!C47</f>
        <v>0.74631049628791313</v>
      </c>
      <c r="E9" s="360">
        <f>B454</f>
        <v>0.77961133559698914</v>
      </c>
      <c r="F9" s="360">
        <f>B492</f>
        <v>0.81288491989427214</v>
      </c>
      <c r="G9" s="356"/>
    </row>
    <row r="10" spans="1:7" ht="14.4">
      <c r="A10" s="359" t="s">
        <v>372</v>
      </c>
      <c r="B10" s="360">
        <f>B530</f>
        <v>0.63182496143575118</v>
      </c>
      <c r="C10" s="360">
        <f>B568</f>
        <v>0.68914060651175701</v>
      </c>
      <c r="D10" s="360">
        <f>+'WHRS_Project Scenario'!C47</f>
        <v>0.74631049628791313</v>
      </c>
      <c r="E10" s="360">
        <f>B606</f>
        <v>0.80338064814785004</v>
      </c>
      <c r="F10" s="360">
        <f>B644</f>
        <v>0.8603810387084655</v>
      </c>
      <c r="G10" s="356"/>
    </row>
    <row r="11" spans="1:7" ht="14.4">
      <c r="A11" s="359" t="s">
        <v>373</v>
      </c>
      <c r="B11" s="360">
        <f>B682</f>
        <v>0.6795996748989418</v>
      </c>
      <c r="C11" s="360">
        <f>B720</f>
        <v>0.71297600988335852</v>
      </c>
      <c r="D11" s="360">
        <f>+'WHRS_Project Scenario'!C47</f>
        <v>0.74631049628791313</v>
      </c>
      <c r="E11" s="360">
        <f>B758</f>
        <v>0.77961133559698925</v>
      </c>
      <c r="F11" s="360">
        <f>B796</f>
        <v>0.81288491989427225</v>
      </c>
      <c r="G11" s="356"/>
    </row>
    <row r="12" spans="1:7" ht="14.4">
      <c r="A12" s="356"/>
      <c r="B12" s="356"/>
      <c r="C12" s="356"/>
      <c r="D12" s="356"/>
      <c r="E12" s="356"/>
      <c r="F12" s="356"/>
      <c r="G12" s="356"/>
    </row>
    <row r="13" spans="1:7" ht="14.4">
      <c r="A13" s="359" t="s">
        <v>207</v>
      </c>
      <c r="B13" s="362">
        <v>0</v>
      </c>
      <c r="C13" s="362">
        <v>5</v>
      </c>
      <c r="D13" s="362">
        <v>10</v>
      </c>
      <c r="E13" s="362">
        <v>15</v>
      </c>
      <c r="F13" s="362">
        <v>20</v>
      </c>
      <c r="G13" s="362">
        <v>25</v>
      </c>
    </row>
    <row r="14" spans="1:7" ht="14.4">
      <c r="A14" s="359" t="s">
        <v>51</v>
      </c>
      <c r="B14" s="360">
        <f>+'WHRS_Project Scenario'!C47</f>
        <v>0.74631049628791313</v>
      </c>
      <c r="C14" s="360">
        <f>B1111</f>
        <v>0.75602284120408669</v>
      </c>
      <c r="D14" s="360">
        <f>B1160</f>
        <v>0.76574483161671902</v>
      </c>
      <c r="E14" s="360">
        <f>B1209</f>
        <v>0.77547602934255755</v>
      </c>
      <c r="F14" s="360">
        <f>B1258</f>
        <v>0.78521602069247809</v>
      </c>
      <c r="G14" s="360">
        <f>B1307</f>
        <v>0.79496441501692305</v>
      </c>
    </row>
    <row r="15" spans="1:7" ht="14.4">
      <c r="A15" s="399"/>
      <c r="B15" s="400"/>
      <c r="C15" s="400"/>
      <c r="D15" s="400"/>
      <c r="E15" s="400"/>
      <c r="F15" s="400"/>
      <c r="G15" s="400"/>
    </row>
    <row r="16" spans="1:7" ht="14.4">
      <c r="A16" s="333" t="s">
        <v>282</v>
      </c>
      <c r="B16" s="335">
        <v>0</v>
      </c>
      <c r="C16" s="335">
        <v>0.03</v>
      </c>
      <c r="E16" s="400"/>
      <c r="F16" s="400"/>
      <c r="G16" s="400"/>
    </row>
    <row r="17" spans="1:7" ht="14.4">
      <c r="A17" s="333" t="s">
        <v>253</v>
      </c>
      <c r="B17" s="334">
        <f>B834</f>
        <v>0.75802749186221252</v>
      </c>
      <c r="C17" s="334">
        <f>B872</f>
        <v>0.73768692192919472</v>
      </c>
      <c r="E17" s="400"/>
      <c r="F17" s="400"/>
      <c r="G17" s="400"/>
    </row>
    <row r="18" spans="1:7" ht="14.4">
      <c r="A18" s="399"/>
      <c r="B18" s="400"/>
      <c r="C18" s="400"/>
      <c r="D18" s="400"/>
      <c r="E18" s="400"/>
      <c r="F18" s="400"/>
      <c r="G18" s="400"/>
    </row>
    <row r="19" spans="1:7">
      <c r="A19" s="333" t="s">
        <v>224</v>
      </c>
      <c r="B19" s="401">
        <v>0.8</v>
      </c>
      <c r="C19" s="401">
        <v>0.7</v>
      </c>
      <c r="D19" s="401">
        <v>0.6</v>
      </c>
      <c r="E19" s="401">
        <v>0.5</v>
      </c>
      <c r="F19" s="401">
        <v>0.4</v>
      </c>
      <c r="G19" s="401">
        <v>0.3</v>
      </c>
    </row>
    <row r="20" spans="1:7" ht="14.4">
      <c r="A20" s="359" t="s">
        <v>51</v>
      </c>
      <c r="B20" s="360">
        <f>B910</f>
        <v>0.53572302423107809</v>
      </c>
      <c r="C20" s="360">
        <f>D7</f>
        <v>0.74631049628791313</v>
      </c>
      <c r="D20" s="360">
        <f>B948</f>
        <v>0.95499790915849203</v>
      </c>
      <c r="E20" s="360">
        <f>B986</f>
        <v>1.1631218350174719</v>
      </c>
      <c r="F20" s="360">
        <f>B1024</f>
        <v>1.3710195947092099</v>
      </c>
      <c r="G20" s="360">
        <f>B1062</f>
        <v>1.5788022325386792</v>
      </c>
    </row>
    <row r="21" spans="1:7" ht="14.4">
      <c r="A21" s="399"/>
      <c r="B21" s="404"/>
      <c r="C21" s="404"/>
      <c r="D21" s="404"/>
      <c r="E21" s="404"/>
      <c r="F21" s="404"/>
      <c r="G21" s="404"/>
    </row>
    <row r="22" spans="1:7" ht="14.4">
      <c r="A22" s="359" t="s">
        <v>360</v>
      </c>
      <c r="B22" s="404"/>
      <c r="C22" s="404"/>
      <c r="D22" s="404"/>
      <c r="E22" s="404"/>
      <c r="F22" s="404"/>
      <c r="G22" s="404"/>
    </row>
    <row r="23" spans="1:7" ht="14.4">
      <c r="A23" s="356"/>
      <c r="B23" s="357">
        <v>-0.1</v>
      </c>
      <c r="C23" s="357">
        <v>-0.05</v>
      </c>
      <c r="D23" s="357">
        <v>0</v>
      </c>
      <c r="E23" s="357">
        <v>0.05</v>
      </c>
      <c r="F23" s="357">
        <v>0.1</v>
      </c>
      <c r="G23" s="358"/>
    </row>
    <row r="24" spans="1:7" ht="14.4">
      <c r="A24" s="359" t="s">
        <v>286</v>
      </c>
      <c r="B24" s="405">
        <f>+B75</f>
        <v>178486.55639629022</v>
      </c>
      <c r="C24" s="405">
        <f>+B113</f>
        <v>177302.2829820764</v>
      </c>
      <c r="D24" s="405">
        <f>+'WHRS_Project Scenario'!C48</f>
        <v>176118.00956786249</v>
      </c>
      <c r="E24" s="405">
        <f>+B151</f>
        <v>174933.7361536487</v>
      </c>
      <c r="F24" s="405">
        <f>+B189</f>
        <v>173749.46273943479</v>
      </c>
      <c r="G24" s="356"/>
    </row>
    <row r="25" spans="1:7" ht="14.4">
      <c r="A25" s="359" t="s">
        <v>287</v>
      </c>
      <c r="B25" s="405">
        <f>+B227</f>
        <v>176410.25997849627</v>
      </c>
      <c r="C25" s="405">
        <f>+B265</f>
        <v>176264.13477317939</v>
      </c>
      <c r="D25" s="405">
        <f>+'WHRS_Project Scenario'!C48</f>
        <v>176118.00956786249</v>
      </c>
      <c r="E25" s="406">
        <f>+B303</f>
        <v>175971.88436254562</v>
      </c>
      <c r="F25" s="405">
        <f>+B341</f>
        <v>175825.75915722875</v>
      </c>
      <c r="G25" s="356"/>
    </row>
    <row r="26" spans="1:7" ht="14.4">
      <c r="A26" s="359" t="s">
        <v>371</v>
      </c>
      <c r="B26" s="405">
        <f>B379</f>
        <v>155845.41137201487</v>
      </c>
      <c r="C26" s="405">
        <f>B417</f>
        <v>165981.71046993867</v>
      </c>
      <c r="D26" s="405">
        <f>+'WHRS_Project Scenario'!C48</f>
        <v>176118.00956786249</v>
      </c>
      <c r="E26" s="405">
        <f>B455</f>
        <v>186254.30866578643</v>
      </c>
      <c r="F26" s="405">
        <f>B493</f>
        <v>196390.60776371029</v>
      </c>
      <c r="G26" s="356"/>
    </row>
    <row r="27" spans="1:7" ht="14.4">
      <c r="A27" s="359" t="s">
        <v>374</v>
      </c>
      <c r="B27" s="405">
        <f>B531</f>
        <v>141364.98408926642</v>
      </c>
      <c r="C27" s="405">
        <f>B569</f>
        <v>158741.49682856447</v>
      </c>
      <c r="D27" s="405">
        <f>+'WHRS_Project Scenario'!C48</f>
        <v>176118.00956786249</v>
      </c>
      <c r="E27" s="405">
        <f>B607</f>
        <v>193494.52230716054</v>
      </c>
      <c r="F27" s="405">
        <f>B645</f>
        <v>210871.03504645865</v>
      </c>
      <c r="G27" s="356"/>
    </row>
    <row r="28" spans="1:7" ht="14.4">
      <c r="A28" s="359" t="s">
        <v>373</v>
      </c>
      <c r="B28" s="405">
        <f>B683</f>
        <v>155845.41137201482</v>
      </c>
      <c r="C28" s="405">
        <f>B721</f>
        <v>165981.71046993864</v>
      </c>
      <c r="D28" s="405">
        <f>+'WHRS_Project Scenario'!C48</f>
        <v>176118.00956786249</v>
      </c>
      <c r="E28" s="405">
        <f>B759</f>
        <v>186254.30866578643</v>
      </c>
      <c r="F28" s="405">
        <f>B797</f>
        <v>196390.60776371029</v>
      </c>
      <c r="G28" s="356"/>
    </row>
    <row r="29" spans="1:7" ht="14.4">
      <c r="A29" s="356"/>
      <c r="B29" s="356"/>
      <c r="C29" s="356"/>
      <c r="D29" s="356"/>
      <c r="E29" s="356"/>
      <c r="F29" s="356"/>
      <c r="G29" s="356"/>
    </row>
    <row r="30" spans="1:7" ht="14.4">
      <c r="A30" s="359" t="s">
        <v>207</v>
      </c>
      <c r="B30" s="362">
        <v>0</v>
      </c>
      <c r="C30" s="362">
        <v>5</v>
      </c>
      <c r="D30" s="362">
        <v>10</v>
      </c>
      <c r="E30" s="362">
        <v>15</v>
      </c>
      <c r="F30" s="362">
        <v>20</v>
      </c>
      <c r="G30" s="362">
        <v>25</v>
      </c>
    </row>
    <row r="31" spans="1:7" ht="14.4">
      <c r="A31" s="359" t="s">
        <v>267</v>
      </c>
      <c r="B31" s="405">
        <f>+'WHRS_Project Scenario'!C48</f>
        <v>176118.00956786249</v>
      </c>
      <c r="C31" s="405">
        <f>B1112</f>
        <v>178340.53993061389</v>
      </c>
      <c r="D31" s="405">
        <f>B1161</f>
        <v>180563.07029336528</v>
      </c>
      <c r="E31" s="405">
        <f>B1210</f>
        <v>182785.60065611667</v>
      </c>
      <c r="F31" s="405">
        <f>B1259</f>
        <v>185008.13101886807</v>
      </c>
      <c r="G31" s="405">
        <f>B1308</f>
        <v>187230.66138161943</v>
      </c>
    </row>
    <row r="32" spans="1:7" ht="14.4">
      <c r="A32" s="399"/>
      <c r="B32" s="400"/>
      <c r="C32" s="400"/>
      <c r="D32" s="400"/>
      <c r="E32" s="400"/>
      <c r="F32" s="400"/>
      <c r="G32" s="400"/>
    </row>
    <row r="33" spans="1:17" ht="14.4">
      <c r="A33" s="333" t="s">
        <v>282</v>
      </c>
      <c r="B33" s="335">
        <v>0</v>
      </c>
      <c r="C33" s="335">
        <v>0.03</v>
      </c>
      <c r="E33" s="400"/>
      <c r="F33" s="400"/>
      <c r="G33" s="400"/>
    </row>
    <row r="34" spans="1:17" ht="14.4">
      <c r="A34" s="333" t="s">
        <v>268</v>
      </c>
      <c r="B34" s="405">
        <f>B835</f>
        <v>179683.43787809435</v>
      </c>
      <c r="C34" s="405">
        <f>B873</f>
        <v>173494.69557003304</v>
      </c>
      <c r="E34" s="400"/>
      <c r="F34" s="400"/>
      <c r="G34" s="400"/>
    </row>
    <row r="35" spans="1:17" ht="14.4">
      <c r="A35" s="399"/>
      <c r="B35" s="400"/>
      <c r="C35" s="400"/>
      <c r="D35" s="400"/>
      <c r="E35" s="400"/>
      <c r="F35" s="400"/>
      <c r="G35" s="400"/>
    </row>
    <row r="36" spans="1:17">
      <c r="A36" s="333" t="s">
        <v>224</v>
      </c>
      <c r="B36" s="401">
        <v>0.8</v>
      </c>
      <c r="C36" s="401">
        <v>0.7</v>
      </c>
      <c r="D36" s="401">
        <v>0.6</v>
      </c>
      <c r="E36" s="401">
        <v>0.5</v>
      </c>
      <c r="F36" s="401">
        <v>0.4</v>
      </c>
      <c r="G36" s="401">
        <v>0.3</v>
      </c>
    </row>
    <row r="37" spans="1:17" ht="14.4">
      <c r="A37" s="359" t="s">
        <v>267</v>
      </c>
      <c r="B37" s="405">
        <f>B911</f>
        <v>111730.77310784149</v>
      </c>
      <c r="C37" s="405">
        <f>D28</f>
        <v>176118.00956786249</v>
      </c>
      <c r="D37" s="405">
        <f>B949</f>
        <v>240505.24602788352</v>
      </c>
      <c r="E37" s="405">
        <f>B987</f>
        <v>304892.48248790449</v>
      </c>
      <c r="F37" s="405">
        <f>B1025</f>
        <v>369279.71894792543</v>
      </c>
      <c r="G37" s="405">
        <f>B1063</f>
        <v>433666.95540794643</v>
      </c>
    </row>
    <row r="38" spans="1:17" ht="14.4">
      <c r="A38" s="399"/>
      <c r="B38" s="404"/>
      <c r="C38" s="404"/>
      <c r="D38" s="404"/>
      <c r="E38" s="404"/>
      <c r="F38" s="404"/>
      <c r="G38" s="404"/>
    </row>
    <row r="39" spans="1:17" ht="14.4">
      <c r="A39" s="508" t="s">
        <v>289</v>
      </c>
      <c r="B39" s="509"/>
      <c r="C39" s="509"/>
      <c r="D39" s="509"/>
      <c r="E39" s="509"/>
      <c r="F39" s="509"/>
      <c r="G39" s="509"/>
      <c r="H39" s="509"/>
      <c r="I39" s="509"/>
      <c r="J39" s="509"/>
      <c r="K39" s="509"/>
      <c r="L39" s="509"/>
      <c r="M39" s="509"/>
      <c r="N39" s="509"/>
      <c r="O39" s="509"/>
      <c r="P39" s="509"/>
      <c r="Q39" s="509"/>
    </row>
    <row r="40" spans="1:17" ht="14.4">
      <c r="A40" s="371" t="s">
        <v>288</v>
      </c>
      <c r="B40" s="372"/>
      <c r="C40" s="372"/>
      <c r="D40" s="372"/>
      <c r="E40" s="372"/>
      <c r="F40" s="372"/>
      <c r="G40" s="372"/>
      <c r="H40" s="372"/>
      <c r="I40" s="372"/>
      <c r="J40" s="372"/>
      <c r="K40" s="372"/>
      <c r="L40" s="372"/>
      <c r="M40" s="372"/>
      <c r="N40" s="372"/>
      <c r="O40" s="372"/>
      <c r="P40" s="372"/>
      <c r="Q40" s="372"/>
    </row>
    <row r="41" spans="1:17" ht="27">
      <c r="A41" s="376"/>
      <c r="B41" s="304" t="s">
        <v>35</v>
      </c>
      <c r="C41" s="352" t="s">
        <v>407</v>
      </c>
      <c r="D41" s="352" t="s">
        <v>408</v>
      </c>
      <c r="E41" s="352" t="s">
        <v>409</v>
      </c>
      <c r="F41" s="352" t="s">
        <v>410</v>
      </c>
      <c r="G41" s="352" t="s">
        <v>411</v>
      </c>
      <c r="H41" s="352" t="s">
        <v>412</v>
      </c>
      <c r="I41" s="352" t="s">
        <v>413</v>
      </c>
      <c r="J41" s="352" t="s">
        <v>414</v>
      </c>
      <c r="K41" s="352" t="s">
        <v>415</v>
      </c>
      <c r="L41" s="352" t="s">
        <v>416</v>
      </c>
      <c r="M41" s="352" t="s">
        <v>417</v>
      </c>
      <c r="N41" s="352" t="s">
        <v>418</v>
      </c>
      <c r="O41" s="352" t="s">
        <v>419</v>
      </c>
      <c r="P41" s="352" t="s">
        <v>420</v>
      </c>
      <c r="Q41" s="352" t="s">
        <v>421</v>
      </c>
    </row>
    <row r="42" spans="1:17" ht="14.4">
      <c r="A42" s="363" t="s">
        <v>290</v>
      </c>
      <c r="B42" s="365"/>
      <c r="C42" s="367">
        <f>+'WHRS_Project Scenario'!D15</f>
        <v>215214.92335078961</v>
      </c>
      <c r="D42" s="367">
        <f>+'WHRS_Project Scenario'!E15</f>
        <v>215214.92335078961</v>
      </c>
      <c r="E42" s="367">
        <f>+'WHRS_Project Scenario'!F15</f>
        <v>215214.92335078961</v>
      </c>
      <c r="F42" s="367">
        <f>+'WHRS_Project Scenario'!G15</f>
        <v>215214.92335078961</v>
      </c>
      <c r="G42" s="367">
        <f>+'WHRS_Project Scenario'!H15</f>
        <v>215214.92335078961</v>
      </c>
      <c r="H42" s="367">
        <f>+'WHRS_Project Scenario'!I15</f>
        <v>215214.92335078961</v>
      </c>
      <c r="I42" s="367">
        <f>+'WHRS_Project Scenario'!J15</f>
        <v>215214.92335078961</v>
      </c>
      <c r="J42" s="367">
        <f>+'WHRS_Project Scenario'!K15</f>
        <v>215214.92335078961</v>
      </c>
      <c r="K42" s="367">
        <f>+'WHRS_Project Scenario'!L15</f>
        <v>215214.92335078961</v>
      </c>
      <c r="L42" s="367">
        <f>+'WHRS_Project Scenario'!M15</f>
        <v>215214.92335078961</v>
      </c>
      <c r="M42" s="367">
        <f>+'WHRS_Project Scenario'!N15</f>
        <v>215214.92335078961</v>
      </c>
      <c r="N42" s="367">
        <f>+'WHRS_Project Scenario'!O15</f>
        <v>215214.92335078961</v>
      </c>
      <c r="O42" s="367">
        <f>+'WHRS_Project Scenario'!P15</f>
        <v>215214.92335078961</v>
      </c>
      <c r="P42" s="367">
        <f>+'WHRS_Project Scenario'!Q15</f>
        <v>215214.92335078961</v>
      </c>
      <c r="Q42" s="367">
        <f>+'WHRS_Project Scenario'!R15</f>
        <v>215214.92335078961</v>
      </c>
    </row>
    <row r="43" spans="1:17" ht="14.4">
      <c r="A43" s="364" t="s">
        <v>291</v>
      </c>
      <c r="B43" s="365"/>
      <c r="C43" s="367">
        <f>+'WHRS_Project Scenario'!D16</f>
        <v>70</v>
      </c>
      <c r="D43" s="367">
        <f>+'WHRS_Project Scenario'!E16</f>
        <v>70</v>
      </c>
      <c r="E43" s="367">
        <f>+'WHRS_Project Scenario'!F16</f>
        <v>70</v>
      </c>
      <c r="F43" s="367">
        <f>+'WHRS_Project Scenario'!G16</f>
        <v>70</v>
      </c>
      <c r="G43" s="367">
        <f>+'WHRS_Project Scenario'!H16</f>
        <v>70</v>
      </c>
      <c r="H43" s="367">
        <f>+'WHRS_Project Scenario'!I16</f>
        <v>70</v>
      </c>
      <c r="I43" s="367">
        <f>+'WHRS_Project Scenario'!J16</f>
        <v>70</v>
      </c>
      <c r="J43" s="367">
        <f>+'WHRS_Project Scenario'!K16</f>
        <v>70</v>
      </c>
      <c r="K43" s="367">
        <f>+'WHRS_Project Scenario'!L16</f>
        <v>70</v>
      </c>
      <c r="L43" s="367">
        <f>+'WHRS_Project Scenario'!M16</f>
        <v>70</v>
      </c>
      <c r="M43" s="367">
        <f>+'WHRS_Project Scenario'!N16</f>
        <v>70</v>
      </c>
      <c r="N43" s="367">
        <f>+'WHRS_Project Scenario'!O16</f>
        <v>70</v>
      </c>
      <c r="O43" s="367">
        <f>+'WHRS_Project Scenario'!P16</f>
        <v>70</v>
      </c>
      <c r="P43" s="367">
        <f>+'WHRS_Project Scenario'!Q16</f>
        <v>70</v>
      </c>
      <c r="Q43" s="367">
        <f>+'WHRS_Project Scenario'!R16</f>
        <v>70</v>
      </c>
    </row>
    <row r="44" spans="1:17" ht="14.4">
      <c r="A44" s="366" t="s">
        <v>292</v>
      </c>
      <c r="B44" s="365"/>
      <c r="C44" s="375">
        <f>+'WHRS_Project Scenario'!D17</f>
        <v>6.4285714285714288</v>
      </c>
      <c r="D44" s="375">
        <f>+'WHRS_Project Scenario'!E17</f>
        <v>6.6008571428571425</v>
      </c>
      <c r="E44" s="375">
        <f>+'WHRS_Project Scenario'!F17</f>
        <v>6.7777601142857131</v>
      </c>
      <c r="F44" s="375">
        <f>+'WHRS_Project Scenario'!G17</f>
        <v>6.9594040853485701</v>
      </c>
      <c r="G44" s="375">
        <f>+'WHRS_Project Scenario'!H17</f>
        <v>7.1459161148359112</v>
      </c>
      <c r="H44" s="375">
        <f>+'WHRS_Project Scenario'!I17</f>
        <v>7.3374266667135135</v>
      </c>
      <c r="I44" s="375">
        <f>+'WHRS_Project Scenario'!J17</f>
        <v>7.5340697013814353</v>
      </c>
      <c r="J44" s="375">
        <f>+'WHRS_Project Scenario'!K17</f>
        <v>7.7359827693784569</v>
      </c>
      <c r="K44" s="375">
        <f>+'WHRS_Project Scenario'!L17</f>
        <v>7.943307107597799</v>
      </c>
      <c r="L44" s="375">
        <f>+'WHRS_Project Scenario'!M17</f>
        <v>8.1561877380814192</v>
      </c>
      <c r="M44" s="375">
        <f>+'WHRS_Project Scenario'!N17</f>
        <v>8.3747735694620005</v>
      </c>
      <c r="N44" s="375">
        <f>+'WHRS_Project Scenario'!O17</f>
        <v>8.5992175011235812</v>
      </c>
      <c r="O44" s="375">
        <f>+'WHRS_Project Scenario'!P17</f>
        <v>8.8296765301536926</v>
      </c>
      <c r="P44" s="375">
        <f>+'WHRS_Project Scenario'!Q17</f>
        <v>9.066311861161811</v>
      </c>
      <c r="Q44" s="375">
        <f>+'WHRS_Project Scenario'!R17</f>
        <v>9.3092890190409463</v>
      </c>
    </row>
    <row r="45" spans="1:17" ht="14.4">
      <c r="A45" s="366" t="s">
        <v>293</v>
      </c>
      <c r="B45" s="365"/>
      <c r="C45" s="367">
        <f>+'WHRS_Project Scenario'!D18</f>
        <v>450</v>
      </c>
      <c r="D45" s="367">
        <f>+'WHRS_Project Scenario'!E18</f>
        <v>462.06</v>
      </c>
      <c r="E45" s="367">
        <f>+'WHRS_Project Scenario'!F18</f>
        <v>474.44320799999991</v>
      </c>
      <c r="F45" s="367">
        <f>+'WHRS_Project Scenario'!G18</f>
        <v>487.15828597439992</v>
      </c>
      <c r="G45" s="367">
        <f>+'WHRS_Project Scenario'!H18</f>
        <v>500.21412803851376</v>
      </c>
      <c r="H45" s="367">
        <f>+'WHRS_Project Scenario'!I18</f>
        <v>513.61986666994596</v>
      </c>
      <c r="I45" s="367">
        <f>+'WHRS_Project Scenario'!J18</f>
        <v>527.3848790967005</v>
      </c>
      <c r="J45" s="367">
        <f>+'WHRS_Project Scenario'!K18</f>
        <v>541.51879385649192</v>
      </c>
      <c r="K45" s="367">
        <f>+'WHRS_Project Scenario'!L18</f>
        <v>556.03149753184596</v>
      </c>
      <c r="L45" s="367">
        <f>+'WHRS_Project Scenario'!M18</f>
        <v>570.9331416656994</v>
      </c>
      <c r="M45" s="367">
        <f>+'WHRS_Project Scenario'!N18</f>
        <v>586.23414986234002</v>
      </c>
      <c r="N45" s="367">
        <f>+'WHRS_Project Scenario'!O18</f>
        <v>601.94522507865065</v>
      </c>
      <c r="O45" s="367">
        <f>+'WHRS_Project Scenario'!P18</f>
        <v>618.0773571107585</v>
      </c>
      <c r="P45" s="367">
        <f>+'WHRS_Project Scenario'!Q18</f>
        <v>634.64183028132675</v>
      </c>
      <c r="Q45" s="367">
        <f>+'WHRS_Project Scenario'!R18</f>
        <v>651.65023133286627</v>
      </c>
    </row>
    <row r="46" spans="1:17" ht="14.4">
      <c r="A46" s="370"/>
      <c r="B46" s="373"/>
      <c r="C46" s="373"/>
      <c r="D46" s="373"/>
      <c r="E46" s="373"/>
      <c r="F46" s="373"/>
      <c r="G46" s="373"/>
      <c r="H46" s="373"/>
      <c r="I46" s="373"/>
      <c r="J46" s="373"/>
      <c r="K46" s="373"/>
      <c r="L46" s="373"/>
      <c r="M46" s="373"/>
      <c r="N46" s="373"/>
      <c r="O46" s="373"/>
      <c r="P46" s="373"/>
      <c r="Q46" s="373"/>
    </row>
    <row r="47" spans="1:17" ht="14.4">
      <c r="A47" s="366" t="s">
        <v>294</v>
      </c>
      <c r="B47" s="378">
        <f>+SUM(C47:Q47)</f>
        <v>1759578.4023479735</v>
      </c>
      <c r="C47" s="367">
        <f>+'WHRS_Project Scenario'!D20</f>
        <v>96846.715507855319</v>
      </c>
      <c r="D47" s="367">
        <f>+'WHRS_Project Scenario'!E20</f>
        <v>99442.207483465856</v>
      </c>
      <c r="E47" s="367">
        <f>+'WHRS_Project Scenario'!F20</f>
        <v>102107.25864402272</v>
      </c>
      <c r="F47" s="367">
        <f>+'WHRS_Project Scenario'!G20</f>
        <v>104843.73317568253</v>
      </c>
      <c r="G47" s="367">
        <f>+'WHRS_Project Scenario'!H20</f>
        <v>107653.5452247908</v>
      </c>
      <c r="H47" s="367">
        <f>+'WHRS_Project Scenario'!I20</f>
        <v>110538.66023681519</v>
      </c>
      <c r="I47" s="367">
        <f>+'WHRS_Project Scenario'!J20</f>
        <v>113501.09633116184</v>
      </c>
      <c r="J47" s="367">
        <f>+'WHRS_Project Scenario'!K20</f>
        <v>116542.92571283695</v>
      </c>
      <c r="K47" s="367">
        <f>+'WHRS_Project Scenario'!L20</f>
        <v>119666.27612194099</v>
      </c>
      <c r="L47" s="367">
        <f>+'WHRS_Project Scenario'!M20</f>
        <v>122873.332322009</v>
      </c>
      <c r="M47" s="367">
        <f>+'WHRS_Project Scenario'!N20</f>
        <v>126166.33762823881</v>
      </c>
      <c r="N47" s="367">
        <f>+'WHRS_Project Scenario'!O20</f>
        <v>129547.5954766756</v>
      </c>
      <c r="O47" s="367">
        <f>+'WHRS_Project Scenario'!P20</f>
        <v>133019.47103545049</v>
      </c>
      <c r="P47" s="367">
        <f>+'WHRS_Project Scenario'!Q20</f>
        <v>136584.39285920057</v>
      </c>
      <c r="Q47" s="367">
        <f>+'WHRS_Project Scenario'!R20</f>
        <v>140244.85458782714</v>
      </c>
    </row>
    <row r="48" spans="1:17" ht="14.4">
      <c r="A48" s="370"/>
      <c r="B48" s="373"/>
      <c r="C48" s="373"/>
      <c r="D48" s="373"/>
      <c r="E48" s="373"/>
      <c r="F48" s="373"/>
      <c r="G48" s="373"/>
      <c r="H48" s="373"/>
      <c r="I48" s="373"/>
      <c r="J48" s="373"/>
      <c r="K48" s="373"/>
      <c r="L48" s="373"/>
      <c r="M48" s="373"/>
      <c r="N48" s="373"/>
      <c r="O48" s="373"/>
      <c r="P48" s="373"/>
      <c r="Q48" s="373"/>
    </row>
    <row r="49" spans="1:17" ht="14.4">
      <c r="A49" s="366" t="s">
        <v>295</v>
      </c>
      <c r="B49" s="378">
        <f>+SUM(C49:Q49)</f>
        <v>1759578.4023479735</v>
      </c>
      <c r="C49" s="367">
        <f>+'WHRS_Project Scenario'!D22</f>
        <v>96846.715507855319</v>
      </c>
      <c r="D49" s="367">
        <f>+'WHRS_Project Scenario'!E22</f>
        <v>99442.207483465856</v>
      </c>
      <c r="E49" s="367">
        <f>+'WHRS_Project Scenario'!F22</f>
        <v>102107.25864402272</v>
      </c>
      <c r="F49" s="367">
        <f>+'WHRS_Project Scenario'!G22</f>
        <v>104843.73317568253</v>
      </c>
      <c r="G49" s="367">
        <f>+'WHRS_Project Scenario'!H22</f>
        <v>107653.5452247908</v>
      </c>
      <c r="H49" s="367">
        <f>+'WHRS_Project Scenario'!I22</f>
        <v>110538.66023681519</v>
      </c>
      <c r="I49" s="367">
        <f>+'WHRS_Project Scenario'!J22</f>
        <v>113501.09633116184</v>
      </c>
      <c r="J49" s="367">
        <f>+'WHRS_Project Scenario'!K22</f>
        <v>116542.92571283695</v>
      </c>
      <c r="K49" s="367">
        <f>+'WHRS_Project Scenario'!L22</f>
        <v>119666.27612194099</v>
      </c>
      <c r="L49" s="367">
        <f>+'WHRS_Project Scenario'!M22</f>
        <v>122873.332322009</v>
      </c>
      <c r="M49" s="367">
        <f>+'WHRS_Project Scenario'!N22</f>
        <v>126166.33762823881</v>
      </c>
      <c r="N49" s="367">
        <f>+'WHRS_Project Scenario'!O22</f>
        <v>129547.5954766756</v>
      </c>
      <c r="O49" s="367">
        <f>+'WHRS_Project Scenario'!P22</f>
        <v>133019.47103545049</v>
      </c>
      <c r="P49" s="367">
        <f>+'WHRS_Project Scenario'!Q22</f>
        <v>136584.39285920057</v>
      </c>
      <c r="Q49" s="367">
        <f>+'WHRS_Project Scenario'!R22</f>
        <v>140244.85458782714</v>
      </c>
    </row>
    <row r="50" spans="1:17" ht="14.4">
      <c r="A50" s="370"/>
      <c r="B50" s="374"/>
      <c r="C50" s="374"/>
      <c r="D50" s="374"/>
      <c r="E50" s="374"/>
      <c r="F50" s="374"/>
      <c r="G50" s="374"/>
      <c r="H50" s="374"/>
      <c r="I50" s="374"/>
      <c r="J50" s="374"/>
      <c r="K50" s="374"/>
      <c r="L50" s="374"/>
      <c r="M50" s="374"/>
      <c r="N50" s="374"/>
      <c r="O50" s="374"/>
      <c r="P50" s="374"/>
      <c r="Q50" s="374"/>
    </row>
    <row r="51" spans="1:17" ht="14.4">
      <c r="A51" s="366" t="s">
        <v>68</v>
      </c>
      <c r="B51" s="368"/>
      <c r="C51" s="368"/>
      <c r="D51" s="368"/>
      <c r="E51" s="368"/>
      <c r="F51" s="368"/>
      <c r="G51" s="368"/>
      <c r="H51" s="368"/>
      <c r="I51" s="368"/>
      <c r="J51" s="368"/>
      <c r="K51" s="368"/>
      <c r="L51" s="368"/>
      <c r="M51" s="368"/>
      <c r="N51" s="368"/>
      <c r="O51" s="368"/>
      <c r="P51" s="368"/>
      <c r="Q51" s="368"/>
    </row>
    <row r="52" spans="1:17" ht="14.4">
      <c r="A52" s="366" t="s">
        <v>296</v>
      </c>
      <c r="B52" s="378">
        <f>+SUM(C52:Q52)</f>
        <v>11529.370291765843</v>
      </c>
      <c r="C52" s="367">
        <f>+'WHRS_Project Scenario'!D25</f>
        <v>634.57339732142862</v>
      </c>
      <c r="D52" s="367">
        <f>+'WHRS_Project Scenario'!E25</f>
        <v>651.57996436964288</v>
      </c>
      <c r="E52" s="367">
        <f>+'WHRS_Project Scenario'!F25</f>
        <v>669.0423074147493</v>
      </c>
      <c r="F52" s="367">
        <f>+'WHRS_Project Scenario'!G25</f>
        <v>686.97264125346453</v>
      </c>
      <c r="G52" s="367">
        <f>+'WHRS_Project Scenario'!H25</f>
        <v>705.38350803905735</v>
      </c>
      <c r="H52" s="367">
        <f>+'WHRS_Project Scenario'!I25</f>
        <v>724.28778605450407</v>
      </c>
      <c r="I52" s="367">
        <f>+'WHRS_Project Scenario'!J25</f>
        <v>743.6986987207647</v>
      </c>
      <c r="J52" s="367">
        <f>+'WHRS_Project Scenario'!K25</f>
        <v>763.62982384648114</v>
      </c>
      <c r="K52" s="367">
        <f>+'WHRS_Project Scenario'!L25</f>
        <v>784.09510312556677</v>
      </c>
      <c r="L52" s="367">
        <f>+'WHRS_Project Scenario'!M25</f>
        <v>805.10885188933196</v>
      </c>
      <c r="M52" s="367">
        <f>+'WHRS_Project Scenario'!N25</f>
        <v>826.68576911996604</v>
      </c>
      <c r="N52" s="367">
        <f>+'WHRS_Project Scenario'!O25</f>
        <v>848.8409477323811</v>
      </c>
      <c r="O52" s="367">
        <f>+'WHRS_Project Scenario'!P25</f>
        <v>871.58988513160887</v>
      </c>
      <c r="P52" s="367">
        <f>+'WHRS_Project Scenario'!Q25</f>
        <v>894.94849405313596</v>
      </c>
      <c r="Q52" s="367">
        <f>+'WHRS_Project Scenario'!R25</f>
        <v>918.93311369375999</v>
      </c>
    </row>
    <row r="53" spans="1:17" ht="14.4">
      <c r="A53" s="366" t="s">
        <v>297</v>
      </c>
      <c r="B53" s="378">
        <f>+SUM(C53:Q53)</f>
        <v>13836.767075562184</v>
      </c>
      <c r="C53" s="367">
        <f>+'WHRS_Project Scenario'!D26</f>
        <v>761.57188717892848</v>
      </c>
      <c r="D53" s="367">
        <f>+'WHRS_Project Scenario'!E26</f>
        <v>781.98201375532369</v>
      </c>
      <c r="E53" s="367">
        <f>+'WHRS_Project Scenario'!F26</f>
        <v>802.93913172396628</v>
      </c>
      <c r="F53" s="367">
        <f>+'WHRS_Project Scenario'!G26</f>
        <v>824.45790045416857</v>
      </c>
      <c r="G53" s="367">
        <f>+'WHRS_Project Scenario'!H26</f>
        <v>846.5533721863402</v>
      </c>
      <c r="H53" s="367">
        <f>+'WHRS_Project Scenario'!I26</f>
        <v>869.24100256093402</v>
      </c>
      <c r="I53" s="367">
        <f>+'WHRS_Project Scenario'!J26</f>
        <v>892.53666142956695</v>
      </c>
      <c r="J53" s="367">
        <f>+'WHRS_Project Scenario'!K26</f>
        <v>916.45664395587926</v>
      </c>
      <c r="K53" s="367">
        <f>+'WHRS_Project Scenario'!L26</f>
        <v>941.01768201389677</v>
      </c>
      <c r="L53" s="367">
        <f>+'WHRS_Project Scenario'!M26</f>
        <v>966.23695589186912</v>
      </c>
      <c r="M53" s="367">
        <f>+'WHRS_Project Scenario'!N26</f>
        <v>992.13210630977119</v>
      </c>
      <c r="N53" s="367">
        <f>+'WHRS_Project Scenario'!O26</f>
        <v>1018.721246758873</v>
      </c>
      <c r="O53" s="367">
        <f>+'WHRS_Project Scenario'!P26</f>
        <v>1046.0229761720107</v>
      </c>
      <c r="P53" s="367">
        <f>+'WHRS_Project Scenario'!Q26</f>
        <v>1074.0563919334204</v>
      </c>
      <c r="Q53" s="367">
        <f>+'WHRS_Project Scenario'!R26</f>
        <v>1102.841103237236</v>
      </c>
    </row>
    <row r="54" spans="1:17" ht="14.4">
      <c r="A54" s="370"/>
      <c r="B54" s="369"/>
      <c r="C54" s="369"/>
      <c r="D54" s="369"/>
      <c r="E54" s="369"/>
      <c r="F54" s="369"/>
      <c r="G54" s="369"/>
      <c r="H54" s="369"/>
      <c r="I54" s="369"/>
      <c r="J54" s="369"/>
      <c r="K54" s="369"/>
      <c r="L54" s="369"/>
      <c r="M54" s="369"/>
      <c r="N54" s="369"/>
      <c r="O54" s="369"/>
      <c r="P54" s="369"/>
      <c r="Q54" s="369"/>
    </row>
    <row r="55" spans="1:17" ht="14.4">
      <c r="A55" s="366" t="s">
        <v>71</v>
      </c>
      <c r="B55" s="379"/>
      <c r="C55" s="379"/>
      <c r="D55" s="379"/>
      <c r="E55" s="379"/>
      <c r="F55" s="379"/>
      <c r="G55" s="379"/>
      <c r="H55" s="379"/>
      <c r="I55" s="379"/>
      <c r="J55" s="379"/>
      <c r="K55" s="379"/>
      <c r="L55" s="379"/>
      <c r="M55" s="379"/>
      <c r="N55" s="379"/>
      <c r="O55" s="379"/>
      <c r="P55" s="379"/>
      <c r="Q55" s="379"/>
    </row>
    <row r="56" spans="1:17" ht="14.4">
      <c r="A56" s="370"/>
      <c r="B56" s="379"/>
      <c r="C56" s="379"/>
      <c r="D56" s="379"/>
      <c r="E56" s="379"/>
      <c r="F56" s="379"/>
      <c r="G56" s="379"/>
      <c r="H56" s="379"/>
      <c r="I56" s="379"/>
      <c r="J56" s="379"/>
      <c r="K56" s="379"/>
      <c r="L56" s="379"/>
      <c r="M56" s="379"/>
      <c r="N56" s="379"/>
      <c r="O56" s="379"/>
      <c r="P56" s="379"/>
      <c r="Q56" s="379"/>
    </row>
    <row r="57" spans="1:17" ht="14.4">
      <c r="A57" s="366" t="s">
        <v>298</v>
      </c>
      <c r="B57" s="378">
        <f>+SUM(C57:Q57)</f>
        <v>25366.137367328029</v>
      </c>
      <c r="C57" s="367">
        <f>SUM(C52:C53)</f>
        <v>1396.1452845003571</v>
      </c>
      <c r="D57" s="367">
        <f>SUM(D52:D53)</f>
        <v>1433.5619781249666</v>
      </c>
      <c r="E57" s="367">
        <f t="shared" ref="E57:Q57" si="0">SUM(E52:E53)</f>
        <v>1471.9814391387156</v>
      </c>
      <c r="F57" s="367">
        <f t="shared" si="0"/>
        <v>1511.430541707633</v>
      </c>
      <c r="G57" s="367">
        <f t="shared" si="0"/>
        <v>1551.9368802253975</v>
      </c>
      <c r="H57" s="367">
        <f t="shared" si="0"/>
        <v>1593.5287886154381</v>
      </c>
      <c r="I57" s="367">
        <f t="shared" si="0"/>
        <v>1636.2353601503316</v>
      </c>
      <c r="J57" s="367">
        <f t="shared" si="0"/>
        <v>1680.0864678023604</v>
      </c>
      <c r="K57" s="367">
        <f t="shared" si="0"/>
        <v>1725.1127851394635</v>
      </c>
      <c r="L57" s="367">
        <f t="shared" si="0"/>
        <v>1771.3458077812011</v>
      </c>
      <c r="M57" s="367">
        <f t="shared" si="0"/>
        <v>1818.8178754297373</v>
      </c>
      <c r="N57" s="367">
        <f t="shared" si="0"/>
        <v>1867.5621944912541</v>
      </c>
      <c r="O57" s="367">
        <f t="shared" si="0"/>
        <v>1917.6128613036194</v>
      </c>
      <c r="P57" s="367">
        <f t="shared" si="0"/>
        <v>1969.0048859865565</v>
      </c>
      <c r="Q57" s="367">
        <f t="shared" si="0"/>
        <v>2021.7742169309959</v>
      </c>
    </row>
    <row r="58" spans="1:17" ht="14.4">
      <c r="A58" s="370"/>
      <c r="B58" s="379"/>
      <c r="C58" s="379"/>
      <c r="D58" s="379"/>
      <c r="E58" s="379"/>
      <c r="F58" s="379"/>
      <c r="G58" s="379"/>
      <c r="H58" s="379"/>
      <c r="I58" s="379"/>
      <c r="J58" s="379"/>
      <c r="K58" s="379"/>
      <c r="L58" s="379"/>
      <c r="M58" s="379"/>
      <c r="N58" s="379"/>
      <c r="O58" s="379"/>
      <c r="P58" s="379"/>
      <c r="Q58" s="379"/>
    </row>
    <row r="59" spans="1:17" ht="14.4">
      <c r="A59" s="366" t="s">
        <v>299</v>
      </c>
      <c r="B59" s="381">
        <f t="shared" ref="B59:B60" si="1">+SUM(C59:Q59)</f>
        <v>39496.391476874996</v>
      </c>
      <c r="C59" s="381">
        <f>'WHRS_Project Scenario'!$C$8*(1+$B$6)/'Initial Data'!$C$19</f>
        <v>3949.6391476874996</v>
      </c>
      <c r="D59" s="381">
        <f>'WHRS_Project Scenario'!$C$8*(1+$B$6)/'Initial Data'!$C$19</f>
        <v>3949.6391476874996</v>
      </c>
      <c r="E59" s="381">
        <f>'WHRS_Project Scenario'!$C$8*(1+$B$6)/'Initial Data'!$C$19</f>
        <v>3949.6391476874996</v>
      </c>
      <c r="F59" s="381">
        <f>'WHRS_Project Scenario'!$C$8*(1+$B$6)/'Initial Data'!$C$19</f>
        <v>3949.6391476874996</v>
      </c>
      <c r="G59" s="381">
        <f>'WHRS_Project Scenario'!$C$8*(1+$B$6)/'Initial Data'!$C$19</f>
        <v>3949.6391476874996</v>
      </c>
      <c r="H59" s="381">
        <f>'WHRS_Project Scenario'!$C$8*(1+$B$6)/'Initial Data'!$C$19</f>
        <v>3949.6391476874996</v>
      </c>
      <c r="I59" s="381">
        <f>'WHRS_Project Scenario'!$C$8*(1+$B$6)/'Initial Data'!$C$19</f>
        <v>3949.6391476874996</v>
      </c>
      <c r="J59" s="381">
        <f>'WHRS_Project Scenario'!$C$8*(1+$B$6)/'Initial Data'!$C$19</f>
        <v>3949.6391476874996</v>
      </c>
      <c r="K59" s="381">
        <f>'WHRS_Project Scenario'!$C$8*(1+$B$6)/'Initial Data'!$C$19</f>
        <v>3949.6391476874996</v>
      </c>
      <c r="L59" s="381">
        <f>'WHRS_Project Scenario'!$C$8*(1+$B$6)/'Initial Data'!$C$19</f>
        <v>3949.6391476874996</v>
      </c>
      <c r="M59" s="381">
        <v>0</v>
      </c>
      <c r="N59" s="381">
        <v>0</v>
      </c>
      <c r="O59" s="381">
        <v>0</v>
      </c>
      <c r="P59" s="381">
        <v>0</v>
      </c>
      <c r="Q59" s="381">
        <v>0</v>
      </c>
    </row>
    <row r="60" spans="1:17" ht="14.4">
      <c r="A60" s="366" t="s">
        <v>300</v>
      </c>
      <c r="B60" s="378">
        <f t="shared" si="1"/>
        <v>39496.391476874996</v>
      </c>
      <c r="C60" s="367">
        <f>SUM(C59:C59)</f>
        <v>3949.6391476874996</v>
      </c>
      <c r="D60" s="367">
        <f t="shared" ref="D60:Q60" si="2">SUM(D59:D59)</f>
        <v>3949.6391476874996</v>
      </c>
      <c r="E60" s="367">
        <f t="shared" si="2"/>
        <v>3949.6391476874996</v>
      </c>
      <c r="F60" s="367">
        <f t="shared" si="2"/>
        <v>3949.6391476874996</v>
      </c>
      <c r="G60" s="367">
        <f t="shared" si="2"/>
        <v>3949.6391476874996</v>
      </c>
      <c r="H60" s="367">
        <f t="shared" si="2"/>
        <v>3949.6391476874996</v>
      </c>
      <c r="I60" s="367">
        <f t="shared" si="2"/>
        <v>3949.6391476874996</v>
      </c>
      <c r="J60" s="367">
        <f t="shared" si="2"/>
        <v>3949.6391476874996</v>
      </c>
      <c r="K60" s="367">
        <f t="shared" si="2"/>
        <v>3949.6391476874996</v>
      </c>
      <c r="L60" s="367">
        <f t="shared" si="2"/>
        <v>3949.6391476874996</v>
      </c>
      <c r="M60" s="367">
        <f t="shared" si="2"/>
        <v>0</v>
      </c>
      <c r="N60" s="367">
        <f t="shared" si="2"/>
        <v>0</v>
      </c>
      <c r="O60" s="367">
        <f t="shared" si="2"/>
        <v>0</v>
      </c>
      <c r="P60" s="367">
        <f t="shared" si="2"/>
        <v>0</v>
      </c>
      <c r="Q60" s="367">
        <f t="shared" si="2"/>
        <v>0</v>
      </c>
    </row>
    <row r="61" spans="1:17" ht="14.4">
      <c r="A61" s="370"/>
      <c r="B61" s="379"/>
      <c r="C61" s="379"/>
      <c r="D61" s="379"/>
      <c r="E61" s="379"/>
      <c r="F61" s="379"/>
      <c r="G61" s="379"/>
      <c r="H61" s="379"/>
      <c r="I61" s="379"/>
      <c r="J61" s="379"/>
      <c r="K61" s="379"/>
      <c r="L61" s="379"/>
      <c r="M61" s="379"/>
      <c r="N61" s="379"/>
      <c r="O61" s="379"/>
      <c r="P61" s="379"/>
      <c r="Q61" s="379"/>
    </row>
    <row r="62" spans="1:17" ht="14.4">
      <c r="A62" s="366" t="s">
        <v>301</v>
      </c>
      <c r="B62" s="378">
        <f>+SUM(C62:Q62)</f>
        <v>64862.528844203029</v>
      </c>
      <c r="C62" s="367">
        <f>+C57+C60</f>
        <v>5345.7844321878565</v>
      </c>
      <c r="D62" s="367">
        <f>+D57+D60</f>
        <v>5383.2011258124658</v>
      </c>
      <c r="E62" s="367">
        <f t="shared" ref="E62:Q62" si="3">+E57+E60</f>
        <v>5421.620586826215</v>
      </c>
      <c r="F62" s="367">
        <f t="shared" si="3"/>
        <v>5461.0696893951326</v>
      </c>
      <c r="G62" s="367">
        <f t="shared" si="3"/>
        <v>5501.5760279128972</v>
      </c>
      <c r="H62" s="367">
        <f t="shared" si="3"/>
        <v>5543.167936302938</v>
      </c>
      <c r="I62" s="367">
        <f t="shared" si="3"/>
        <v>5585.8745078378315</v>
      </c>
      <c r="J62" s="367">
        <f t="shared" si="3"/>
        <v>5629.7256154898605</v>
      </c>
      <c r="K62" s="367">
        <f t="shared" si="3"/>
        <v>5674.7519328269627</v>
      </c>
      <c r="L62" s="367">
        <f t="shared" si="3"/>
        <v>5720.9849554687007</v>
      </c>
      <c r="M62" s="367">
        <f t="shared" si="3"/>
        <v>1818.8178754297373</v>
      </c>
      <c r="N62" s="367">
        <f t="shared" si="3"/>
        <v>1867.5621944912541</v>
      </c>
      <c r="O62" s="367">
        <f t="shared" si="3"/>
        <v>1917.6128613036194</v>
      </c>
      <c r="P62" s="367">
        <f t="shared" si="3"/>
        <v>1969.0048859865565</v>
      </c>
      <c r="Q62" s="367">
        <f t="shared" si="3"/>
        <v>2021.7742169309959</v>
      </c>
    </row>
    <row r="63" spans="1:17" ht="14.4">
      <c r="A63" s="370"/>
      <c r="B63" s="379"/>
      <c r="C63" s="379"/>
      <c r="D63" s="379"/>
      <c r="E63" s="379"/>
      <c r="F63" s="379"/>
      <c r="G63" s="379"/>
      <c r="H63" s="379"/>
      <c r="I63" s="379"/>
      <c r="J63" s="379"/>
      <c r="K63" s="379"/>
      <c r="L63" s="379"/>
      <c r="M63" s="379"/>
      <c r="N63" s="379"/>
      <c r="O63" s="379"/>
      <c r="P63" s="379"/>
      <c r="Q63" s="379"/>
    </row>
    <row r="64" spans="1:17" ht="14.4">
      <c r="A64" s="364" t="s">
        <v>302</v>
      </c>
      <c r="B64" s="378">
        <f>+SUM(C64:Q64)</f>
        <v>1694715.8735037707</v>
      </c>
      <c r="C64" s="367">
        <f>+C49-C62</f>
        <v>91500.931075667468</v>
      </c>
      <c r="D64" s="367">
        <f t="shared" ref="D64:Q64" si="4">+D49-D62</f>
        <v>94059.006357653387</v>
      </c>
      <c r="E64" s="367">
        <f t="shared" si="4"/>
        <v>96685.638057196498</v>
      </c>
      <c r="F64" s="367">
        <f t="shared" si="4"/>
        <v>99382.663486287391</v>
      </c>
      <c r="G64" s="367">
        <f t="shared" si="4"/>
        <v>102151.96919687789</v>
      </c>
      <c r="H64" s="367">
        <f t="shared" si="4"/>
        <v>104995.49230051225</v>
      </c>
      <c r="I64" s="367">
        <f t="shared" si="4"/>
        <v>107915.22182332401</v>
      </c>
      <c r="J64" s="367">
        <f t="shared" si="4"/>
        <v>110913.20009734709</v>
      </c>
      <c r="K64" s="367">
        <f t="shared" si="4"/>
        <v>113991.52418911402</v>
      </c>
      <c r="L64" s="367">
        <f t="shared" si="4"/>
        <v>117152.3473665403</v>
      </c>
      <c r="M64" s="367">
        <f t="shared" si="4"/>
        <v>124347.51975280906</v>
      </c>
      <c r="N64" s="367">
        <f t="shared" si="4"/>
        <v>127680.03328218435</v>
      </c>
      <c r="O64" s="367">
        <f t="shared" si="4"/>
        <v>131101.85817414688</v>
      </c>
      <c r="P64" s="367">
        <f t="shared" si="4"/>
        <v>134615.387973214</v>
      </c>
      <c r="Q64" s="367">
        <f t="shared" si="4"/>
        <v>138223.08037089615</v>
      </c>
    </row>
    <row r="65" spans="1:17" ht="14.4">
      <c r="A65" s="364"/>
    </row>
    <row r="66" spans="1:17" ht="14.4">
      <c r="A66" s="364" t="s">
        <v>222</v>
      </c>
      <c r="B66" s="380">
        <f>+'WHRS_Project Scenario'!C39</f>
        <v>0.7</v>
      </c>
      <c r="C66" s="367">
        <f>IF((+$B$66*C64)&lt;0,"0",(+$B$66*C64))</f>
        <v>64050.65175296722</v>
      </c>
      <c r="D66" s="367">
        <f t="shared" ref="D66:Q66" si="5">IF((+$B$66*D64)&lt;0,"0",(+$B$66*D64))</f>
        <v>65841.304450357362</v>
      </c>
      <c r="E66" s="367">
        <f t="shared" si="5"/>
        <v>67679.946640037539</v>
      </c>
      <c r="F66" s="367">
        <f t="shared" si="5"/>
        <v>69567.864440401172</v>
      </c>
      <c r="G66" s="367">
        <f t="shared" si="5"/>
        <v>71506.378437814521</v>
      </c>
      <c r="H66" s="367">
        <f t="shared" si="5"/>
        <v>73496.844610358574</v>
      </c>
      <c r="I66" s="367">
        <f t="shared" si="5"/>
        <v>75540.655276326797</v>
      </c>
      <c r="J66" s="367">
        <f t="shared" si="5"/>
        <v>77639.240068142957</v>
      </c>
      <c r="K66" s="367">
        <f t="shared" si="5"/>
        <v>79794.066932379807</v>
      </c>
      <c r="L66" s="367">
        <f t="shared" si="5"/>
        <v>82006.643156578211</v>
      </c>
      <c r="M66" s="367">
        <f t="shared" si="5"/>
        <v>87043.263826966344</v>
      </c>
      <c r="N66" s="367">
        <f t="shared" si="5"/>
        <v>89376.023297529042</v>
      </c>
      <c r="O66" s="367">
        <f t="shared" si="5"/>
        <v>91771.300721902808</v>
      </c>
      <c r="P66" s="367">
        <f t="shared" si="5"/>
        <v>94230.771581249792</v>
      </c>
      <c r="Q66" s="367">
        <f t="shared" si="5"/>
        <v>96756.1562596273</v>
      </c>
    </row>
    <row r="67" spans="1:17" ht="14.4">
      <c r="A67" s="364" t="s">
        <v>303</v>
      </c>
      <c r="B67" s="378">
        <f>+SUM(C67:Q67)</f>
        <v>1186301.1114526396</v>
      </c>
      <c r="C67" s="367">
        <f>SUM(C66:C66)</f>
        <v>64050.65175296722</v>
      </c>
      <c r="D67" s="367">
        <f t="shared" ref="D67:Q67" si="6">SUM(D66:D66)</f>
        <v>65841.304450357362</v>
      </c>
      <c r="E67" s="367">
        <f t="shared" si="6"/>
        <v>67679.946640037539</v>
      </c>
      <c r="F67" s="367">
        <f t="shared" si="6"/>
        <v>69567.864440401172</v>
      </c>
      <c r="G67" s="367">
        <f t="shared" si="6"/>
        <v>71506.378437814521</v>
      </c>
      <c r="H67" s="367">
        <f t="shared" si="6"/>
        <v>73496.844610358574</v>
      </c>
      <c r="I67" s="367">
        <f t="shared" si="6"/>
        <v>75540.655276326797</v>
      </c>
      <c r="J67" s="367">
        <f t="shared" si="6"/>
        <v>77639.240068142957</v>
      </c>
      <c r="K67" s="367">
        <f t="shared" si="6"/>
        <v>79794.066932379807</v>
      </c>
      <c r="L67" s="367">
        <f t="shared" si="6"/>
        <v>82006.643156578211</v>
      </c>
      <c r="M67" s="367">
        <f t="shared" si="6"/>
        <v>87043.263826966344</v>
      </c>
      <c r="N67" s="367">
        <f t="shared" si="6"/>
        <v>89376.023297529042</v>
      </c>
      <c r="O67" s="367">
        <f t="shared" si="6"/>
        <v>91771.300721902808</v>
      </c>
      <c r="P67" s="367">
        <f t="shared" si="6"/>
        <v>94230.771581249792</v>
      </c>
      <c r="Q67" s="367">
        <f t="shared" si="6"/>
        <v>96756.1562596273</v>
      </c>
    </row>
    <row r="68" spans="1:17" ht="14.4">
      <c r="A68" s="369"/>
    </row>
    <row r="69" spans="1:17" ht="14.4">
      <c r="A69" s="364" t="s">
        <v>304</v>
      </c>
      <c r="B69" s="378">
        <f>+'WHRS_Project Scenario'!C42</f>
        <v>507098.2156685688</v>
      </c>
      <c r="C69" s="367">
        <f>C64-C67</f>
        <v>27450.279322700248</v>
      </c>
      <c r="D69" s="367">
        <f t="shared" ref="D69:Q69" si="7">D64-D67</f>
        <v>28217.701907296025</v>
      </c>
      <c r="E69" s="367">
        <f t="shared" si="7"/>
        <v>29005.69141715896</v>
      </c>
      <c r="F69" s="367">
        <f t="shared" si="7"/>
        <v>29814.799045886219</v>
      </c>
      <c r="G69" s="367">
        <f t="shared" si="7"/>
        <v>30645.590759063372</v>
      </c>
      <c r="H69" s="367">
        <f t="shared" si="7"/>
        <v>31498.647690153681</v>
      </c>
      <c r="I69" s="367">
        <f t="shared" si="7"/>
        <v>32374.566546997215</v>
      </c>
      <c r="J69" s="367">
        <f t="shared" si="7"/>
        <v>33273.960029204129</v>
      </c>
      <c r="K69" s="367">
        <f t="shared" si="7"/>
        <v>34197.457256734211</v>
      </c>
      <c r="L69" s="367">
        <f t="shared" si="7"/>
        <v>35145.704209962088</v>
      </c>
      <c r="M69" s="367">
        <f t="shared" si="7"/>
        <v>37304.255925842721</v>
      </c>
      <c r="N69" s="367">
        <f t="shared" si="7"/>
        <v>38304.009984655306</v>
      </c>
      <c r="O69" s="367">
        <f t="shared" si="7"/>
        <v>39330.557452244073</v>
      </c>
      <c r="P69" s="367">
        <f t="shared" si="7"/>
        <v>40384.616391964213</v>
      </c>
      <c r="Q69" s="367">
        <f t="shared" si="7"/>
        <v>41466.924111268847</v>
      </c>
    </row>
    <row r="70" spans="1:17" ht="14.4">
      <c r="A70" s="364" t="s">
        <v>305</v>
      </c>
      <c r="B70" s="381">
        <f>+'WHRS_Project Scenario'!C43</f>
        <v>43884.879418749995</v>
      </c>
      <c r="C70" s="381">
        <f>+C59</f>
        <v>3949.6391476874996</v>
      </c>
      <c r="D70" s="381">
        <f t="shared" ref="D70:Q70" si="8">+D59</f>
        <v>3949.6391476874996</v>
      </c>
      <c r="E70" s="381">
        <f t="shared" si="8"/>
        <v>3949.6391476874996</v>
      </c>
      <c r="F70" s="381">
        <f t="shared" si="8"/>
        <v>3949.6391476874996</v>
      </c>
      <c r="G70" s="381">
        <f t="shared" si="8"/>
        <v>3949.6391476874996</v>
      </c>
      <c r="H70" s="381">
        <f t="shared" si="8"/>
        <v>3949.6391476874996</v>
      </c>
      <c r="I70" s="381">
        <f t="shared" si="8"/>
        <v>3949.6391476874996</v>
      </c>
      <c r="J70" s="381">
        <f t="shared" si="8"/>
        <v>3949.6391476874996</v>
      </c>
      <c r="K70" s="381">
        <f t="shared" si="8"/>
        <v>3949.6391476874996</v>
      </c>
      <c r="L70" s="381">
        <f t="shared" si="8"/>
        <v>3949.6391476874996</v>
      </c>
      <c r="M70" s="381">
        <f t="shared" si="8"/>
        <v>0</v>
      </c>
      <c r="N70" s="381">
        <f t="shared" si="8"/>
        <v>0</v>
      </c>
      <c r="O70" s="381">
        <f t="shared" si="8"/>
        <v>0</v>
      </c>
      <c r="P70" s="381">
        <f t="shared" si="8"/>
        <v>0</v>
      </c>
      <c r="Q70" s="381">
        <f t="shared" si="8"/>
        <v>0</v>
      </c>
    </row>
    <row r="71" spans="1:17" ht="14.4">
      <c r="A71" s="364" t="s">
        <v>306</v>
      </c>
      <c r="B71" s="378">
        <f>+'WHRS_Project Scenario'!C44</f>
        <v>0</v>
      </c>
      <c r="C71" s="367">
        <f>+'WHRS_Project Scenario'!D44</f>
        <v>0</v>
      </c>
      <c r="D71" s="367">
        <f>+'WHRS_Project Scenario'!E44</f>
        <v>0</v>
      </c>
      <c r="E71" s="367">
        <f>+'WHRS_Project Scenario'!F44</f>
        <v>0</v>
      </c>
      <c r="F71" s="367">
        <f>+'WHRS_Project Scenario'!G44</f>
        <v>0</v>
      </c>
      <c r="G71" s="367">
        <f>+'WHRS_Project Scenario'!H44</f>
        <v>0</v>
      </c>
      <c r="H71" s="367">
        <f>+'WHRS_Project Scenario'!I44</f>
        <v>0</v>
      </c>
      <c r="I71" s="367">
        <f>+'WHRS_Project Scenario'!J44</f>
        <v>0</v>
      </c>
      <c r="J71" s="367">
        <f>+'WHRS_Project Scenario'!K44</f>
        <v>0</v>
      </c>
      <c r="K71" s="367">
        <f>+'WHRS_Project Scenario'!L44</f>
        <v>0</v>
      </c>
      <c r="L71" s="367">
        <f>+'WHRS_Project Scenario'!M44</f>
        <v>0</v>
      </c>
      <c r="M71" s="367">
        <f>+'WHRS_Project Scenario'!N44</f>
        <v>0</v>
      </c>
      <c r="N71" s="367">
        <f>+'WHRS_Project Scenario'!O44</f>
        <v>0</v>
      </c>
      <c r="O71" s="367">
        <f>+'WHRS_Project Scenario'!P44</f>
        <v>0</v>
      </c>
      <c r="P71" s="367">
        <f>+'WHRS_Project Scenario'!Q44</f>
        <v>0</v>
      </c>
      <c r="Q71" s="367">
        <f>+'WHRS_Project Scenario'!R44</f>
        <v>0</v>
      </c>
    </row>
    <row r="72" spans="1:17" ht="14.4">
      <c r="A72" s="364"/>
    </row>
    <row r="73" spans="1:17" ht="14.4">
      <c r="A73" s="364" t="s">
        <v>110</v>
      </c>
      <c r="B73" s="381">
        <f>-'WHRS_Project Scenario'!C8*(1+'WHRS Sensitivity Analysis'!$B$6)</f>
        <v>-39496.391476874996</v>
      </c>
      <c r="C73" s="367">
        <f>C69+C70+C71</f>
        <v>31399.918470387747</v>
      </c>
      <c r="D73" s="367">
        <f t="shared" ref="D73:Q73" si="9">D69+D70+D71</f>
        <v>32167.341054983524</v>
      </c>
      <c r="E73" s="367">
        <f t="shared" si="9"/>
        <v>32955.330564846459</v>
      </c>
      <c r="F73" s="367">
        <f t="shared" si="9"/>
        <v>33764.438193573718</v>
      </c>
      <c r="G73" s="367">
        <f t="shared" si="9"/>
        <v>34595.229906750872</v>
      </c>
      <c r="H73" s="367">
        <f t="shared" si="9"/>
        <v>35448.28683784118</v>
      </c>
      <c r="I73" s="367">
        <f t="shared" si="9"/>
        <v>36324.205694684715</v>
      </c>
      <c r="J73" s="367">
        <f t="shared" si="9"/>
        <v>37223.599176891628</v>
      </c>
      <c r="K73" s="367">
        <f t="shared" si="9"/>
        <v>38147.096404421711</v>
      </c>
      <c r="L73" s="367">
        <f t="shared" si="9"/>
        <v>39095.343357649588</v>
      </c>
      <c r="M73" s="367">
        <f t="shared" si="9"/>
        <v>37304.255925842721</v>
      </c>
      <c r="N73" s="367">
        <f t="shared" si="9"/>
        <v>38304.009984655306</v>
      </c>
      <c r="O73" s="367">
        <f t="shared" si="9"/>
        <v>39330.557452244073</v>
      </c>
      <c r="P73" s="367">
        <f t="shared" si="9"/>
        <v>40384.616391964213</v>
      </c>
      <c r="Q73" s="367">
        <f t="shared" si="9"/>
        <v>41466.924111268847</v>
      </c>
    </row>
    <row r="74" spans="1:17" ht="15.6">
      <c r="A74" s="364" t="s">
        <v>51</v>
      </c>
      <c r="B74" s="132">
        <f>IRR(B73:Q73)</f>
        <v>0.81921045849425644</v>
      </c>
    </row>
    <row r="75" spans="1:17" ht="15.6">
      <c r="A75" s="364" t="s">
        <v>267</v>
      </c>
      <c r="B75" s="303">
        <f>NPV('Initial Data'!C21/100,B73:Q73)</f>
        <v>178486.55639629022</v>
      </c>
    </row>
    <row r="77" spans="1:17" ht="14.4">
      <c r="A77" s="508" t="s">
        <v>289</v>
      </c>
      <c r="B77" s="509"/>
      <c r="C77" s="509"/>
      <c r="D77" s="509"/>
      <c r="E77" s="509"/>
      <c r="F77" s="509"/>
      <c r="G77" s="509"/>
      <c r="H77" s="509"/>
      <c r="I77" s="509"/>
      <c r="J77" s="509"/>
      <c r="K77" s="509"/>
      <c r="L77" s="509"/>
      <c r="M77" s="509"/>
      <c r="N77" s="509"/>
      <c r="O77" s="509"/>
      <c r="P77" s="509"/>
      <c r="Q77" s="509"/>
    </row>
    <row r="78" spans="1:17" ht="14.4">
      <c r="A78" s="371" t="s">
        <v>307</v>
      </c>
      <c r="B78" s="372"/>
      <c r="C78" s="372"/>
      <c r="D78" s="372"/>
      <c r="E78" s="372"/>
      <c r="F78" s="372"/>
      <c r="G78" s="372"/>
      <c r="H78" s="372"/>
      <c r="I78" s="372"/>
      <c r="J78" s="372"/>
      <c r="K78" s="372"/>
      <c r="L78" s="372"/>
      <c r="M78" s="372"/>
      <c r="N78" s="372"/>
      <c r="O78" s="372"/>
      <c r="P78" s="372"/>
      <c r="Q78" s="372"/>
    </row>
    <row r="79" spans="1:17" ht="27">
      <c r="A79" s="376"/>
      <c r="B79" s="304" t="s">
        <v>35</v>
      </c>
      <c r="C79" s="352" t="s">
        <v>407</v>
      </c>
      <c r="D79" s="352" t="s">
        <v>408</v>
      </c>
      <c r="E79" s="352" t="s">
        <v>409</v>
      </c>
      <c r="F79" s="352" t="s">
        <v>410</v>
      </c>
      <c r="G79" s="352" t="s">
        <v>411</v>
      </c>
      <c r="H79" s="352" t="s">
        <v>412</v>
      </c>
      <c r="I79" s="352" t="s">
        <v>413</v>
      </c>
      <c r="J79" s="352" t="s">
        <v>414</v>
      </c>
      <c r="K79" s="352" t="s">
        <v>415</v>
      </c>
      <c r="L79" s="352" t="s">
        <v>416</v>
      </c>
      <c r="M79" s="352" t="s">
        <v>417</v>
      </c>
      <c r="N79" s="352" t="s">
        <v>418</v>
      </c>
      <c r="O79" s="352" t="s">
        <v>419</v>
      </c>
      <c r="P79" s="352" t="s">
        <v>420</v>
      </c>
      <c r="Q79" s="352" t="s">
        <v>421</v>
      </c>
    </row>
    <row r="80" spans="1:17" ht="14.4">
      <c r="A80" s="363" t="s">
        <v>290</v>
      </c>
      <c r="B80" s="365"/>
      <c r="C80" s="367">
        <f>+'WHRS_Project Scenario'!D15</f>
        <v>215214.92335078961</v>
      </c>
      <c r="D80" s="367">
        <f>+'WHRS_Project Scenario'!E15</f>
        <v>215214.92335078961</v>
      </c>
      <c r="E80" s="367">
        <f>+'WHRS_Project Scenario'!F15</f>
        <v>215214.92335078961</v>
      </c>
      <c r="F80" s="367">
        <f>+'WHRS_Project Scenario'!G15</f>
        <v>215214.92335078961</v>
      </c>
      <c r="G80" s="367">
        <f>+'WHRS_Project Scenario'!H15</f>
        <v>215214.92335078961</v>
      </c>
      <c r="H80" s="367">
        <f>+'WHRS_Project Scenario'!I15</f>
        <v>215214.92335078961</v>
      </c>
      <c r="I80" s="367">
        <f>+'WHRS_Project Scenario'!J15</f>
        <v>215214.92335078961</v>
      </c>
      <c r="J80" s="367">
        <f>+'WHRS_Project Scenario'!K15</f>
        <v>215214.92335078961</v>
      </c>
      <c r="K80" s="367">
        <f>+'WHRS_Project Scenario'!L15</f>
        <v>215214.92335078961</v>
      </c>
      <c r="L80" s="367">
        <f>+'WHRS_Project Scenario'!M15</f>
        <v>215214.92335078961</v>
      </c>
      <c r="M80" s="367">
        <f>+'WHRS_Project Scenario'!N15</f>
        <v>215214.92335078961</v>
      </c>
      <c r="N80" s="367">
        <f>+'WHRS_Project Scenario'!O15</f>
        <v>215214.92335078961</v>
      </c>
      <c r="O80" s="367">
        <f>+'WHRS_Project Scenario'!P15</f>
        <v>215214.92335078961</v>
      </c>
      <c r="P80" s="367">
        <f>+'WHRS_Project Scenario'!Q15</f>
        <v>215214.92335078961</v>
      </c>
      <c r="Q80" s="367">
        <f>+'WHRS_Project Scenario'!R15</f>
        <v>215214.92335078961</v>
      </c>
    </row>
    <row r="81" spans="1:17" ht="14.4">
      <c r="A81" s="364" t="s">
        <v>291</v>
      </c>
      <c r="B81" s="365"/>
      <c r="C81" s="367">
        <f>+'WHRS_Project Scenario'!D16</f>
        <v>70</v>
      </c>
      <c r="D81" s="367">
        <f>+'WHRS_Project Scenario'!E16</f>
        <v>70</v>
      </c>
      <c r="E81" s="367">
        <f>+'WHRS_Project Scenario'!F16</f>
        <v>70</v>
      </c>
      <c r="F81" s="367">
        <f>+'WHRS_Project Scenario'!G16</f>
        <v>70</v>
      </c>
      <c r="G81" s="367">
        <f>+'WHRS_Project Scenario'!H16</f>
        <v>70</v>
      </c>
      <c r="H81" s="367">
        <f>+'WHRS_Project Scenario'!I16</f>
        <v>70</v>
      </c>
      <c r="I81" s="367">
        <f>+'WHRS_Project Scenario'!J16</f>
        <v>70</v>
      </c>
      <c r="J81" s="367">
        <f>+'WHRS_Project Scenario'!K16</f>
        <v>70</v>
      </c>
      <c r="K81" s="367">
        <f>+'WHRS_Project Scenario'!L16</f>
        <v>70</v>
      </c>
      <c r="L81" s="367">
        <f>+'WHRS_Project Scenario'!M16</f>
        <v>70</v>
      </c>
      <c r="M81" s="367">
        <f>+'WHRS_Project Scenario'!N16</f>
        <v>70</v>
      </c>
      <c r="N81" s="367">
        <f>+'WHRS_Project Scenario'!O16</f>
        <v>70</v>
      </c>
      <c r="O81" s="367">
        <f>+'WHRS_Project Scenario'!P16</f>
        <v>70</v>
      </c>
      <c r="P81" s="367">
        <f>+'WHRS_Project Scenario'!Q16</f>
        <v>70</v>
      </c>
      <c r="Q81" s="367">
        <f>+'WHRS_Project Scenario'!R16</f>
        <v>70</v>
      </c>
    </row>
    <row r="82" spans="1:17" ht="14.4">
      <c r="A82" s="366" t="s">
        <v>292</v>
      </c>
      <c r="B82" s="365"/>
      <c r="C82" s="375">
        <f>+'WHRS_Project Scenario'!D17</f>
        <v>6.4285714285714288</v>
      </c>
      <c r="D82" s="375">
        <f>+'WHRS_Project Scenario'!E17</f>
        <v>6.6008571428571425</v>
      </c>
      <c r="E82" s="375">
        <f>+'WHRS_Project Scenario'!F17</f>
        <v>6.7777601142857131</v>
      </c>
      <c r="F82" s="375">
        <f>+'WHRS_Project Scenario'!G17</f>
        <v>6.9594040853485701</v>
      </c>
      <c r="G82" s="375">
        <f>+'WHRS_Project Scenario'!H17</f>
        <v>7.1459161148359112</v>
      </c>
      <c r="H82" s="375">
        <f>+'WHRS_Project Scenario'!I17</f>
        <v>7.3374266667135135</v>
      </c>
      <c r="I82" s="375">
        <f>+'WHRS_Project Scenario'!J17</f>
        <v>7.5340697013814353</v>
      </c>
      <c r="J82" s="375">
        <f>+'WHRS_Project Scenario'!K17</f>
        <v>7.7359827693784569</v>
      </c>
      <c r="K82" s="375">
        <f>+'WHRS_Project Scenario'!L17</f>
        <v>7.943307107597799</v>
      </c>
      <c r="L82" s="375">
        <f>+'WHRS_Project Scenario'!M17</f>
        <v>8.1561877380814192</v>
      </c>
      <c r="M82" s="375">
        <f>+'WHRS_Project Scenario'!N17</f>
        <v>8.3747735694620005</v>
      </c>
      <c r="N82" s="375">
        <f>+'WHRS_Project Scenario'!O17</f>
        <v>8.5992175011235812</v>
      </c>
      <c r="O82" s="375">
        <f>+'WHRS_Project Scenario'!P17</f>
        <v>8.8296765301536926</v>
      </c>
      <c r="P82" s="375">
        <f>+'WHRS_Project Scenario'!Q17</f>
        <v>9.066311861161811</v>
      </c>
      <c r="Q82" s="375">
        <f>+'WHRS_Project Scenario'!R17</f>
        <v>9.3092890190409463</v>
      </c>
    </row>
    <row r="83" spans="1:17" ht="14.4">
      <c r="A83" s="366" t="s">
        <v>293</v>
      </c>
      <c r="B83" s="365"/>
      <c r="C83" s="367">
        <f>+'WHRS_Project Scenario'!D18</f>
        <v>450</v>
      </c>
      <c r="D83" s="367">
        <f>+'WHRS_Project Scenario'!E18</f>
        <v>462.06</v>
      </c>
      <c r="E83" s="367">
        <f>+'WHRS_Project Scenario'!F18</f>
        <v>474.44320799999991</v>
      </c>
      <c r="F83" s="367">
        <f>+'WHRS_Project Scenario'!G18</f>
        <v>487.15828597439992</v>
      </c>
      <c r="G83" s="367">
        <f>+'WHRS_Project Scenario'!H18</f>
        <v>500.21412803851376</v>
      </c>
      <c r="H83" s="367">
        <f>+'WHRS_Project Scenario'!I18</f>
        <v>513.61986666994596</v>
      </c>
      <c r="I83" s="367">
        <f>+'WHRS_Project Scenario'!J18</f>
        <v>527.3848790967005</v>
      </c>
      <c r="J83" s="367">
        <f>+'WHRS_Project Scenario'!K18</f>
        <v>541.51879385649192</v>
      </c>
      <c r="K83" s="367">
        <f>+'WHRS_Project Scenario'!L18</f>
        <v>556.03149753184596</v>
      </c>
      <c r="L83" s="367">
        <f>+'WHRS_Project Scenario'!M18</f>
        <v>570.9331416656994</v>
      </c>
      <c r="M83" s="367">
        <f>+'WHRS_Project Scenario'!N18</f>
        <v>586.23414986234002</v>
      </c>
      <c r="N83" s="367">
        <f>+'WHRS_Project Scenario'!O18</f>
        <v>601.94522507865065</v>
      </c>
      <c r="O83" s="367">
        <f>+'WHRS_Project Scenario'!P18</f>
        <v>618.0773571107585</v>
      </c>
      <c r="P83" s="367">
        <f>+'WHRS_Project Scenario'!Q18</f>
        <v>634.64183028132675</v>
      </c>
      <c r="Q83" s="367">
        <f>+'WHRS_Project Scenario'!R18</f>
        <v>651.65023133286627</v>
      </c>
    </row>
    <row r="84" spans="1:17" ht="14.4">
      <c r="A84" s="370"/>
      <c r="B84" s="373"/>
      <c r="C84" s="373"/>
      <c r="D84" s="373"/>
      <c r="E84" s="373"/>
      <c r="F84" s="373"/>
      <c r="G84" s="373"/>
      <c r="H84" s="373"/>
      <c r="I84" s="373"/>
      <c r="J84" s="373"/>
      <c r="K84" s="373"/>
      <c r="L84" s="373"/>
      <c r="M84" s="373"/>
      <c r="N84" s="373"/>
      <c r="O84" s="373"/>
      <c r="P84" s="373"/>
      <c r="Q84" s="373"/>
    </row>
    <row r="85" spans="1:17" ht="14.4">
      <c r="A85" s="366" t="s">
        <v>294</v>
      </c>
      <c r="B85" s="378">
        <f>+SUM(C85:Q85)</f>
        <v>1759578.4023479735</v>
      </c>
      <c r="C85" s="367">
        <f>+'WHRS_Project Scenario'!D20</f>
        <v>96846.715507855319</v>
      </c>
      <c r="D85" s="367">
        <f>+'WHRS_Project Scenario'!E20</f>
        <v>99442.207483465856</v>
      </c>
      <c r="E85" s="367">
        <f>+'WHRS_Project Scenario'!F20</f>
        <v>102107.25864402272</v>
      </c>
      <c r="F85" s="367">
        <f>+'WHRS_Project Scenario'!G20</f>
        <v>104843.73317568253</v>
      </c>
      <c r="G85" s="367">
        <f>+'WHRS_Project Scenario'!H20</f>
        <v>107653.5452247908</v>
      </c>
      <c r="H85" s="367">
        <f>+'WHRS_Project Scenario'!I20</f>
        <v>110538.66023681519</v>
      </c>
      <c r="I85" s="367">
        <f>+'WHRS_Project Scenario'!J20</f>
        <v>113501.09633116184</v>
      </c>
      <c r="J85" s="367">
        <f>+'WHRS_Project Scenario'!K20</f>
        <v>116542.92571283695</v>
      </c>
      <c r="K85" s="367">
        <f>+'WHRS_Project Scenario'!L20</f>
        <v>119666.27612194099</v>
      </c>
      <c r="L85" s="367">
        <f>+'WHRS_Project Scenario'!M20</f>
        <v>122873.332322009</v>
      </c>
      <c r="M85" s="367">
        <f>+'WHRS_Project Scenario'!N20</f>
        <v>126166.33762823881</v>
      </c>
      <c r="N85" s="367">
        <f>+'WHRS_Project Scenario'!O20</f>
        <v>129547.5954766756</v>
      </c>
      <c r="O85" s="367">
        <f>+'WHRS_Project Scenario'!P20</f>
        <v>133019.47103545049</v>
      </c>
      <c r="P85" s="367">
        <f>+'WHRS_Project Scenario'!Q20</f>
        <v>136584.39285920057</v>
      </c>
      <c r="Q85" s="367">
        <f>+'WHRS_Project Scenario'!R20</f>
        <v>140244.85458782714</v>
      </c>
    </row>
    <row r="86" spans="1:17" ht="14.4">
      <c r="A86" s="370"/>
      <c r="B86" s="373"/>
      <c r="C86" s="373"/>
      <c r="D86" s="373"/>
      <c r="E86" s="373"/>
      <c r="F86" s="373"/>
      <c r="G86" s="373"/>
      <c r="H86" s="373"/>
      <c r="I86" s="373"/>
      <c r="J86" s="373"/>
      <c r="K86" s="373"/>
      <c r="L86" s="373"/>
      <c r="M86" s="373"/>
      <c r="N86" s="373"/>
      <c r="O86" s="373"/>
      <c r="P86" s="373"/>
      <c r="Q86" s="373"/>
    </row>
    <row r="87" spans="1:17" ht="14.4">
      <c r="A87" s="366" t="s">
        <v>295</v>
      </c>
      <c r="B87" s="378">
        <f>+SUM(C87:Q87)</f>
        <v>1759578.4023479735</v>
      </c>
      <c r="C87" s="367">
        <f>+'WHRS_Project Scenario'!D22</f>
        <v>96846.715507855319</v>
      </c>
      <c r="D87" s="367">
        <f>+'WHRS_Project Scenario'!E22</f>
        <v>99442.207483465856</v>
      </c>
      <c r="E87" s="367">
        <f>+'WHRS_Project Scenario'!F22</f>
        <v>102107.25864402272</v>
      </c>
      <c r="F87" s="367">
        <f>+'WHRS_Project Scenario'!G22</f>
        <v>104843.73317568253</v>
      </c>
      <c r="G87" s="367">
        <f>+'WHRS_Project Scenario'!H22</f>
        <v>107653.5452247908</v>
      </c>
      <c r="H87" s="367">
        <f>+'WHRS_Project Scenario'!I22</f>
        <v>110538.66023681519</v>
      </c>
      <c r="I87" s="367">
        <f>+'WHRS_Project Scenario'!J22</f>
        <v>113501.09633116184</v>
      </c>
      <c r="J87" s="367">
        <f>+'WHRS_Project Scenario'!K22</f>
        <v>116542.92571283695</v>
      </c>
      <c r="K87" s="367">
        <f>+'WHRS_Project Scenario'!L22</f>
        <v>119666.27612194099</v>
      </c>
      <c r="L87" s="367">
        <f>+'WHRS_Project Scenario'!M22</f>
        <v>122873.332322009</v>
      </c>
      <c r="M87" s="367">
        <f>+'WHRS_Project Scenario'!N22</f>
        <v>126166.33762823881</v>
      </c>
      <c r="N87" s="367">
        <f>+'WHRS_Project Scenario'!O22</f>
        <v>129547.5954766756</v>
      </c>
      <c r="O87" s="367">
        <f>+'WHRS_Project Scenario'!P22</f>
        <v>133019.47103545049</v>
      </c>
      <c r="P87" s="367">
        <f>+'WHRS_Project Scenario'!Q22</f>
        <v>136584.39285920057</v>
      </c>
      <c r="Q87" s="367">
        <f>+'WHRS_Project Scenario'!R22</f>
        <v>140244.85458782714</v>
      </c>
    </row>
    <row r="88" spans="1:17" ht="14.4">
      <c r="A88" s="370"/>
      <c r="B88" s="374"/>
      <c r="C88" s="374"/>
      <c r="D88" s="374"/>
      <c r="E88" s="374"/>
      <c r="F88" s="374"/>
      <c r="G88" s="374"/>
      <c r="H88" s="374"/>
      <c r="I88" s="374"/>
      <c r="J88" s="374"/>
      <c r="K88" s="374"/>
      <c r="L88" s="374"/>
      <c r="M88" s="374"/>
      <c r="N88" s="374"/>
      <c r="O88" s="374"/>
      <c r="P88" s="374"/>
      <c r="Q88" s="374"/>
    </row>
    <row r="89" spans="1:17" ht="14.4">
      <c r="A89" s="366" t="s">
        <v>68</v>
      </c>
      <c r="B89" s="368"/>
      <c r="C89" s="368"/>
      <c r="D89" s="368"/>
      <c r="E89" s="368"/>
      <c r="F89" s="368"/>
      <c r="G89" s="368"/>
      <c r="H89" s="368"/>
      <c r="I89" s="368"/>
      <c r="J89" s="368"/>
      <c r="K89" s="368"/>
      <c r="L89" s="368"/>
      <c r="M89" s="368"/>
      <c r="N89" s="368"/>
      <c r="O89" s="368"/>
      <c r="P89" s="368"/>
      <c r="Q89" s="368"/>
    </row>
    <row r="90" spans="1:17" ht="14.4">
      <c r="A90" s="366" t="s">
        <v>296</v>
      </c>
      <c r="B90" s="378">
        <f>+SUM(C90:Q90)</f>
        <v>11529.370291765843</v>
      </c>
      <c r="C90" s="367">
        <f>+'WHRS_Project Scenario'!D25</f>
        <v>634.57339732142862</v>
      </c>
      <c r="D90" s="367">
        <f>+'WHRS_Project Scenario'!E25</f>
        <v>651.57996436964288</v>
      </c>
      <c r="E90" s="367">
        <f>+'WHRS_Project Scenario'!F25</f>
        <v>669.0423074147493</v>
      </c>
      <c r="F90" s="367">
        <f>+'WHRS_Project Scenario'!G25</f>
        <v>686.97264125346453</v>
      </c>
      <c r="G90" s="367">
        <f>+'WHRS_Project Scenario'!H25</f>
        <v>705.38350803905735</v>
      </c>
      <c r="H90" s="367">
        <f>+'WHRS_Project Scenario'!I25</f>
        <v>724.28778605450407</v>
      </c>
      <c r="I90" s="367">
        <f>+'WHRS_Project Scenario'!J25</f>
        <v>743.6986987207647</v>
      </c>
      <c r="J90" s="367">
        <f>+'WHRS_Project Scenario'!K25</f>
        <v>763.62982384648114</v>
      </c>
      <c r="K90" s="367">
        <f>+'WHRS_Project Scenario'!L25</f>
        <v>784.09510312556677</v>
      </c>
      <c r="L90" s="367">
        <f>+'WHRS_Project Scenario'!M25</f>
        <v>805.10885188933196</v>
      </c>
      <c r="M90" s="367">
        <f>+'WHRS_Project Scenario'!N25</f>
        <v>826.68576911996604</v>
      </c>
      <c r="N90" s="367">
        <f>+'WHRS_Project Scenario'!O25</f>
        <v>848.8409477323811</v>
      </c>
      <c r="O90" s="367">
        <f>+'WHRS_Project Scenario'!P25</f>
        <v>871.58988513160887</v>
      </c>
      <c r="P90" s="367">
        <f>+'WHRS_Project Scenario'!Q25</f>
        <v>894.94849405313596</v>
      </c>
      <c r="Q90" s="367">
        <f>+'WHRS_Project Scenario'!R25</f>
        <v>918.93311369375999</v>
      </c>
    </row>
    <row r="91" spans="1:17" ht="14.4">
      <c r="A91" s="366" t="s">
        <v>297</v>
      </c>
      <c r="B91" s="378">
        <f>+SUM(C91:Q91)</f>
        <v>13836.767075562184</v>
      </c>
      <c r="C91" s="367">
        <f>+'WHRS_Project Scenario'!D26</f>
        <v>761.57188717892848</v>
      </c>
      <c r="D91" s="367">
        <f>+'WHRS_Project Scenario'!E26</f>
        <v>781.98201375532369</v>
      </c>
      <c r="E91" s="367">
        <f>+'WHRS_Project Scenario'!F26</f>
        <v>802.93913172396628</v>
      </c>
      <c r="F91" s="367">
        <f>+'WHRS_Project Scenario'!G26</f>
        <v>824.45790045416857</v>
      </c>
      <c r="G91" s="367">
        <f>+'WHRS_Project Scenario'!H26</f>
        <v>846.5533721863402</v>
      </c>
      <c r="H91" s="367">
        <f>+'WHRS_Project Scenario'!I26</f>
        <v>869.24100256093402</v>
      </c>
      <c r="I91" s="367">
        <f>+'WHRS_Project Scenario'!J26</f>
        <v>892.53666142956695</v>
      </c>
      <c r="J91" s="367">
        <f>+'WHRS_Project Scenario'!K26</f>
        <v>916.45664395587926</v>
      </c>
      <c r="K91" s="367">
        <f>+'WHRS_Project Scenario'!L26</f>
        <v>941.01768201389677</v>
      </c>
      <c r="L91" s="367">
        <f>+'WHRS_Project Scenario'!M26</f>
        <v>966.23695589186912</v>
      </c>
      <c r="M91" s="367">
        <f>+'WHRS_Project Scenario'!N26</f>
        <v>992.13210630977119</v>
      </c>
      <c r="N91" s="367">
        <f>+'WHRS_Project Scenario'!O26</f>
        <v>1018.721246758873</v>
      </c>
      <c r="O91" s="367">
        <f>+'WHRS_Project Scenario'!P26</f>
        <v>1046.0229761720107</v>
      </c>
      <c r="P91" s="367">
        <f>+'WHRS_Project Scenario'!Q26</f>
        <v>1074.0563919334204</v>
      </c>
      <c r="Q91" s="367">
        <f>+'WHRS_Project Scenario'!R26</f>
        <v>1102.841103237236</v>
      </c>
    </row>
    <row r="92" spans="1:17" ht="14.4">
      <c r="A92" s="370"/>
      <c r="B92" s="369"/>
      <c r="C92" s="369"/>
      <c r="D92" s="369"/>
      <c r="E92" s="369"/>
      <c r="F92" s="369"/>
      <c r="G92" s="369"/>
      <c r="H92" s="369"/>
      <c r="I92" s="369"/>
      <c r="J92" s="369"/>
      <c r="K92" s="369"/>
      <c r="L92" s="369"/>
      <c r="M92" s="369"/>
      <c r="N92" s="369"/>
      <c r="O92" s="369"/>
      <c r="P92" s="369"/>
      <c r="Q92" s="369"/>
    </row>
    <row r="93" spans="1:17" ht="14.4">
      <c r="A93" s="366" t="s">
        <v>71</v>
      </c>
      <c r="B93" s="379"/>
      <c r="C93" s="379"/>
      <c r="D93" s="379"/>
      <c r="E93" s="379"/>
      <c r="F93" s="379"/>
      <c r="G93" s="379"/>
      <c r="H93" s="379"/>
      <c r="I93" s="379"/>
      <c r="J93" s="379"/>
      <c r="K93" s="379"/>
      <c r="L93" s="379"/>
      <c r="M93" s="379"/>
      <c r="N93" s="379"/>
      <c r="O93" s="379"/>
      <c r="P93" s="379"/>
      <c r="Q93" s="379"/>
    </row>
    <row r="94" spans="1:17" ht="14.4">
      <c r="A94" s="370"/>
      <c r="B94" s="379"/>
      <c r="C94" s="379"/>
      <c r="D94" s="379"/>
      <c r="E94" s="379"/>
      <c r="F94" s="379"/>
      <c r="G94" s="379"/>
      <c r="H94" s="379"/>
      <c r="I94" s="379"/>
      <c r="J94" s="379"/>
      <c r="K94" s="379"/>
      <c r="L94" s="379"/>
      <c r="M94" s="379"/>
      <c r="N94" s="379"/>
      <c r="O94" s="379"/>
      <c r="P94" s="379"/>
      <c r="Q94" s="379"/>
    </row>
    <row r="95" spans="1:17" ht="14.4">
      <c r="A95" s="366" t="s">
        <v>298</v>
      </c>
      <c r="B95" s="378">
        <f>+SUM(C95:Q95)</f>
        <v>25366.137367328029</v>
      </c>
      <c r="C95" s="367">
        <f>SUM(C90:C91)</f>
        <v>1396.1452845003571</v>
      </c>
      <c r="D95" s="367">
        <f t="shared" ref="D95:Q95" si="10">SUM(D90:D91)</f>
        <v>1433.5619781249666</v>
      </c>
      <c r="E95" s="367">
        <f t="shared" si="10"/>
        <v>1471.9814391387156</v>
      </c>
      <c r="F95" s="367">
        <f t="shared" si="10"/>
        <v>1511.430541707633</v>
      </c>
      <c r="G95" s="367">
        <f t="shared" si="10"/>
        <v>1551.9368802253975</v>
      </c>
      <c r="H95" s="367">
        <f t="shared" si="10"/>
        <v>1593.5287886154381</v>
      </c>
      <c r="I95" s="367">
        <f t="shared" si="10"/>
        <v>1636.2353601503316</v>
      </c>
      <c r="J95" s="367">
        <f t="shared" si="10"/>
        <v>1680.0864678023604</v>
      </c>
      <c r="K95" s="367">
        <f t="shared" si="10"/>
        <v>1725.1127851394635</v>
      </c>
      <c r="L95" s="367">
        <f t="shared" si="10"/>
        <v>1771.3458077812011</v>
      </c>
      <c r="M95" s="367">
        <f t="shared" si="10"/>
        <v>1818.8178754297373</v>
      </c>
      <c r="N95" s="367">
        <f t="shared" si="10"/>
        <v>1867.5621944912541</v>
      </c>
      <c r="O95" s="367">
        <f t="shared" si="10"/>
        <v>1917.6128613036194</v>
      </c>
      <c r="P95" s="367">
        <f t="shared" si="10"/>
        <v>1969.0048859865565</v>
      </c>
      <c r="Q95" s="367">
        <f t="shared" si="10"/>
        <v>2021.7742169309959</v>
      </c>
    </row>
    <row r="96" spans="1:17" ht="14.4">
      <c r="A96" s="370"/>
      <c r="B96" s="379"/>
      <c r="C96" s="379"/>
      <c r="D96" s="379"/>
      <c r="E96" s="379"/>
      <c r="F96" s="379"/>
      <c r="G96" s="379"/>
      <c r="H96" s="379"/>
      <c r="I96" s="379"/>
      <c r="J96" s="379"/>
      <c r="K96" s="379"/>
      <c r="L96" s="379"/>
      <c r="M96" s="379"/>
      <c r="N96" s="379"/>
      <c r="O96" s="379"/>
      <c r="P96" s="379"/>
      <c r="Q96" s="379"/>
    </row>
    <row r="97" spans="1:17" ht="14.4">
      <c r="A97" s="366" t="s">
        <v>299</v>
      </c>
      <c r="B97" s="381">
        <f t="shared" ref="B97:B98" si="11">+SUM(C97:Q97)</f>
        <v>41690.635447812499</v>
      </c>
      <c r="C97" s="381">
        <f>'WHRS_Project Scenario'!$C$8*(1+$C$6)/'Initial Data'!$C$19</f>
        <v>4169.0635447812492</v>
      </c>
      <c r="D97" s="381">
        <f>'WHRS_Project Scenario'!$C$8*(1+$C$6)/'Initial Data'!$C$19</f>
        <v>4169.0635447812492</v>
      </c>
      <c r="E97" s="381">
        <f>'WHRS_Project Scenario'!$C$8*(1+$C$6)/'Initial Data'!$C$19</f>
        <v>4169.0635447812492</v>
      </c>
      <c r="F97" s="381">
        <f>'WHRS_Project Scenario'!$C$8*(1+$C$6)/'Initial Data'!$C$19</f>
        <v>4169.0635447812492</v>
      </c>
      <c r="G97" s="381">
        <f>'WHRS_Project Scenario'!$C$8*(1+$C$6)/'Initial Data'!$C$19</f>
        <v>4169.0635447812492</v>
      </c>
      <c r="H97" s="381">
        <f>'WHRS_Project Scenario'!$C$8*(1+$C$6)/'Initial Data'!$C$19</f>
        <v>4169.0635447812492</v>
      </c>
      <c r="I97" s="381">
        <f>'WHRS_Project Scenario'!$C$8*(1+$C$6)/'Initial Data'!$C$19</f>
        <v>4169.0635447812492</v>
      </c>
      <c r="J97" s="381">
        <f>'WHRS_Project Scenario'!$C$8*(1+$C$6)/'Initial Data'!$C$19</f>
        <v>4169.0635447812492</v>
      </c>
      <c r="K97" s="381">
        <f>'WHRS_Project Scenario'!$C$8*(1+$C$6)/'Initial Data'!$C$19</f>
        <v>4169.0635447812492</v>
      </c>
      <c r="L97" s="381">
        <f>'WHRS_Project Scenario'!$C$8*(1+$C$6)/'Initial Data'!$C$19</f>
        <v>4169.0635447812492</v>
      </c>
      <c r="M97" s="381">
        <v>0</v>
      </c>
      <c r="N97" s="381">
        <v>0</v>
      </c>
      <c r="O97" s="381">
        <v>0</v>
      </c>
      <c r="P97" s="381">
        <v>0</v>
      </c>
      <c r="Q97" s="381">
        <v>0</v>
      </c>
    </row>
    <row r="98" spans="1:17" ht="14.4">
      <c r="A98" s="366" t="s">
        <v>300</v>
      </c>
      <c r="B98" s="378">
        <f t="shared" si="11"/>
        <v>41690.635447812499</v>
      </c>
      <c r="C98" s="367">
        <f>SUM(C97:C97)</f>
        <v>4169.0635447812492</v>
      </c>
      <c r="D98" s="367">
        <f t="shared" ref="D98" si="12">SUM(D97:D97)</f>
        <v>4169.0635447812492</v>
      </c>
      <c r="E98" s="367">
        <f t="shared" ref="E98" si="13">SUM(E97:E97)</f>
        <v>4169.0635447812492</v>
      </c>
      <c r="F98" s="367">
        <f t="shared" ref="F98" si="14">SUM(F97:F97)</f>
        <v>4169.0635447812492</v>
      </c>
      <c r="G98" s="367">
        <f t="shared" ref="G98" si="15">SUM(G97:G97)</f>
        <v>4169.0635447812492</v>
      </c>
      <c r="H98" s="367">
        <f t="shared" ref="H98" si="16">SUM(H97:H97)</f>
        <v>4169.0635447812492</v>
      </c>
      <c r="I98" s="367">
        <f t="shared" ref="I98" si="17">SUM(I97:I97)</f>
        <v>4169.0635447812492</v>
      </c>
      <c r="J98" s="367">
        <f t="shared" ref="J98" si="18">SUM(J97:J97)</f>
        <v>4169.0635447812492</v>
      </c>
      <c r="K98" s="367">
        <f t="shared" ref="K98" si="19">SUM(K97:K97)</f>
        <v>4169.0635447812492</v>
      </c>
      <c r="L98" s="367">
        <f t="shared" ref="L98" si="20">SUM(L97:L97)</f>
        <v>4169.0635447812492</v>
      </c>
      <c r="M98" s="367">
        <f t="shared" ref="M98" si="21">SUM(M97:M97)</f>
        <v>0</v>
      </c>
      <c r="N98" s="367">
        <f t="shared" ref="N98" si="22">SUM(N97:N97)</f>
        <v>0</v>
      </c>
      <c r="O98" s="367">
        <f t="shared" ref="O98" si="23">SUM(O97:O97)</f>
        <v>0</v>
      </c>
      <c r="P98" s="367">
        <f t="shared" ref="P98" si="24">SUM(P97:P97)</f>
        <v>0</v>
      </c>
      <c r="Q98" s="367">
        <f t="shared" ref="Q98" si="25">SUM(Q97:Q97)</f>
        <v>0</v>
      </c>
    </row>
    <row r="99" spans="1:17" ht="14.4">
      <c r="A99" s="370"/>
      <c r="B99" s="379"/>
      <c r="C99" s="379"/>
      <c r="D99" s="379"/>
      <c r="E99" s="379"/>
      <c r="F99" s="379"/>
      <c r="G99" s="379"/>
      <c r="H99" s="379"/>
      <c r="I99" s="379"/>
      <c r="J99" s="379"/>
      <c r="K99" s="379"/>
      <c r="L99" s="379"/>
      <c r="M99" s="379"/>
      <c r="N99" s="379"/>
      <c r="O99" s="379"/>
      <c r="P99" s="379"/>
      <c r="Q99" s="379"/>
    </row>
    <row r="100" spans="1:17" ht="14.4">
      <c r="A100" s="366" t="s">
        <v>301</v>
      </c>
      <c r="B100" s="378">
        <f>+SUM(C100:Q100)</f>
        <v>67056.772815140517</v>
      </c>
      <c r="C100" s="367">
        <f>+C95+C98</f>
        <v>5565.2088292816061</v>
      </c>
      <c r="D100" s="367">
        <f t="shared" ref="D100:Q100" si="26">+D95+D98</f>
        <v>5602.6255229062153</v>
      </c>
      <c r="E100" s="367">
        <f t="shared" si="26"/>
        <v>5641.0449839199646</v>
      </c>
      <c r="F100" s="367">
        <f t="shared" si="26"/>
        <v>5680.4940864888822</v>
      </c>
      <c r="G100" s="367">
        <f t="shared" si="26"/>
        <v>5721.0004250066468</v>
      </c>
      <c r="H100" s="367">
        <f t="shared" si="26"/>
        <v>5762.5923333966875</v>
      </c>
      <c r="I100" s="367">
        <f t="shared" si="26"/>
        <v>5805.2989049315811</v>
      </c>
      <c r="J100" s="367">
        <f t="shared" si="26"/>
        <v>5849.1500125836101</v>
      </c>
      <c r="K100" s="367">
        <f t="shared" si="26"/>
        <v>5894.1763299207123</v>
      </c>
      <c r="L100" s="367">
        <f t="shared" si="26"/>
        <v>5940.4093525624503</v>
      </c>
      <c r="M100" s="367">
        <f t="shared" si="26"/>
        <v>1818.8178754297373</v>
      </c>
      <c r="N100" s="367">
        <f t="shared" si="26"/>
        <v>1867.5621944912541</v>
      </c>
      <c r="O100" s="367">
        <f t="shared" si="26"/>
        <v>1917.6128613036194</v>
      </c>
      <c r="P100" s="367">
        <f t="shared" si="26"/>
        <v>1969.0048859865565</v>
      </c>
      <c r="Q100" s="367">
        <f t="shared" si="26"/>
        <v>2021.7742169309959</v>
      </c>
    </row>
    <row r="101" spans="1:17" ht="14.4">
      <c r="A101" s="370"/>
      <c r="B101" s="379"/>
      <c r="C101" s="379"/>
      <c r="D101" s="379"/>
      <c r="E101" s="379"/>
      <c r="F101" s="379"/>
      <c r="G101" s="379"/>
      <c r="H101" s="379"/>
      <c r="I101" s="379"/>
      <c r="J101" s="379"/>
      <c r="K101" s="379"/>
      <c r="L101" s="379"/>
      <c r="M101" s="379"/>
      <c r="N101" s="379"/>
      <c r="O101" s="379"/>
      <c r="P101" s="379"/>
      <c r="Q101" s="379"/>
    </row>
    <row r="102" spans="1:17" ht="14.4">
      <c r="A102" s="364" t="s">
        <v>302</v>
      </c>
      <c r="B102" s="378">
        <f>+SUM(C102:Q102)</f>
        <v>1692521.6295328331</v>
      </c>
      <c r="C102" s="367">
        <f>+C87-C100</f>
        <v>91281.506678573714</v>
      </c>
      <c r="D102" s="367">
        <f t="shared" ref="D102:Q102" si="27">+D87-D100</f>
        <v>93839.581960559648</v>
      </c>
      <c r="E102" s="367">
        <f t="shared" si="27"/>
        <v>96466.213660102745</v>
      </c>
      <c r="F102" s="367">
        <f t="shared" si="27"/>
        <v>99163.239089193652</v>
      </c>
      <c r="G102" s="367">
        <f t="shared" si="27"/>
        <v>101932.54479978415</v>
      </c>
      <c r="H102" s="367">
        <f t="shared" si="27"/>
        <v>104776.0679034185</v>
      </c>
      <c r="I102" s="367">
        <f t="shared" si="27"/>
        <v>107695.79742623026</v>
      </c>
      <c r="J102" s="367">
        <f t="shared" si="27"/>
        <v>110693.77570025335</v>
      </c>
      <c r="K102" s="367">
        <f t="shared" si="27"/>
        <v>113772.09979202028</v>
      </c>
      <c r="L102" s="367">
        <f t="shared" si="27"/>
        <v>116932.92296944655</v>
      </c>
      <c r="M102" s="367">
        <f t="shared" si="27"/>
        <v>124347.51975280906</v>
      </c>
      <c r="N102" s="367">
        <f t="shared" si="27"/>
        <v>127680.03328218435</v>
      </c>
      <c r="O102" s="367">
        <f t="shared" si="27"/>
        <v>131101.85817414688</v>
      </c>
      <c r="P102" s="367">
        <f t="shared" si="27"/>
        <v>134615.387973214</v>
      </c>
      <c r="Q102" s="367">
        <f t="shared" si="27"/>
        <v>138223.08037089615</v>
      </c>
    </row>
    <row r="103" spans="1:17" ht="14.4">
      <c r="A103" s="364"/>
    </row>
    <row r="104" spans="1:17" ht="14.4">
      <c r="A104" s="364" t="s">
        <v>222</v>
      </c>
      <c r="B104" s="380">
        <f>+'WHRS_Project Scenario'!C39</f>
        <v>0.7</v>
      </c>
      <c r="C104" s="367">
        <f>IF((+$B$104*C102)&lt;0,"0",(+$B$104*C102))</f>
        <v>63897.054675001593</v>
      </c>
      <c r="D104" s="367">
        <f>IF((+$B$104*D102)&lt;0,"0",(+$B$104*D102))</f>
        <v>65687.707372391757</v>
      </c>
      <c r="E104" s="367">
        <f t="shared" ref="E104:Q104" si="28">IF((+$B$104*E102)&lt;0,"0",(+$B$104*E102))</f>
        <v>67526.349562071919</v>
      </c>
      <c r="F104" s="367">
        <f t="shared" si="28"/>
        <v>69414.267362435552</v>
      </c>
      <c r="G104" s="367">
        <f t="shared" si="28"/>
        <v>71352.781359848901</v>
      </c>
      <c r="H104" s="367">
        <f t="shared" si="28"/>
        <v>73343.247532392939</v>
      </c>
      <c r="I104" s="367">
        <f t="shared" si="28"/>
        <v>75387.058198361177</v>
      </c>
      <c r="J104" s="367">
        <f t="shared" si="28"/>
        <v>77485.642990177337</v>
      </c>
      <c r="K104" s="367">
        <f t="shared" si="28"/>
        <v>79640.469854414187</v>
      </c>
      <c r="L104" s="367">
        <f t="shared" si="28"/>
        <v>81853.046078612577</v>
      </c>
      <c r="M104" s="367">
        <f t="shared" si="28"/>
        <v>87043.263826966344</v>
      </c>
      <c r="N104" s="367">
        <f t="shared" si="28"/>
        <v>89376.023297529042</v>
      </c>
      <c r="O104" s="367">
        <f t="shared" si="28"/>
        <v>91771.300721902808</v>
      </c>
      <c r="P104" s="367">
        <f t="shared" si="28"/>
        <v>94230.771581249792</v>
      </c>
      <c r="Q104" s="367">
        <f t="shared" si="28"/>
        <v>96756.1562596273</v>
      </c>
    </row>
    <row r="105" spans="1:17" ht="14.4">
      <c r="A105" s="364" t="s">
        <v>303</v>
      </c>
      <c r="B105" s="378">
        <f>+SUM(C105:Q105)</f>
        <v>1184765.1406729834</v>
      </c>
      <c r="C105" s="367">
        <f>SUM(C104:C104)</f>
        <v>63897.054675001593</v>
      </c>
      <c r="D105" s="367">
        <f t="shared" ref="D105" si="29">SUM(D104:D104)</f>
        <v>65687.707372391757</v>
      </c>
      <c r="E105" s="367">
        <f t="shared" ref="E105" si="30">SUM(E104:E104)</f>
        <v>67526.349562071919</v>
      </c>
      <c r="F105" s="367">
        <f t="shared" ref="F105" si="31">SUM(F104:F104)</f>
        <v>69414.267362435552</v>
      </c>
      <c r="G105" s="367">
        <f t="shared" ref="G105" si="32">SUM(G104:G104)</f>
        <v>71352.781359848901</v>
      </c>
      <c r="H105" s="367">
        <f t="shared" ref="H105" si="33">SUM(H104:H104)</f>
        <v>73343.247532392939</v>
      </c>
      <c r="I105" s="367">
        <f t="shared" ref="I105" si="34">SUM(I104:I104)</f>
        <v>75387.058198361177</v>
      </c>
      <c r="J105" s="367">
        <f t="shared" ref="J105" si="35">SUM(J104:J104)</f>
        <v>77485.642990177337</v>
      </c>
      <c r="K105" s="367">
        <f t="shared" ref="K105" si="36">SUM(K104:K104)</f>
        <v>79640.469854414187</v>
      </c>
      <c r="L105" s="367">
        <f t="shared" ref="L105" si="37">SUM(L104:L104)</f>
        <v>81853.046078612577</v>
      </c>
      <c r="M105" s="367">
        <f t="shared" ref="M105" si="38">SUM(M104:M104)</f>
        <v>87043.263826966344</v>
      </c>
      <c r="N105" s="367">
        <f t="shared" ref="N105" si="39">SUM(N104:N104)</f>
        <v>89376.023297529042</v>
      </c>
      <c r="O105" s="367">
        <f t="shared" ref="O105" si="40">SUM(O104:O104)</f>
        <v>91771.300721902808</v>
      </c>
      <c r="P105" s="367">
        <f t="shared" ref="P105" si="41">SUM(P104:P104)</f>
        <v>94230.771581249792</v>
      </c>
      <c r="Q105" s="367">
        <f t="shared" ref="Q105" si="42">SUM(Q104:Q104)</f>
        <v>96756.1562596273</v>
      </c>
    </row>
    <row r="106" spans="1:17" ht="14.4">
      <c r="A106" s="369"/>
    </row>
    <row r="107" spans="1:17" ht="14.4">
      <c r="A107" s="364" t="s">
        <v>304</v>
      </c>
      <c r="B107" s="378">
        <f t="shared" ref="B107:B109" si="43">+SUM(C107:Q107)</f>
        <v>507756.48885985004</v>
      </c>
      <c r="C107" s="367">
        <f>C102-C105</f>
        <v>27384.452003572122</v>
      </c>
      <c r="D107" s="367">
        <f t="shared" ref="D107:Q107" si="44">D102-D105</f>
        <v>28151.874588167891</v>
      </c>
      <c r="E107" s="367">
        <f t="shared" si="44"/>
        <v>28939.864098030826</v>
      </c>
      <c r="F107" s="367">
        <f t="shared" si="44"/>
        <v>29748.9717267581</v>
      </c>
      <c r="G107" s="367">
        <f t="shared" si="44"/>
        <v>30579.763439935254</v>
      </c>
      <c r="H107" s="367">
        <f t="shared" si="44"/>
        <v>31432.820371025562</v>
      </c>
      <c r="I107" s="367">
        <f t="shared" si="44"/>
        <v>32308.739227869082</v>
      </c>
      <c r="J107" s="367">
        <f t="shared" si="44"/>
        <v>33208.13271007601</v>
      </c>
      <c r="K107" s="367">
        <f t="shared" si="44"/>
        <v>34131.629937606092</v>
      </c>
      <c r="L107" s="367">
        <f t="shared" si="44"/>
        <v>35079.87689083397</v>
      </c>
      <c r="M107" s="367">
        <f t="shared" si="44"/>
        <v>37304.255925842721</v>
      </c>
      <c r="N107" s="367">
        <f t="shared" si="44"/>
        <v>38304.009984655306</v>
      </c>
      <c r="O107" s="367">
        <f t="shared" si="44"/>
        <v>39330.557452244073</v>
      </c>
      <c r="P107" s="367">
        <f t="shared" si="44"/>
        <v>40384.616391964213</v>
      </c>
      <c r="Q107" s="367">
        <f t="shared" si="44"/>
        <v>41466.924111268847</v>
      </c>
    </row>
    <row r="108" spans="1:17" ht="14.4">
      <c r="A108" s="364" t="s">
        <v>305</v>
      </c>
      <c r="B108" s="381">
        <f t="shared" si="43"/>
        <v>41690.635447812499</v>
      </c>
      <c r="C108" s="381">
        <f>+C97</f>
        <v>4169.0635447812492</v>
      </c>
      <c r="D108" s="381">
        <f t="shared" ref="D108:Q108" si="45">+D97</f>
        <v>4169.0635447812492</v>
      </c>
      <c r="E108" s="381">
        <f t="shared" si="45"/>
        <v>4169.0635447812492</v>
      </c>
      <c r="F108" s="381">
        <f t="shared" si="45"/>
        <v>4169.0635447812492</v>
      </c>
      <c r="G108" s="381">
        <f t="shared" si="45"/>
        <v>4169.0635447812492</v>
      </c>
      <c r="H108" s="381">
        <f t="shared" si="45"/>
        <v>4169.0635447812492</v>
      </c>
      <c r="I108" s="381">
        <f t="shared" si="45"/>
        <v>4169.0635447812492</v>
      </c>
      <c r="J108" s="381">
        <f t="shared" si="45"/>
        <v>4169.0635447812492</v>
      </c>
      <c r="K108" s="381">
        <f t="shared" si="45"/>
        <v>4169.0635447812492</v>
      </c>
      <c r="L108" s="381">
        <f t="shared" si="45"/>
        <v>4169.0635447812492</v>
      </c>
      <c r="M108" s="381">
        <f t="shared" si="45"/>
        <v>0</v>
      </c>
      <c r="N108" s="381">
        <f t="shared" si="45"/>
        <v>0</v>
      </c>
      <c r="O108" s="381">
        <f t="shared" si="45"/>
        <v>0</v>
      </c>
      <c r="P108" s="381">
        <f t="shared" si="45"/>
        <v>0</v>
      </c>
      <c r="Q108" s="381">
        <f t="shared" si="45"/>
        <v>0</v>
      </c>
    </row>
    <row r="109" spans="1:17" ht="14.4">
      <c r="A109" s="364" t="s">
        <v>306</v>
      </c>
      <c r="B109" s="378">
        <f t="shared" si="43"/>
        <v>0</v>
      </c>
      <c r="C109" s="367">
        <f>+'WHRS_Project Scenario'!D82</f>
        <v>0</v>
      </c>
      <c r="D109" s="367">
        <f>+'WHRS_Project Scenario'!E82</f>
        <v>0</v>
      </c>
      <c r="E109" s="367">
        <f>+'WHRS_Project Scenario'!F82</f>
        <v>0</v>
      </c>
      <c r="F109" s="367">
        <f>+'WHRS_Project Scenario'!G82</f>
        <v>0</v>
      </c>
      <c r="G109" s="367">
        <f>+'WHRS_Project Scenario'!H82</f>
        <v>0</v>
      </c>
      <c r="H109" s="367">
        <f>+'WHRS_Project Scenario'!I82</f>
        <v>0</v>
      </c>
      <c r="I109" s="367">
        <f>+'WHRS_Project Scenario'!J82</f>
        <v>0</v>
      </c>
      <c r="J109" s="367">
        <f>+'WHRS_Project Scenario'!K82</f>
        <v>0</v>
      </c>
      <c r="K109" s="367">
        <f>+'WHRS_Project Scenario'!L82</f>
        <v>0</v>
      </c>
      <c r="L109" s="367">
        <f>+'WHRS_Project Scenario'!M82</f>
        <v>0</v>
      </c>
      <c r="M109" s="367">
        <f>+'WHRS_Project Scenario'!N82</f>
        <v>0</v>
      </c>
      <c r="N109" s="367">
        <f>+'WHRS_Project Scenario'!O82</f>
        <v>0</v>
      </c>
      <c r="O109" s="367">
        <f>+'WHRS_Project Scenario'!P82</f>
        <v>0</v>
      </c>
      <c r="P109" s="367">
        <f>+'WHRS_Project Scenario'!Q82</f>
        <v>0</v>
      </c>
      <c r="Q109" s="367">
        <f>+'WHRS_Project Scenario'!R82</f>
        <v>0</v>
      </c>
    </row>
    <row r="110" spans="1:17" ht="14.4">
      <c r="A110" s="364"/>
    </row>
    <row r="111" spans="1:17" ht="14.4">
      <c r="A111" s="364" t="s">
        <v>110</v>
      </c>
      <c r="B111" s="381">
        <f>-'WHRS_Project Scenario'!C8*(1+'WHRS Sensitivity Analysis'!$C$6)</f>
        <v>-41690.635447812492</v>
      </c>
      <c r="C111" s="367">
        <f>C107+C108+C109</f>
        <v>31553.515548353371</v>
      </c>
      <c r="D111" s="367">
        <f t="shared" ref="D111:Q111" si="46">D107+D108+D109</f>
        <v>32320.938132949141</v>
      </c>
      <c r="E111" s="367">
        <f t="shared" si="46"/>
        <v>33108.927642812079</v>
      </c>
      <c r="F111" s="367">
        <f t="shared" si="46"/>
        <v>33918.035271539353</v>
      </c>
      <c r="G111" s="367">
        <f t="shared" si="46"/>
        <v>34748.826984716507</v>
      </c>
      <c r="H111" s="367">
        <f t="shared" si="46"/>
        <v>35601.883915806815</v>
      </c>
      <c r="I111" s="367">
        <f t="shared" si="46"/>
        <v>36477.802772650335</v>
      </c>
      <c r="J111" s="367">
        <f t="shared" si="46"/>
        <v>37377.196254857263</v>
      </c>
      <c r="K111" s="367">
        <f t="shared" si="46"/>
        <v>38300.693482387345</v>
      </c>
      <c r="L111" s="367">
        <f t="shared" si="46"/>
        <v>39248.940435615223</v>
      </c>
      <c r="M111" s="367">
        <f t="shared" si="46"/>
        <v>37304.255925842721</v>
      </c>
      <c r="N111" s="367">
        <f t="shared" si="46"/>
        <v>38304.009984655306</v>
      </c>
      <c r="O111" s="367">
        <f t="shared" si="46"/>
        <v>39330.557452244073</v>
      </c>
      <c r="P111" s="367">
        <f t="shared" si="46"/>
        <v>40384.616391964213</v>
      </c>
      <c r="Q111" s="367">
        <f t="shared" si="46"/>
        <v>41466.924111268847</v>
      </c>
    </row>
    <row r="112" spans="1:17" ht="15.6">
      <c r="A112" s="364" t="s">
        <v>51</v>
      </c>
      <c r="B112" s="132">
        <f>IRR(B111:Q111)</f>
        <v>0.78085811420762141</v>
      </c>
    </row>
    <row r="113" spans="1:17" ht="15.6">
      <c r="A113" s="364" t="s">
        <v>267</v>
      </c>
      <c r="B113" s="303">
        <f>NPV('Initial Data'!C21/100,B111:Q111)</f>
        <v>177302.2829820764</v>
      </c>
    </row>
    <row r="115" spans="1:17" ht="14.4">
      <c r="A115" s="508" t="s">
        <v>289</v>
      </c>
      <c r="B115" s="509"/>
      <c r="C115" s="509"/>
      <c r="D115" s="509"/>
      <c r="E115" s="509"/>
      <c r="F115" s="509"/>
      <c r="G115" s="509"/>
      <c r="H115" s="509"/>
      <c r="I115" s="509"/>
      <c r="J115" s="509"/>
      <c r="K115" s="509"/>
      <c r="L115" s="509"/>
      <c r="M115" s="509"/>
      <c r="N115" s="509"/>
      <c r="O115" s="509"/>
      <c r="P115" s="509"/>
      <c r="Q115" s="509"/>
    </row>
    <row r="116" spans="1:17" ht="14.4">
      <c r="A116" s="371" t="s">
        <v>308</v>
      </c>
      <c r="B116" s="372"/>
      <c r="C116" s="372"/>
      <c r="D116" s="372"/>
      <c r="E116" s="372"/>
      <c r="F116" s="372"/>
      <c r="G116" s="372"/>
      <c r="H116" s="372"/>
      <c r="I116" s="372"/>
      <c r="J116" s="372"/>
      <c r="K116" s="372"/>
      <c r="L116" s="372"/>
      <c r="M116" s="372"/>
      <c r="N116" s="372"/>
      <c r="O116" s="372"/>
      <c r="P116" s="372"/>
      <c r="Q116" s="372"/>
    </row>
    <row r="117" spans="1:17" ht="27">
      <c r="A117" s="376"/>
      <c r="B117" s="304" t="s">
        <v>35</v>
      </c>
      <c r="C117" s="352" t="s">
        <v>407</v>
      </c>
      <c r="D117" s="352" t="s">
        <v>408</v>
      </c>
      <c r="E117" s="352" t="s">
        <v>409</v>
      </c>
      <c r="F117" s="352" t="s">
        <v>410</v>
      </c>
      <c r="G117" s="352" t="s">
        <v>411</v>
      </c>
      <c r="H117" s="352" t="s">
        <v>412</v>
      </c>
      <c r="I117" s="352" t="s">
        <v>413</v>
      </c>
      <c r="J117" s="352" t="s">
        <v>414</v>
      </c>
      <c r="K117" s="352" t="s">
        <v>415</v>
      </c>
      <c r="L117" s="352" t="s">
        <v>416</v>
      </c>
      <c r="M117" s="352" t="s">
        <v>417</v>
      </c>
      <c r="N117" s="352" t="s">
        <v>418</v>
      </c>
      <c r="O117" s="352" t="s">
        <v>419</v>
      </c>
      <c r="P117" s="352" t="s">
        <v>420</v>
      </c>
      <c r="Q117" s="352" t="s">
        <v>421</v>
      </c>
    </row>
    <row r="118" spans="1:17" ht="14.4">
      <c r="A118" s="363" t="s">
        <v>290</v>
      </c>
      <c r="B118" s="365"/>
      <c r="C118" s="367">
        <f>+'WHRS_Project Scenario'!D15</f>
        <v>215214.92335078961</v>
      </c>
      <c r="D118" s="367">
        <f>+'WHRS_Project Scenario'!E15</f>
        <v>215214.92335078961</v>
      </c>
      <c r="E118" s="367">
        <f>+'WHRS_Project Scenario'!F15</f>
        <v>215214.92335078961</v>
      </c>
      <c r="F118" s="367">
        <f>+'WHRS_Project Scenario'!G15</f>
        <v>215214.92335078961</v>
      </c>
      <c r="G118" s="367">
        <f>+'WHRS_Project Scenario'!H15</f>
        <v>215214.92335078961</v>
      </c>
      <c r="H118" s="367">
        <f>+'WHRS_Project Scenario'!I15</f>
        <v>215214.92335078961</v>
      </c>
      <c r="I118" s="367">
        <f>+'WHRS_Project Scenario'!J15</f>
        <v>215214.92335078961</v>
      </c>
      <c r="J118" s="367">
        <f>+'WHRS_Project Scenario'!K15</f>
        <v>215214.92335078961</v>
      </c>
      <c r="K118" s="367">
        <f>+'WHRS_Project Scenario'!L15</f>
        <v>215214.92335078961</v>
      </c>
      <c r="L118" s="367">
        <f>+'WHRS_Project Scenario'!M15</f>
        <v>215214.92335078961</v>
      </c>
      <c r="M118" s="367">
        <f>+'WHRS_Project Scenario'!N15</f>
        <v>215214.92335078961</v>
      </c>
      <c r="N118" s="367">
        <f>+'WHRS_Project Scenario'!O15</f>
        <v>215214.92335078961</v>
      </c>
      <c r="O118" s="367">
        <f>+'WHRS_Project Scenario'!P15</f>
        <v>215214.92335078961</v>
      </c>
      <c r="P118" s="367">
        <f>+'WHRS_Project Scenario'!Q15</f>
        <v>215214.92335078961</v>
      </c>
      <c r="Q118" s="367">
        <f>+'WHRS_Project Scenario'!R15</f>
        <v>215214.92335078961</v>
      </c>
    </row>
    <row r="119" spans="1:17" ht="14.4">
      <c r="A119" s="364" t="s">
        <v>291</v>
      </c>
      <c r="B119" s="365"/>
      <c r="C119" s="367">
        <f>+'WHRS_Project Scenario'!D16</f>
        <v>70</v>
      </c>
      <c r="D119" s="367">
        <f>+'WHRS_Project Scenario'!E16</f>
        <v>70</v>
      </c>
      <c r="E119" s="367">
        <f>+'WHRS_Project Scenario'!F16</f>
        <v>70</v>
      </c>
      <c r="F119" s="367">
        <f>+'WHRS_Project Scenario'!G16</f>
        <v>70</v>
      </c>
      <c r="G119" s="367">
        <f>+'WHRS_Project Scenario'!H16</f>
        <v>70</v>
      </c>
      <c r="H119" s="367">
        <f>+'WHRS_Project Scenario'!I16</f>
        <v>70</v>
      </c>
      <c r="I119" s="367">
        <f>+'WHRS_Project Scenario'!J16</f>
        <v>70</v>
      </c>
      <c r="J119" s="367">
        <f>+'WHRS_Project Scenario'!K16</f>
        <v>70</v>
      </c>
      <c r="K119" s="367">
        <f>+'WHRS_Project Scenario'!L16</f>
        <v>70</v>
      </c>
      <c r="L119" s="367">
        <f>+'WHRS_Project Scenario'!M16</f>
        <v>70</v>
      </c>
      <c r="M119" s="367">
        <f>+'WHRS_Project Scenario'!N16</f>
        <v>70</v>
      </c>
      <c r="N119" s="367">
        <f>+'WHRS_Project Scenario'!O16</f>
        <v>70</v>
      </c>
      <c r="O119" s="367">
        <f>+'WHRS_Project Scenario'!P16</f>
        <v>70</v>
      </c>
      <c r="P119" s="367">
        <f>+'WHRS_Project Scenario'!Q16</f>
        <v>70</v>
      </c>
      <c r="Q119" s="367">
        <f>+'WHRS_Project Scenario'!R16</f>
        <v>70</v>
      </c>
    </row>
    <row r="120" spans="1:17" ht="14.4">
      <c r="A120" s="366" t="s">
        <v>292</v>
      </c>
      <c r="B120" s="365"/>
      <c r="C120" s="375">
        <f>+'WHRS_Project Scenario'!D17</f>
        <v>6.4285714285714288</v>
      </c>
      <c r="D120" s="375">
        <f>+'WHRS_Project Scenario'!E17</f>
        <v>6.6008571428571425</v>
      </c>
      <c r="E120" s="375">
        <f>+'WHRS_Project Scenario'!F17</f>
        <v>6.7777601142857131</v>
      </c>
      <c r="F120" s="375">
        <f>+'WHRS_Project Scenario'!G17</f>
        <v>6.9594040853485701</v>
      </c>
      <c r="G120" s="375">
        <f>+'WHRS_Project Scenario'!H17</f>
        <v>7.1459161148359112</v>
      </c>
      <c r="H120" s="375">
        <f>+'WHRS_Project Scenario'!I17</f>
        <v>7.3374266667135135</v>
      </c>
      <c r="I120" s="375">
        <f>+'WHRS_Project Scenario'!J17</f>
        <v>7.5340697013814353</v>
      </c>
      <c r="J120" s="375">
        <f>+'WHRS_Project Scenario'!K17</f>
        <v>7.7359827693784569</v>
      </c>
      <c r="K120" s="375">
        <f>+'WHRS_Project Scenario'!L17</f>
        <v>7.943307107597799</v>
      </c>
      <c r="L120" s="375">
        <f>+'WHRS_Project Scenario'!M17</f>
        <v>8.1561877380814192</v>
      </c>
      <c r="M120" s="375">
        <f>+'WHRS_Project Scenario'!N17</f>
        <v>8.3747735694620005</v>
      </c>
      <c r="N120" s="375">
        <f>+'WHRS_Project Scenario'!O17</f>
        <v>8.5992175011235812</v>
      </c>
      <c r="O120" s="375">
        <f>+'WHRS_Project Scenario'!P17</f>
        <v>8.8296765301536926</v>
      </c>
      <c r="P120" s="375">
        <f>+'WHRS_Project Scenario'!Q17</f>
        <v>9.066311861161811</v>
      </c>
      <c r="Q120" s="375">
        <f>+'WHRS_Project Scenario'!R17</f>
        <v>9.3092890190409463</v>
      </c>
    </row>
    <row r="121" spans="1:17" ht="14.4">
      <c r="A121" s="366" t="s">
        <v>293</v>
      </c>
      <c r="B121" s="365"/>
      <c r="C121" s="367">
        <f>+'WHRS_Project Scenario'!D18</f>
        <v>450</v>
      </c>
      <c r="D121" s="367">
        <f>+'WHRS_Project Scenario'!E18</f>
        <v>462.06</v>
      </c>
      <c r="E121" s="367">
        <f>+'WHRS_Project Scenario'!F18</f>
        <v>474.44320799999991</v>
      </c>
      <c r="F121" s="367">
        <f>+'WHRS_Project Scenario'!G18</f>
        <v>487.15828597439992</v>
      </c>
      <c r="G121" s="367">
        <f>+'WHRS_Project Scenario'!H18</f>
        <v>500.21412803851376</v>
      </c>
      <c r="H121" s="367">
        <f>+'WHRS_Project Scenario'!I18</f>
        <v>513.61986666994596</v>
      </c>
      <c r="I121" s="367">
        <f>+'WHRS_Project Scenario'!J18</f>
        <v>527.3848790967005</v>
      </c>
      <c r="J121" s="367">
        <f>+'WHRS_Project Scenario'!K18</f>
        <v>541.51879385649192</v>
      </c>
      <c r="K121" s="367">
        <f>+'WHRS_Project Scenario'!L18</f>
        <v>556.03149753184596</v>
      </c>
      <c r="L121" s="367">
        <f>+'WHRS_Project Scenario'!M18</f>
        <v>570.9331416656994</v>
      </c>
      <c r="M121" s="367">
        <f>+'WHRS_Project Scenario'!N18</f>
        <v>586.23414986234002</v>
      </c>
      <c r="N121" s="367">
        <f>+'WHRS_Project Scenario'!O18</f>
        <v>601.94522507865065</v>
      </c>
      <c r="O121" s="367">
        <f>+'WHRS_Project Scenario'!P18</f>
        <v>618.0773571107585</v>
      </c>
      <c r="P121" s="367">
        <f>+'WHRS_Project Scenario'!Q18</f>
        <v>634.64183028132675</v>
      </c>
      <c r="Q121" s="367">
        <f>+'WHRS_Project Scenario'!R18</f>
        <v>651.65023133286627</v>
      </c>
    </row>
    <row r="122" spans="1:17" ht="14.4">
      <c r="A122" s="370"/>
      <c r="B122" s="373"/>
      <c r="C122" s="373"/>
      <c r="D122" s="373"/>
      <c r="E122" s="373"/>
      <c r="F122" s="373"/>
      <c r="G122" s="373"/>
      <c r="H122" s="373"/>
      <c r="I122" s="373"/>
      <c r="J122" s="373"/>
      <c r="K122" s="373"/>
      <c r="L122" s="373"/>
      <c r="M122" s="373"/>
      <c r="N122" s="373"/>
      <c r="O122" s="373"/>
      <c r="P122" s="373"/>
      <c r="Q122" s="373"/>
    </row>
    <row r="123" spans="1:17" ht="14.4">
      <c r="A123" s="366" t="s">
        <v>294</v>
      </c>
      <c r="B123" s="378">
        <f>+SUM(C123:Q123)</f>
        <v>1759578.4023479735</v>
      </c>
      <c r="C123" s="367">
        <f>+'WHRS_Project Scenario'!D20</f>
        <v>96846.715507855319</v>
      </c>
      <c r="D123" s="367">
        <f>+'WHRS_Project Scenario'!E20</f>
        <v>99442.207483465856</v>
      </c>
      <c r="E123" s="367">
        <f>+'WHRS_Project Scenario'!F20</f>
        <v>102107.25864402272</v>
      </c>
      <c r="F123" s="367">
        <f>+'WHRS_Project Scenario'!G20</f>
        <v>104843.73317568253</v>
      </c>
      <c r="G123" s="367">
        <f>+'WHRS_Project Scenario'!H20</f>
        <v>107653.5452247908</v>
      </c>
      <c r="H123" s="367">
        <f>+'WHRS_Project Scenario'!I20</f>
        <v>110538.66023681519</v>
      </c>
      <c r="I123" s="367">
        <f>+'WHRS_Project Scenario'!J20</f>
        <v>113501.09633116184</v>
      </c>
      <c r="J123" s="367">
        <f>+'WHRS_Project Scenario'!K20</f>
        <v>116542.92571283695</v>
      </c>
      <c r="K123" s="367">
        <f>+'WHRS_Project Scenario'!L20</f>
        <v>119666.27612194099</v>
      </c>
      <c r="L123" s="367">
        <f>+'WHRS_Project Scenario'!M20</f>
        <v>122873.332322009</v>
      </c>
      <c r="M123" s="367">
        <f>+'WHRS_Project Scenario'!N20</f>
        <v>126166.33762823881</v>
      </c>
      <c r="N123" s="367">
        <f>+'WHRS_Project Scenario'!O20</f>
        <v>129547.5954766756</v>
      </c>
      <c r="O123" s="367">
        <f>+'WHRS_Project Scenario'!P20</f>
        <v>133019.47103545049</v>
      </c>
      <c r="P123" s="367">
        <f>+'WHRS_Project Scenario'!Q20</f>
        <v>136584.39285920057</v>
      </c>
      <c r="Q123" s="367">
        <f>+'WHRS_Project Scenario'!R20</f>
        <v>140244.85458782714</v>
      </c>
    </row>
    <row r="124" spans="1:17" ht="14.4">
      <c r="A124" s="370"/>
      <c r="B124" s="373"/>
      <c r="C124" s="373"/>
      <c r="D124" s="373"/>
      <c r="E124" s="373"/>
      <c r="F124" s="373"/>
      <c r="G124" s="373"/>
      <c r="H124" s="373"/>
      <c r="I124" s="373"/>
      <c r="J124" s="373"/>
      <c r="K124" s="373"/>
      <c r="L124" s="373"/>
      <c r="M124" s="373"/>
      <c r="N124" s="373"/>
      <c r="O124" s="373"/>
      <c r="P124" s="373"/>
      <c r="Q124" s="373"/>
    </row>
    <row r="125" spans="1:17" ht="14.4">
      <c r="A125" s="366" t="s">
        <v>295</v>
      </c>
      <c r="B125" s="378">
        <f>+SUM(C125:Q125)</f>
        <v>1759578.4023479735</v>
      </c>
      <c r="C125" s="367">
        <f>+'WHRS_Project Scenario'!D22</f>
        <v>96846.715507855319</v>
      </c>
      <c r="D125" s="367">
        <f>+'WHRS_Project Scenario'!E22</f>
        <v>99442.207483465856</v>
      </c>
      <c r="E125" s="367">
        <f>+'WHRS_Project Scenario'!F22</f>
        <v>102107.25864402272</v>
      </c>
      <c r="F125" s="367">
        <f>+'WHRS_Project Scenario'!G22</f>
        <v>104843.73317568253</v>
      </c>
      <c r="G125" s="367">
        <f>+'WHRS_Project Scenario'!H22</f>
        <v>107653.5452247908</v>
      </c>
      <c r="H125" s="367">
        <f>+'WHRS_Project Scenario'!I22</f>
        <v>110538.66023681519</v>
      </c>
      <c r="I125" s="367">
        <f>+'WHRS_Project Scenario'!J22</f>
        <v>113501.09633116184</v>
      </c>
      <c r="J125" s="367">
        <f>+'WHRS_Project Scenario'!K22</f>
        <v>116542.92571283695</v>
      </c>
      <c r="K125" s="367">
        <f>+'WHRS_Project Scenario'!L22</f>
        <v>119666.27612194099</v>
      </c>
      <c r="L125" s="367">
        <f>+'WHRS_Project Scenario'!M22</f>
        <v>122873.332322009</v>
      </c>
      <c r="M125" s="367">
        <f>+'WHRS_Project Scenario'!N22</f>
        <v>126166.33762823881</v>
      </c>
      <c r="N125" s="367">
        <f>+'WHRS_Project Scenario'!O22</f>
        <v>129547.5954766756</v>
      </c>
      <c r="O125" s="367">
        <f>+'WHRS_Project Scenario'!P22</f>
        <v>133019.47103545049</v>
      </c>
      <c r="P125" s="367">
        <f>+'WHRS_Project Scenario'!Q22</f>
        <v>136584.39285920057</v>
      </c>
      <c r="Q125" s="367">
        <f>+'WHRS_Project Scenario'!R22</f>
        <v>140244.85458782714</v>
      </c>
    </row>
    <row r="126" spans="1:17" ht="14.4">
      <c r="A126" s="370"/>
      <c r="B126" s="374"/>
      <c r="C126" s="374"/>
      <c r="D126" s="374"/>
      <c r="E126" s="374"/>
      <c r="F126" s="374"/>
      <c r="G126" s="374"/>
      <c r="H126" s="374"/>
      <c r="I126" s="374"/>
      <c r="J126" s="374"/>
      <c r="K126" s="374"/>
      <c r="L126" s="374"/>
      <c r="M126" s="374"/>
      <c r="N126" s="374"/>
      <c r="O126" s="374"/>
      <c r="P126" s="374"/>
      <c r="Q126" s="374"/>
    </row>
    <row r="127" spans="1:17" ht="14.4">
      <c r="A127" s="366" t="s">
        <v>68</v>
      </c>
      <c r="B127" s="368"/>
      <c r="C127" s="368"/>
      <c r="D127" s="368"/>
      <c r="E127" s="368"/>
      <c r="F127" s="368"/>
      <c r="G127" s="368"/>
      <c r="H127" s="368"/>
      <c r="I127" s="368"/>
      <c r="J127" s="368"/>
      <c r="K127" s="368"/>
      <c r="L127" s="368"/>
      <c r="M127" s="368"/>
      <c r="N127" s="368"/>
      <c r="O127" s="368"/>
      <c r="P127" s="368"/>
      <c r="Q127" s="368"/>
    </row>
    <row r="128" spans="1:17" ht="14.4">
      <c r="A128" s="366" t="s">
        <v>296</v>
      </c>
      <c r="B128" s="378">
        <f>+SUM(C128:Q128)</f>
        <v>11529.370291765843</v>
      </c>
      <c r="C128" s="367">
        <f>+'WHRS_Project Scenario'!D25</f>
        <v>634.57339732142862</v>
      </c>
      <c r="D128" s="367">
        <f>+'WHRS_Project Scenario'!E25</f>
        <v>651.57996436964288</v>
      </c>
      <c r="E128" s="367">
        <f>+'WHRS_Project Scenario'!F25</f>
        <v>669.0423074147493</v>
      </c>
      <c r="F128" s="367">
        <f>+'WHRS_Project Scenario'!G25</f>
        <v>686.97264125346453</v>
      </c>
      <c r="G128" s="367">
        <f>+'WHRS_Project Scenario'!H25</f>
        <v>705.38350803905735</v>
      </c>
      <c r="H128" s="367">
        <f>+'WHRS_Project Scenario'!I25</f>
        <v>724.28778605450407</v>
      </c>
      <c r="I128" s="367">
        <f>+'WHRS_Project Scenario'!J25</f>
        <v>743.6986987207647</v>
      </c>
      <c r="J128" s="367">
        <f>+'WHRS_Project Scenario'!K25</f>
        <v>763.62982384648114</v>
      </c>
      <c r="K128" s="367">
        <f>+'WHRS_Project Scenario'!L25</f>
        <v>784.09510312556677</v>
      </c>
      <c r="L128" s="367">
        <f>+'WHRS_Project Scenario'!M25</f>
        <v>805.10885188933196</v>
      </c>
      <c r="M128" s="367">
        <f>+'WHRS_Project Scenario'!N25</f>
        <v>826.68576911996604</v>
      </c>
      <c r="N128" s="367">
        <f>+'WHRS_Project Scenario'!O25</f>
        <v>848.8409477323811</v>
      </c>
      <c r="O128" s="367">
        <f>+'WHRS_Project Scenario'!P25</f>
        <v>871.58988513160887</v>
      </c>
      <c r="P128" s="367">
        <f>+'WHRS_Project Scenario'!Q25</f>
        <v>894.94849405313596</v>
      </c>
      <c r="Q128" s="367">
        <f>+'WHRS_Project Scenario'!R25</f>
        <v>918.93311369375999</v>
      </c>
    </row>
    <row r="129" spans="1:17" ht="14.4">
      <c r="A129" s="366" t="s">
        <v>297</v>
      </c>
      <c r="B129" s="378">
        <f>+SUM(C129:Q129)</f>
        <v>13836.767075562184</v>
      </c>
      <c r="C129" s="367">
        <f>+'WHRS_Project Scenario'!D26</f>
        <v>761.57188717892848</v>
      </c>
      <c r="D129" s="367">
        <f>+'WHRS_Project Scenario'!E26</f>
        <v>781.98201375532369</v>
      </c>
      <c r="E129" s="367">
        <f>+'WHRS_Project Scenario'!F26</f>
        <v>802.93913172396628</v>
      </c>
      <c r="F129" s="367">
        <f>+'WHRS_Project Scenario'!G26</f>
        <v>824.45790045416857</v>
      </c>
      <c r="G129" s="367">
        <f>+'WHRS_Project Scenario'!H26</f>
        <v>846.5533721863402</v>
      </c>
      <c r="H129" s="367">
        <f>+'WHRS_Project Scenario'!I26</f>
        <v>869.24100256093402</v>
      </c>
      <c r="I129" s="367">
        <f>+'WHRS_Project Scenario'!J26</f>
        <v>892.53666142956695</v>
      </c>
      <c r="J129" s="367">
        <f>+'WHRS_Project Scenario'!K26</f>
        <v>916.45664395587926</v>
      </c>
      <c r="K129" s="367">
        <f>+'WHRS_Project Scenario'!L26</f>
        <v>941.01768201389677</v>
      </c>
      <c r="L129" s="367">
        <f>+'WHRS_Project Scenario'!M26</f>
        <v>966.23695589186912</v>
      </c>
      <c r="M129" s="367">
        <f>+'WHRS_Project Scenario'!N26</f>
        <v>992.13210630977119</v>
      </c>
      <c r="N129" s="367">
        <f>+'WHRS_Project Scenario'!O26</f>
        <v>1018.721246758873</v>
      </c>
      <c r="O129" s="367">
        <f>+'WHRS_Project Scenario'!P26</f>
        <v>1046.0229761720107</v>
      </c>
      <c r="P129" s="367">
        <f>+'WHRS_Project Scenario'!Q26</f>
        <v>1074.0563919334204</v>
      </c>
      <c r="Q129" s="367">
        <f>+'WHRS_Project Scenario'!R26</f>
        <v>1102.841103237236</v>
      </c>
    </row>
    <row r="130" spans="1:17" ht="14.4">
      <c r="A130" s="370"/>
      <c r="B130" s="369"/>
      <c r="C130" s="369"/>
      <c r="D130" s="369"/>
      <c r="E130" s="369"/>
      <c r="F130" s="369"/>
      <c r="G130" s="369"/>
      <c r="H130" s="369"/>
      <c r="I130" s="369"/>
      <c r="J130" s="369"/>
      <c r="K130" s="369"/>
      <c r="L130" s="369"/>
      <c r="M130" s="369"/>
      <c r="N130" s="369"/>
      <c r="O130" s="369"/>
      <c r="P130" s="369"/>
      <c r="Q130" s="369"/>
    </row>
    <row r="131" spans="1:17" ht="14.4">
      <c r="A131" s="366" t="s">
        <v>71</v>
      </c>
      <c r="B131" s="379"/>
      <c r="C131" s="379"/>
      <c r="D131" s="379"/>
      <c r="E131" s="379"/>
      <c r="F131" s="379"/>
      <c r="G131" s="379"/>
      <c r="H131" s="379"/>
      <c r="I131" s="379"/>
      <c r="J131" s="379"/>
      <c r="K131" s="379"/>
      <c r="L131" s="379"/>
      <c r="M131" s="379"/>
      <c r="N131" s="379"/>
      <c r="O131" s="379"/>
      <c r="P131" s="379"/>
      <c r="Q131" s="379"/>
    </row>
    <row r="132" spans="1:17" ht="14.4">
      <c r="A132" s="370"/>
      <c r="B132" s="379"/>
      <c r="C132" s="379"/>
      <c r="D132" s="379"/>
      <c r="E132" s="379"/>
      <c r="F132" s="379"/>
      <c r="G132" s="379"/>
      <c r="H132" s="379"/>
      <c r="I132" s="379"/>
      <c r="J132" s="379"/>
      <c r="K132" s="379"/>
      <c r="L132" s="379"/>
      <c r="M132" s="379"/>
      <c r="N132" s="379"/>
      <c r="O132" s="379"/>
      <c r="P132" s="379"/>
      <c r="Q132" s="379"/>
    </row>
    <row r="133" spans="1:17" ht="14.4">
      <c r="A133" s="366" t="s">
        <v>298</v>
      </c>
      <c r="B133" s="378">
        <f>+SUM(C133:Q133)</f>
        <v>25366.137367328029</v>
      </c>
      <c r="C133" s="367">
        <f>SUM(C128:C129)</f>
        <v>1396.1452845003571</v>
      </c>
      <c r="D133" s="367">
        <f t="shared" ref="D133:Q133" si="47">SUM(D128:D129)</f>
        <v>1433.5619781249666</v>
      </c>
      <c r="E133" s="367">
        <f t="shared" si="47"/>
        <v>1471.9814391387156</v>
      </c>
      <c r="F133" s="367">
        <f t="shared" si="47"/>
        <v>1511.430541707633</v>
      </c>
      <c r="G133" s="367">
        <f t="shared" si="47"/>
        <v>1551.9368802253975</v>
      </c>
      <c r="H133" s="367">
        <f t="shared" si="47"/>
        <v>1593.5287886154381</v>
      </c>
      <c r="I133" s="367">
        <f t="shared" si="47"/>
        <v>1636.2353601503316</v>
      </c>
      <c r="J133" s="367">
        <f t="shared" si="47"/>
        <v>1680.0864678023604</v>
      </c>
      <c r="K133" s="367">
        <f t="shared" si="47"/>
        <v>1725.1127851394635</v>
      </c>
      <c r="L133" s="367">
        <f t="shared" si="47"/>
        <v>1771.3458077812011</v>
      </c>
      <c r="M133" s="367">
        <f t="shared" si="47"/>
        <v>1818.8178754297373</v>
      </c>
      <c r="N133" s="367">
        <f t="shared" si="47"/>
        <v>1867.5621944912541</v>
      </c>
      <c r="O133" s="367">
        <f t="shared" si="47"/>
        <v>1917.6128613036194</v>
      </c>
      <c r="P133" s="367">
        <f t="shared" si="47"/>
        <v>1969.0048859865565</v>
      </c>
      <c r="Q133" s="367">
        <f t="shared" si="47"/>
        <v>2021.7742169309959</v>
      </c>
    </row>
    <row r="134" spans="1:17" ht="14.4">
      <c r="A134" s="370"/>
      <c r="B134" s="379"/>
      <c r="C134" s="379"/>
      <c r="D134" s="379"/>
      <c r="E134" s="379"/>
      <c r="F134" s="379"/>
      <c r="G134" s="379"/>
      <c r="H134" s="379"/>
      <c r="I134" s="379"/>
      <c r="J134" s="379"/>
      <c r="K134" s="379"/>
      <c r="L134" s="379"/>
      <c r="M134" s="379"/>
      <c r="N134" s="379"/>
      <c r="O134" s="379"/>
      <c r="P134" s="379"/>
      <c r="Q134" s="379"/>
    </row>
    <row r="135" spans="1:17" ht="14.4">
      <c r="A135" s="366" t="s">
        <v>299</v>
      </c>
      <c r="B135" s="381">
        <f t="shared" ref="B135:B136" si="48">+SUM(C135:Q135)</f>
        <v>46079.123389687513</v>
      </c>
      <c r="C135" s="381">
        <f>'WHRS_Project Scenario'!$C$8*(1+$E$6)/'Initial Data'!$C$19</f>
        <v>4607.9123389687502</v>
      </c>
      <c r="D135" s="381">
        <f>'WHRS_Project Scenario'!$C$8*(1+$E$6)/'Initial Data'!$C$19</f>
        <v>4607.9123389687502</v>
      </c>
      <c r="E135" s="381">
        <f>'WHRS_Project Scenario'!$C$8*(1+$E$6)/'Initial Data'!$C$19</f>
        <v>4607.9123389687502</v>
      </c>
      <c r="F135" s="381">
        <f>'WHRS_Project Scenario'!$C$8*(1+$E$6)/'Initial Data'!$C$19</f>
        <v>4607.9123389687502</v>
      </c>
      <c r="G135" s="381">
        <f>'WHRS_Project Scenario'!$C$8*(1+$E$6)/'Initial Data'!$C$19</f>
        <v>4607.9123389687502</v>
      </c>
      <c r="H135" s="381">
        <f>'WHRS_Project Scenario'!$C$8*(1+$E$6)/'Initial Data'!$C$19</f>
        <v>4607.9123389687502</v>
      </c>
      <c r="I135" s="381">
        <f>'WHRS_Project Scenario'!$C$8*(1+$E$6)/'Initial Data'!$C$19</f>
        <v>4607.9123389687502</v>
      </c>
      <c r="J135" s="381">
        <f>'WHRS_Project Scenario'!$C$8*(1+$E$6)/'Initial Data'!$C$19</f>
        <v>4607.9123389687502</v>
      </c>
      <c r="K135" s="381">
        <f>'WHRS_Project Scenario'!$C$8*(1+$E$6)/'Initial Data'!$C$19</f>
        <v>4607.9123389687502</v>
      </c>
      <c r="L135" s="381">
        <f>'WHRS_Project Scenario'!$C$8*(1+$E$6)/'Initial Data'!$C$19</f>
        <v>4607.9123389687502</v>
      </c>
      <c r="M135" s="381">
        <v>0</v>
      </c>
      <c r="N135" s="381">
        <v>0</v>
      </c>
      <c r="O135" s="381">
        <v>0</v>
      </c>
      <c r="P135" s="381">
        <v>0</v>
      </c>
      <c r="Q135" s="381">
        <v>0</v>
      </c>
    </row>
    <row r="136" spans="1:17" ht="14.4">
      <c r="A136" s="366" t="s">
        <v>300</v>
      </c>
      <c r="B136" s="378">
        <f t="shared" si="48"/>
        <v>46079.123389687513</v>
      </c>
      <c r="C136" s="367">
        <f>SUM(C135:C135)</f>
        <v>4607.9123389687502</v>
      </c>
      <c r="D136" s="367">
        <f t="shared" ref="D136" si="49">SUM(D135:D135)</f>
        <v>4607.9123389687502</v>
      </c>
      <c r="E136" s="367">
        <f t="shared" ref="E136" si="50">SUM(E135:E135)</f>
        <v>4607.9123389687502</v>
      </c>
      <c r="F136" s="367">
        <f t="shared" ref="F136" si="51">SUM(F135:F135)</f>
        <v>4607.9123389687502</v>
      </c>
      <c r="G136" s="367">
        <f t="shared" ref="G136" si="52">SUM(G135:G135)</f>
        <v>4607.9123389687502</v>
      </c>
      <c r="H136" s="367">
        <f t="shared" ref="H136" si="53">SUM(H135:H135)</f>
        <v>4607.9123389687502</v>
      </c>
      <c r="I136" s="367">
        <f t="shared" ref="I136" si="54">SUM(I135:I135)</f>
        <v>4607.9123389687502</v>
      </c>
      <c r="J136" s="367">
        <f t="shared" ref="J136" si="55">SUM(J135:J135)</f>
        <v>4607.9123389687502</v>
      </c>
      <c r="K136" s="367">
        <f t="shared" ref="K136" si="56">SUM(K135:K135)</f>
        <v>4607.9123389687502</v>
      </c>
      <c r="L136" s="367">
        <f t="shared" ref="L136" si="57">SUM(L135:L135)</f>
        <v>4607.9123389687502</v>
      </c>
      <c r="M136" s="367">
        <f t="shared" ref="M136" si="58">SUM(M135:M135)</f>
        <v>0</v>
      </c>
      <c r="N136" s="367">
        <f t="shared" ref="N136" si="59">SUM(N135:N135)</f>
        <v>0</v>
      </c>
      <c r="O136" s="367">
        <f t="shared" ref="O136" si="60">SUM(O135:O135)</f>
        <v>0</v>
      </c>
      <c r="P136" s="367">
        <f t="shared" ref="P136" si="61">SUM(P135:P135)</f>
        <v>0</v>
      </c>
      <c r="Q136" s="367">
        <f t="shared" ref="Q136" si="62">SUM(Q135:Q135)</f>
        <v>0</v>
      </c>
    </row>
    <row r="137" spans="1:17" ht="14.4">
      <c r="A137" s="370"/>
      <c r="B137" s="379"/>
      <c r="C137" s="379"/>
      <c r="D137" s="379"/>
      <c r="E137" s="379"/>
      <c r="F137" s="379"/>
      <c r="G137" s="379"/>
      <c r="H137" s="379"/>
      <c r="I137" s="379"/>
      <c r="J137" s="379"/>
      <c r="K137" s="379"/>
      <c r="L137" s="379"/>
      <c r="M137" s="379"/>
      <c r="N137" s="379"/>
      <c r="O137" s="379"/>
      <c r="P137" s="379"/>
      <c r="Q137" s="379"/>
    </row>
    <row r="138" spans="1:17" ht="14.4">
      <c r="A138" s="366" t="s">
        <v>301</v>
      </c>
      <c r="B138" s="378">
        <f>+SUM(C138:Q138)</f>
        <v>71445.260757015523</v>
      </c>
      <c r="C138" s="367">
        <f>+C133+C136</f>
        <v>6004.0576234691071</v>
      </c>
      <c r="D138" s="367">
        <f t="shared" ref="D138:Q138" si="63">+D133+D136</f>
        <v>6041.4743170937163</v>
      </c>
      <c r="E138" s="367">
        <f t="shared" si="63"/>
        <v>6079.8937781074656</v>
      </c>
      <c r="F138" s="367">
        <f t="shared" si="63"/>
        <v>6119.3428806763832</v>
      </c>
      <c r="G138" s="367">
        <f t="shared" si="63"/>
        <v>6159.8492191941477</v>
      </c>
      <c r="H138" s="367">
        <f t="shared" si="63"/>
        <v>6201.4411275841885</v>
      </c>
      <c r="I138" s="367">
        <f t="shared" si="63"/>
        <v>6244.1476991190821</v>
      </c>
      <c r="J138" s="367">
        <f t="shared" si="63"/>
        <v>6287.998806771111</v>
      </c>
      <c r="K138" s="367">
        <f t="shared" si="63"/>
        <v>6333.0251241082133</v>
      </c>
      <c r="L138" s="367">
        <f t="shared" si="63"/>
        <v>6379.2581467499513</v>
      </c>
      <c r="M138" s="367">
        <f t="shared" si="63"/>
        <v>1818.8178754297373</v>
      </c>
      <c r="N138" s="367">
        <f t="shared" si="63"/>
        <v>1867.5621944912541</v>
      </c>
      <c r="O138" s="367">
        <f t="shared" si="63"/>
        <v>1917.6128613036194</v>
      </c>
      <c r="P138" s="367">
        <f t="shared" si="63"/>
        <v>1969.0048859865565</v>
      </c>
      <c r="Q138" s="367">
        <f t="shared" si="63"/>
        <v>2021.7742169309959</v>
      </c>
    </row>
    <row r="139" spans="1:17" ht="14.4">
      <c r="A139" s="370"/>
      <c r="B139" s="379"/>
      <c r="C139" s="379"/>
      <c r="D139" s="379"/>
      <c r="E139" s="379"/>
      <c r="F139" s="379"/>
      <c r="G139" s="379"/>
      <c r="H139" s="379"/>
      <c r="I139" s="379"/>
      <c r="J139" s="379"/>
      <c r="K139" s="379"/>
      <c r="L139" s="379"/>
      <c r="M139" s="379"/>
      <c r="N139" s="379"/>
      <c r="O139" s="379"/>
      <c r="P139" s="379"/>
      <c r="Q139" s="379"/>
    </row>
    <row r="140" spans="1:17" ht="14.4">
      <c r="A140" s="364" t="s">
        <v>302</v>
      </c>
      <c r="B140" s="378">
        <f>+SUM(C140:Q140)</f>
        <v>1688133.1415909585</v>
      </c>
      <c r="C140" s="367">
        <f>+C125-C138</f>
        <v>90842.657884386208</v>
      </c>
      <c r="D140" s="367">
        <f t="shared" ref="D140:Q140" si="64">+D125-D138</f>
        <v>93400.733166372142</v>
      </c>
      <c r="E140" s="367">
        <f t="shared" si="64"/>
        <v>96027.364865915253</v>
      </c>
      <c r="F140" s="367">
        <f t="shared" si="64"/>
        <v>98724.390295006146</v>
      </c>
      <c r="G140" s="367">
        <f t="shared" si="64"/>
        <v>101493.69600559665</v>
      </c>
      <c r="H140" s="367">
        <f t="shared" si="64"/>
        <v>104337.21910923101</v>
      </c>
      <c r="I140" s="367">
        <f t="shared" si="64"/>
        <v>107256.94863204275</v>
      </c>
      <c r="J140" s="367">
        <f t="shared" si="64"/>
        <v>110254.92690606584</v>
      </c>
      <c r="K140" s="367">
        <f t="shared" si="64"/>
        <v>113333.25099783277</v>
      </c>
      <c r="L140" s="367">
        <f t="shared" si="64"/>
        <v>116494.07417525904</v>
      </c>
      <c r="M140" s="367">
        <f t="shared" si="64"/>
        <v>124347.51975280906</v>
      </c>
      <c r="N140" s="367">
        <f t="shared" si="64"/>
        <v>127680.03328218435</v>
      </c>
      <c r="O140" s="367">
        <f t="shared" si="64"/>
        <v>131101.85817414688</v>
      </c>
      <c r="P140" s="367">
        <f t="shared" si="64"/>
        <v>134615.387973214</v>
      </c>
      <c r="Q140" s="367">
        <f t="shared" si="64"/>
        <v>138223.08037089615</v>
      </c>
    </row>
    <row r="141" spans="1:17" ht="14.4">
      <c r="A141" s="364"/>
    </row>
    <row r="142" spans="1:17" ht="14.4">
      <c r="A142" s="364" t="s">
        <v>222</v>
      </c>
      <c r="B142" s="380">
        <f>+'WHRS_Project Scenario'!C39</f>
        <v>0.7</v>
      </c>
      <c r="C142" s="367">
        <f>IF((+$B$142*C140)&lt;0,"0",(+$B$142*C140))</f>
        <v>63589.860519070338</v>
      </c>
      <c r="D142" s="367">
        <f>IF((+$B$142*D140)&lt;0,"0",(+$B$142*D140))</f>
        <v>65380.513216460495</v>
      </c>
      <c r="E142" s="367">
        <f t="shared" ref="E142:Q142" si="65">IF((+$B$142*E140)&lt;0,"0",(+$B$142*E140))</f>
        <v>67219.155406140679</v>
      </c>
      <c r="F142" s="367">
        <f t="shared" si="65"/>
        <v>69107.073206504298</v>
      </c>
      <c r="G142" s="367">
        <f t="shared" si="65"/>
        <v>71045.587203917647</v>
      </c>
      <c r="H142" s="367">
        <f t="shared" si="65"/>
        <v>73036.053376461699</v>
      </c>
      <c r="I142" s="367">
        <f t="shared" si="65"/>
        <v>75079.864042429923</v>
      </c>
      <c r="J142" s="367">
        <f t="shared" si="65"/>
        <v>77178.448834246083</v>
      </c>
      <c r="K142" s="367">
        <f t="shared" si="65"/>
        <v>79333.275698482932</v>
      </c>
      <c r="L142" s="367">
        <f t="shared" si="65"/>
        <v>81545.851922681322</v>
      </c>
      <c r="M142" s="367">
        <f t="shared" si="65"/>
        <v>87043.263826966344</v>
      </c>
      <c r="N142" s="367">
        <f t="shared" si="65"/>
        <v>89376.023297529042</v>
      </c>
      <c r="O142" s="367">
        <f t="shared" si="65"/>
        <v>91771.300721902808</v>
      </c>
      <c r="P142" s="367">
        <f t="shared" si="65"/>
        <v>94230.771581249792</v>
      </c>
      <c r="Q142" s="367">
        <f t="shared" si="65"/>
        <v>96756.1562596273</v>
      </c>
    </row>
    <row r="143" spans="1:17" ht="14.4">
      <c r="A143" s="364" t="s">
        <v>303</v>
      </c>
      <c r="B143" s="378">
        <f>+SUM(C143:Q143)</f>
        <v>1181693.1991136707</v>
      </c>
      <c r="C143" s="367">
        <f>SUM(C142:C142)</f>
        <v>63589.860519070338</v>
      </c>
      <c r="D143" s="367">
        <f t="shared" ref="D143" si="66">SUM(D142:D142)</f>
        <v>65380.513216460495</v>
      </c>
      <c r="E143" s="367">
        <f t="shared" ref="E143" si="67">SUM(E142:E142)</f>
        <v>67219.155406140679</v>
      </c>
      <c r="F143" s="367">
        <f t="shared" ref="F143" si="68">SUM(F142:F142)</f>
        <v>69107.073206504298</v>
      </c>
      <c r="G143" s="367">
        <f t="shared" ref="G143" si="69">SUM(G142:G142)</f>
        <v>71045.587203917647</v>
      </c>
      <c r="H143" s="367">
        <f t="shared" ref="H143" si="70">SUM(H142:H142)</f>
        <v>73036.053376461699</v>
      </c>
      <c r="I143" s="367">
        <f t="shared" ref="I143" si="71">SUM(I142:I142)</f>
        <v>75079.864042429923</v>
      </c>
      <c r="J143" s="367">
        <f t="shared" ref="J143" si="72">SUM(J142:J142)</f>
        <v>77178.448834246083</v>
      </c>
      <c r="K143" s="367">
        <f t="shared" ref="K143" si="73">SUM(K142:K142)</f>
        <v>79333.275698482932</v>
      </c>
      <c r="L143" s="367">
        <f t="shared" ref="L143" si="74">SUM(L142:L142)</f>
        <v>81545.851922681322</v>
      </c>
      <c r="M143" s="367">
        <f t="shared" ref="M143" si="75">SUM(M142:M142)</f>
        <v>87043.263826966344</v>
      </c>
      <c r="N143" s="367">
        <f t="shared" ref="N143" si="76">SUM(N142:N142)</f>
        <v>89376.023297529042</v>
      </c>
      <c r="O143" s="367">
        <f t="shared" ref="O143" si="77">SUM(O142:O142)</f>
        <v>91771.300721902808</v>
      </c>
      <c r="P143" s="367">
        <f t="shared" ref="P143" si="78">SUM(P142:P142)</f>
        <v>94230.771581249792</v>
      </c>
      <c r="Q143" s="367">
        <f t="shared" ref="Q143" si="79">SUM(Q142:Q142)</f>
        <v>96756.1562596273</v>
      </c>
    </row>
    <row r="144" spans="1:17" ht="14.4">
      <c r="A144" s="369"/>
    </row>
    <row r="145" spans="1:17" ht="14.4">
      <c r="A145" s="364" t="s">
        <v>304</v>
      </c>
      <c r="B145" s="378">
        <f t="shared" ref="B145:B147" si="80">+SUM(C145:Q145)</f>
        <v>506439.94247728755</v>
      </c>
      <c r="C145" s="367">
        <f>C140-C143</f>
        <v>27252.79736531587</v>
      </c>
      <c r="D145" s="367">
        <f t="shared" ref="D145:Q145" si="81">D140-D143</f>
        <v>28020.219949911647</v>
      </c>
      <c r="E145" s="367">
        <f t="shared" si="81"/>
        <v>28808.209459774574</v>
      </c>
      <c r="F145" s="367">
        <f t="shared" si="81"/>
        <v>29617.317088501848</v>
      </c>
      <c r="G145" s="367">
        <f t="shared" si="81"/>
        <v>30448.108801679002</v>
      </c>
      <c r="H145" s="367">
        <f t="shared" si="81"/>
        <v>31301.16573276931</v>
      </c>
      <c r="I145" s="367">
        <f t="shared" si="81"/>
        <v>32177.08458961283</v>
      </c>
      <c r="J145" s="367">
        <f t="shared" si="81"/>
        <v>33076.478071819758</v>
      </c>
      <c r="K145" s="367">
        <f t="shared" si="81"/>
        <v>33999.97529934984</v>
      </c>
      <c r="L145" s="367">
        <f t="shared" si="81"/>
        <v>34948.222252577718</v>
      </c>
      <c r="M145" s="367">
        <f t="shared" si="81"/>
        <v>37304.255925842721</v>
      </c>
      <c r="N145" s="367">
        <f t="shared" si="81"/>
        <v>38304.009984655306</v>
      </c>
      <c r="O145" s="367">
        <f t="shared" si="81"/>
        <v>39330.557452244073</v>
      </c>
      <c r="P145" s="367">
        <f t="shared" si="81"/>
        <v>40384.616391964213</v>
      </c>
      <c r="Q145" s="367">
        <f t="shared" si="81"/>
        <v>41466.924111268847</v>
      </c>
    </row>
    <row r="146" spans="1:17" ht="14.4">
      <c r="A146" s="364" t="s">
        <v>305</v>
      </c>
      <c r="B146" s="381">
        <f t="shared" si="80"/>
        <v>46079.123389687513</v>
      </c>
      <c r="C146" s="381">
        <f>+C135</f>
        <v>4607.9123389687502</v>
      </c>
      <c r="D146" s="381">
        <f t="shared" ref="D146:Q146" si="82">+D135</f>
        <v>4607.9123389687502</v>
      </c>
      <c r="E146" s="381">
        <f t="shared" si="82"/>
        <v>4607.9123389687502</v>
      </c>
      <c r="F146" s="381">
        <f t="shared" si="82"/>
        <v>4607.9123389687502</v>
      </c>
      <c r="G146" s="381">
        <f t="shared" si="82"/>
        <v>4607.9123389687502</v>
      </c>
      <c r="H146" s="381">
        <f t="shared" si="82"/>
        <v>4607.9123389687502</v>
      </c>
      <c r="I146" s="381">
        <f t="shared" si="82"/>
        <v>4607.9123389687502</v>
      </c>
      <c r="J146" s="381">
        <f t="shared" si="82"/>
        <v>4607.9123389687502</v>
      </c>
      <c r="K146" s="381">
        <f t="shared" si="82"/>
        <v>4607.9123389687502</v>
      </c>
      <c r="L146" s="381">
        <f t="shared" si="82"/>
        <v>4607.9123389687502</v>
      </c>
      <c r="M146" s="381">
        <f t="shared" si="82"/>
        <v>0</v>
      </c>
      <c r="N146" s="381">
        <f t="shared" si="82"/>
        <v>0</v>
      </c>
      <c r="O146" s="381">
        <f t="shared" si="82"/>
        <v>0</v>
      </c>
      <c r="P146" s="381">
        <f t="shared" si="82"/>
        <v>0</v>
      </c>
      <c r="Q146" s="381">
        <f t="shared" si="82"/>
        <v>0</v>
      </c>
    </row>
    <row r="147" spans="1:17" ht="14.4">
      <c r="A147" s="364" t="s">
        <v>306</v>
      </c>
      <c r="B147" s="378">
        <f t="shared" si="80"/>
        <v>0</v>
      </c>
      <c r="C147" s="367">
        <f>+'WHRS_Project Scenario'!D120</f>
        <v>0</v>
      </c>
      <c r="D147" s="367">
        <f>+'WHRS_Project Scenario'!E120</f>
        <v>0</v>
      </c>
      <c r="E147" s="367">
        <f>+'WHRS_Project Scenario'!F120</f>
        <v>0</v>
      </c>
      <c r="F147" s="367">
        <f>+'WHRS_Project Scenario'!G120</f>
        <v>0</v>
      </c>
      <c r="G147" s="367">
        <f>+'WHRS_Project Scenario'!H120</f>
        <v>0</v>
      </c>
      <c r="H147" s="367">
        <f>+'WHRS_Project Scenario'!I120</f>
        <v>0</v>
      </c>
      <c r="I147" s="367">
        <f>+'WHRS_Project Scenario'!J120</f>
        <v>0</v>
      </c>
      <c r="J147" s="367">
        <f>+'WHRS_Project Scenario'!K120</f>
        <v>0</v>
      </c>
      <c r="K147" s="367">
        <f>+'WHRS_Project Scenario'!L120</f>
        <v>0</v>
      </c>
      <c r="L147" s="367">
        <f>+'WHRS_Project Scenario'!M120</f>
        <v>0</v>
      </c>
      <c r="M147" s="367">
        <f>+'WHRS_Project Scenario'!N120</f>
        <v>0</v>
      </c>
      <c r="N147" s="367">
        <f>+'WHRS_Project Scenario'!O120</f>
        <v>0</v>
      </c>
      <c r="O147" s="367">
        <f>+'WHRS_Project Scenario'!P120</f>
        <v>0</v>
      </c>
      <c r="P147" s="367">
        <f>+'WHRS_Project Scenario'!Q120</f>
        <v>0</v>
      </c>
      <c r="Q147" s="367">
        <f>+'WHRS_Project Scenario'!R120</f>
        <v>0</v>
      </c>
    </row>
    <row r="148" spans="1:17" ht="14.4">
      <c r="A148" s="364"/>
    </row>
    <row r="149" spans="1:17" ht="14.4">
      <c r="A149" s="364" t="s">
        <v>110</v>
      </c>
      <c r="B149" s="381">
        <f>-'WHRS_Project Scenario'!C8*(1+'WHRS Sensitivity Analysis'!$E$6)</f>
        <v>-46079.123389687498</v>
      </c>
      <c r="C149" s="367">
        <f>C145+C146+C147</f>
        <v>31860.709704284622</v>
      </c>
      <c r="D149" s="367">
        <f t="shared" ref="D149:Q149" si="83">D145+D146+D147</f>
        <v>32628.132288880399</v>
      </c>
      <c r="E149" s="367">
        <f t="shared" si="83"/>
        <v>33416.121798743327</v>
      </c>
      <c r="F149" s="367">
        <f t="shared" si="83"/>
        <v>34225.2294274706</v>
      </c>
      <c r="G149" s="367">
        <f t="shared" si="83"/>
        <v>35056.021140647754</v>
      </c>
      <c r="H149" s="367">
        <f t="shared" si="83"/>
        <v>35909.078071738062</v>
      </c>
      <c r="I149" s="367">
        <f t="shared" si="83"/>
        <v>36784.996928581582</v>
      </c>
      <c r="J149" s="367">
        <f t="shared" si="83"/>
        <v>37684.39041078851</v>
      </c>
      <c r="K149" s="367">
        <f t="shared" si="83"/>
        <v>38607.887638318593</v>
      </c>
      <c r="L149" s="367">
        <f t="shared" si="83"/>
        <v>39556.13459154647</v>
      </c>
      <c r="M149" s="367">
        <f t="shared" si="83"/>
        <v>37304.255925842721</v>
      </c>
      <c r="N149" s="367">
        <f t="shared" si="83"/>
        <v>38304.009984655306</v>
      </c>
      <c r="O149" s="367">
        <f t="shared" si="83"/>
        <v>39330.557452244073</v>
      </c>
      <c r="P149" s="367">
        <f t="shared" si="83"/>
        <v>40384.616391964213</v>
      </c>
      <c r="Q149" s="367">
        <f t="shared" si="83"/>
        <v>41466.924111268847</v>
      </c>
    </row>
    <row r="150" spans="1:17" ht="15.6">
      <c r="A150" s="364" t="s">
        <v>51</v>
      </c>
      <c r="B150" s="132">
        <f>IRR(B149:Q149)</f>
        <v>0.71502214494590322</v>
      </c>
    </row>
    <row r="151" spans="1:17" ht="15.6">
      <c r="A151" s="364" t="s">
        <v>267</v>
      </c>
      <c r="B151" s="303">
        <f>NPV('Initial Data'!C21/100,B149:Q149)</f>
        <v>174933.7361536487</v>
      </c>
    </row>
    <row r="153" spans="1:17" ht="14.4">
      <c r="A153" s="508" t="s">
        <v>289</v>
      </c>
      <c r="B153" s="509"/>
      <c r="C153" s="509"/>
      <c r="D153" s="509"/>
      <c r="E153" s="509"/>
      <c r="F153" s="509"/>
      <c r="G153" s="509"/>
      <c r="H153" s="509"/>
      <c r="I153" s="509"/>
      <c r="J153" s="509"/>
      <c r="K153" s="509"/>
      <c r="L153" s="509"/>
      <c r="M153" s="509"/>
      <c r="N153" s="509"/>
      <c r="O153" s="509"/>
      <c r="P153" s="509"/>
      <c r="Q153" s="509"/>
    </row>
    <row r="154" spans="1:17" ht="14.4">
      <c r="A154" s="371" t="s">
        <v>309</v>
      </c>
      <c r="B154" s="372"/>
      <c r="C154" s="372"/>
      <c r="D154" s="372"/>
      <c r="E154" s="372"/>
      <c r="F154" s="372"/>
      <c r="G154" s="372"/>
      <c r="H154" s="372"/>
      <c r="I154" s="372"/>
      <c r="J154" s="372"/>
      <c r="K154" s="372"/>
      <c r="L154" s="372"/>
      <c r="M154" s="372"/>
      <c r="N154" s="372"/>
      <c r="O154" s="372"/>
      <c r="P154" s="372"/>
      <c r="Q154" s="372"/>
    </row>
    <row r="155" spans="1:17" ht="27">
      <c r="A155" s="376"/>
      <c r="B155" s="304" t="s">
        <v>35</v>
      </c>
      <c r="C155" s="352" t="s">
        <v>407</v>
      </c>
      <c r="D155" s="352" t="s">
        <v>408</v>
      </c>
      <c r="E155" s="352" t="s">
        <v>409</v>
      </c>
      <c r="F155" s="352" t="s">
        <v>410</v>
      </c>
      <c r="G155" s="352" t="s">
        <v>411</v>
      </c>
      <c r="H155" s="352" t="s">
        <v>412</v>
      </c>
      <c r="I155" s="352" t="s">
        <v>413</v>
      </c>
      <c r="J155" s="352" t="s">
        <v>414</v>
      </c>
      <c r="K155" s="352" t="s">
        <v>415</v>
      </c>
      <c r="L155" s="352" t="s">
        <v>416</v>
      </c>
      <c r="M155" s="352" t="s">
        <v>417</v>
      </c>
      <c r="N155" s="352" t="s">
        <v>418</v>
      </c>
      <c r="O155" s="352" t="s">
        <v>419</v>
      </c>
      <c r="P155" s="352" t="s">
        <v>420</v>
      </c>
      <c r="Q155" s="352" t="s">
        <v>421</v>
      </c>
    </row>
    <row r="156" spans="1:17" ht="14.4">
      <c r="A156" s="363" t="s">
        <v>290</v>
      </c>
      <c r="B156" s="365"/>
      <c r="C156" s="367">
        <f>+'WHRS_Project Scenario'!D15</f>
        <v>215214.92335078961</v>
      </c>
      <c r="D156" s="367">
        <f>+'WHRS_Project Scenario'!E15</f>
        <v>215214.92335078961</v>
      </c>
      <c r="E156" s="367">
        <f>+'WHRS_Project Scenario'!F15</f>
        <v>215214.92335078961</v>
      </c>
      <c r="F156" s="367">
        <f>+'WHRS_Project Scenario'!G15</f>
        <v>215214.92335078961</v>
      </c>
      <c r="G156" s="367">
        <f>+'WHRS_Project Scenario'!H15</f>
        <v>215214.92335078961</v>
      </c>
      <c r="H156" s="367">
        <f>+'WHRS_Project Scenario'!I15</f>
        <v>215214.92335078961</v>
      </c>
      <c r="I156" s="367">
        <f>+'WHRS_Project Scenario'!J15</f>
        <v>215214.92335078961</v>
      </c>
      <c r="J156" s="367">
        <f>+'WHRS_Project Scenario'!K15</f>
        <v>215214.92335078961</v>
      </c>
      <c r="K156" s="367">
        <f>+'WHRS_Project Scenario'!L15</f>
        <v>215214.92335078961</v>
      </c>
      <c r="L156" s="367">
        <f>+'WHRS_Project Scenario'!M15</f>
        <v>215214.92335078961</v>
      </c>
      <c r="M156" s="367">
        <f>+'WHRS_Project Scenario'!N15</f>
        <v>215214.92335078961</v>
      </c>
      <c r="N156" s="367">
        <f>+'WHRS_Project Scenario'!O15</f>
        <v>215214.92335078961</v>
      </c>
      <c r="O156" s="367">
        <f>+'WHRS_Project Scenario'!P15</f>
        <v>215214.92335078961</v>
      </c>
      <c r="P156" s="367">
        <f>+'WHRS_Project Scenario'!Q15</f>
        <v>215214.92335078961</v>
      </c>
      <c r="Q156" s="367">
        <f>+'WHRS_Project Scenario'!R15</f>
        <v>215214.92335078961</v>
      </c>
    </row>
    <row r="157" spans="1:17" ht="14.4">
      <c r="A157" s="364" t="s">
        <v>291</v>
      </c>
      <c r="B157" s="365"/>
      <c r="C157" s="367">
        <f>+'WHRS_Project Scenario'!D16</f>
        <v>70</v>
      </c>
      <c r="D157" s="367">
        <f>+'WHRS_Project Scenario'!E16</f>
        <v>70</v>
      </c>
      <c r="E157" s="367">
        <f>+'WHRS_Project Scenario'!F16</f>
        <v>70</v>
      </c>
      <c r="F157" s="367">
        <f>+'WHRS_Project Scenario'!G16</f>
        <v>70</v>
      </c>
      <c r="G157" s="367">
        <f>+'WHRS_Project Scenario'!H16</f>
        <v>70</v>
      </c>
      <c r="H157" s="367">
        <f>+'WHRS_Project Scenario'!I16</f>
        <v>70</v>
      </c>
      <c r="I157" s="367">
        <f>+'WHRS_Project Scenario'!J16</f>
        <v>70</v>
      </c>
      <c r="J157" s="367">
        <f>+'WHRS_Project Scenario'!K16</f>
        <v>70</v>
      </c>
      <c r="K157" s="367">
        <f>+'WHRS_Project Scenario'!L16</f>
        <v>70</v>
      </c>
      <c r="L157" s="367">
        <f>+'WHRS_Project Scenario'!M16</f>
        <v>70</v>
      </c>
      <c r="M157" s="367">
        <f>+'WHRS_Project Scenario'!N16</f>
        <v>70</v>
      </c>
      <c r="N157" s="367">
        <f>+'WHRS_Project Scenario'!O16</f>
        <v>70</v>
      </c>
      <c r="O157" s="367">
        <f>+'WHRS_Project Scenario'!P16</f>
        <v>70</v>
      </c>
      <c r="P157" s="367">
        <f>+'WHRS_Project Scenario'!Q16</f>
        <v>70</v>
      </c>
      <c r="Q157" s="367">
        <f>+'WHRS_Project Scenario'!R16</f>
        <v>70</v>
      </c>
    </row>
    <row r="158" spans="1:17" ht="14.4">
      <c r="A158" s="366" t="s">
        <v>292</v>
      </c>
      <c r="B158" s="365"/>
      <c r="C158" s="375">
        <f>+'WHRS_Project Scenario'!D17</f>
        <v>6.4285714285714288</v>
      </c>
      <c r="D158" s="375">
        <f>+'WHRS_Project Scenario'!E17</f>
        <v>6.6008571428571425</v>
      </c>
      <c r="E158" s="375">
        <f>+'WHRS_Project Scenario'!F17</f>
        <v>6.7777601142857131</v>
      </c>
      <c r="F158" s="375">
        <f>+'WHRS_Project Scenario'!G17</f>
        <v>6.9594040853485701</v>
      </c>
      <c r="G158" s="375">
        <f>+'WHRS_Project Scenario'!H17</f>
        <v>7.1459161148359112</v>
      </c>
      <c r="H158" s="375">
        <f>+'WHRS_Project Scenario'!I17</f>
        <v>7.3374266667135135</v>
      </c>
      <c r="I158" s="375">
        <f>+'WHRS_Project Scenario'!J17</f>
        <v>7.5340697013814353</v>
      </c>
      <c r="J158" s="375">
        <f>+'WHRS_Project Scenario'!K17</f>
        <v>7.7359827693784569</v>
      </c>
      <c r="K158" s="375">
        <f>+'WHRS_Project Scenario'!L17</f>
        <v>7.943307107597799</v>
      </c>
      <c r="L158" s="375">
        <f>+'WHRS_Project Scenario'!M17</f>
        <v>8.1561877380814192</v>
      </c>
      <c r="M158" s="375">
        <f>+'WHRS_Project Scenario'!N17</f>
        <v>8.3747735694620005</v>
      </c>
      <c r="N158" s="375">
        <f>+'WHRS_Project Scenario'!O17</f>
        <v>8.5992175011235812</v>
      </c>
      <c r="O158" s="375">
        <f>+'WHRS_Project Scenario'!P17</f>
        <v>8.8296765301536926</v>
      </c>
      <c r="P158" s="375">
        <f>+'WHRS_Project Scenario'!Q17</f>
        <v>9.066311861161811</v>
      </c>
      <c r="Q158" s="375">
        <f>+'WHRS_Project Scenario'!R17</f>
        <v>9.3092890190409463</v>
      </c>
    </row>
    <row r="159" spans="1:17" ht="14.4">
      <c r="A159" s="366" t="s">
        <v>293</v>
      </c>
      <c r="B159" s="365"/>
      <c r="C159" s="367">
        <f>+'WHRS_Project Scenario'!D18</f>
        <v>450</v>
      </c>
      <c r="D159" s="367">
        <f>+'WHRS_Project Scenario'!E18</f>
        <v>462.06</v>
      </c>
      <c r="E159" s="367">
        <f>+'WHRS_Project Scenario'!F18</f>
        <v>474.44320799999991</v>
      </c>
      <c r="F159" s="367">
        <f>+'WHRS_Project Scenario'!G18</f>
        <v>487.15828597439992</v>
      </c>
      <c r="G159" s="367">
        <f>+'WHRS_Project Scenario'!H18</f>
        <v>500.21412803851376</v>
      </c>
      <c r="H159" s="367">
        <f>+'WHRS_Project Scenario'!I18</f>
        <v>513.61986666994596</v>
      </c>
      <c r="I159" s="367">
        <f>+'WHRS_Project Scenario'!J18</f>
        <v>527.3848790967005</v>
      </c>
      <c r="J159" s="367">
        <f>+'WHRS_Project Scenario'!K18</f>
        <v>541.51879385649192</v>
      </c>
      <c r="K159" s="367">
        <f>+'WHRS_Project Scenario'!L18</f>
        <v>556.03149753184596</v>
      </c>
      <c r="L159" s="367">
        <f>+'WHRS_Project Scenario'!M18</f>
        <v>570.9331416656994</v>
      </c>
      <c r="M159" s="367">
        <f>+'WHRS_Project Scenario'!N18</f>
        <v>586.23414986234002</v>
      </c>
      <c r="N159" s="367">
        <f>+'WHRS_Project Scenario'!O18</f>
        <v>601.94522507865065</v>
      </c>
      <c r="O159" s="367">
        <f>+'WHRS_Project Scenario'!P18</f>
        <v>618.0773571107585</v>
      </c>
      <c r="P159" s="367">
        <f>+'WHRS_Project Scenario'!Q18</f>
        <v>634.64183028132675</v>
      </c>
      <c r="Q159" s="367">
        <f>+'WHRS_Project Scenario'!R18</f>
        <v>651.65023133286627</v>
      </c>
    </row>
    <row r="160" spans="1:17" ht="14.4">
      <c r="A160" s="370"/>
      <c r="B160" s="373"/>
      <c r="C160" s="373"/>
      <c r="D160" s="373"/>
      <c r="E160" s="373"/>
      <c r="F160" s="373"/>
      <c r="G160" s="373"/>
      <c r="H160" s="373"/>
      <c r="I160" s="373"/>
      <c r="J160" s="373"/>
      <c r="K160" s="373"/>
      <c r="L160" s="373"/>
      <c r="M160" s="373"/>
      <c r="N160" s="373"/>
      <c r="O160" s="373"/>
      <c r="P160" s="373"/>
      <c r="Q160" s="373"/>
    </row>
    <row r="161" spans="1:17" ht="14.4">
      <c r="A161" s="366" t="s">
        <v>294</v>
      </c>
      <c r="B161" s="378">
        <f>+SUM(C161:Q161)</f>
        <v>1759578.4023479735</v>
      </c>
      <c r="C161" s="367">
        <f>+'WHRS_Project Scenario'!D20</f>
        <v>96846.715507855319</v>
      </c>
      <c r="D161" s="367">
        <f>+'WHRS_Project Scenario'!E20</f>
        <v>99442.207483465856</v>
      </c>
      <c r="E161" s="367">
        <f>+'WHRS_Project Scenario'!F20</f>
        <v>102107.25864402272</v>
      </c>
      <c r="F161" s="367">
        <f>+'WHRS_Project Scenario'!G20</f>
        <v>104843.73317568253</v>
      </c>
      <c r="G161" s="367">
        <f>+'WHRS_Project Scenario'!H20</f>
        <v>107653.5452247908</v>
      </c>
      <c r="H161" s="367">
        <f>+'WHRS_Project Scenario'!I20</f>
        <v>110538.66023681519</v>
      </c>
      <c r="I161" s="367">
        <f>+'WHRS_Project Scenario'!J20</f>
        <v>113501.09633116184</v>
      </c>
      <c r="J161" s="367">
        <f>+'WHRS_Project Scenario'!K20</f>
        <v>116542.92571283695</v>
      </c>
      <c r="K161" s="367">
        <f>+'WHRS_Project Scenario'!L20</f>
        <v>119666.27612194099</v>
      </c>
      <c r="L161" s="367">
        <f>+'WHRS_Project Scenario'!M20</f>
        <v>122873.332322009</v>
      </c>
      <c r="M161" s="367">
        <f>+'WHRS_Project Scenario'!N20</f>
        <v>126166.33762823881</v>
      </c>
      <c r="N161" s="367">
        <f>+'WHRS_Project Scenario'!O20</f>
        <v>129547.5954766756</v>
      </c>
      <c r="O161" s="367">
        <f>+'WHRS_Project Scenario'!P20</f>
        <v>133019.47103545049</v>
      </c>
      <c r="P161" s="367">
        <f>+'WHRS_Project Scenario'!Q20</f>
        <v>136584.39285920057</v>
      </c>
      <c r="Q161" s="367">
        <f>+'WHRS_Project Scenario'!R20</f>
        <v>140244.85458782714</v>
      </c>
    </row>
    <row r="162" spans="1:17" ht="14.4">
      <c r="A162" s="370"/>
      <c r="B162" s="373"/>
      <c r="C162" s="373"/>
      <c r="D162" s="373"/>
      <c r="E162" s="373"/>
      <c r="F162" s="373"/>
      <c r="G162" s="373"/>
      <c r="H162" s="373"/>
      <c r="I162" s="373"/>
      <c r="J162" s="373"/>
      <c r="K162" s="373"/>
      <c r="L162" s="373"/>
      <c r="M162" s="373"/>
      <c r="N162" s="373"/>
      <c r="O162" s="373"/>
      <c r="P162" s="373"/>
      <c r="Q162" s="373"/>
    </row>
    <row r="163" spans="1:17" ht="14.4">
      <c r="A163" s="366" t="s">
        <v>295</v>
      </c>
      <c r="B163" s="378">
        <f>+SUM(C163:Q163)</f>
        <v>1759578.4023479735</v>
      </c>
      <c r="C163" s="367">
        <f>+'WHRS_Project Scenario'!D22</f>
        <v>96846.715507855319</v>
      </c>
      <c r="D163" s="367">
        <f>+'WHRS_Project Scenario'!E22</f>
        <v>99442.207483465856</v>
      </c>
      <c r="E163" s="367">
        <f>+'WHRS_Project Scenario'!F22</f>
        <v>102107.25864402272</v>
      </c>
      <c r="F163" s="367">
        <f>+'WHRS_Project Scenario'!G22</f>
        <v>104843.73317568253</v>
      </c>
      <c r="G163" s="367">
        <f>+'WHRS_Project Scenario'!H22</f>
        <v>107653.5452247908</v>
      </c>
      <c r="H163" s="367">
        <f>+'WHRS_Project Scenario'!I22</f>
        <v>110538.66023681519</v>
      </c>
      <c r="I163" s="367">
        <f>+'WHRS_Project Scenario'!J22</f>
        <v>113501.09633116184</v>
      </c>
      <c r="J163" s="367">
        <f>+'WHRS_Project Scenario'!K22</f>
        <v>116542.92571283695</v>
      </c>
      <c r="K163" s="367">
        <f>+'WHRS_Project Scenario'!L22</f>
        <v>119666.27612194099</v>
      </c>
      <c r="L163" s="367">
        <f>+'WHRS_Project Scenario'!M22</f>
        <v>122873.332322009</v>
      </c>
      <c r="M163" s="367">
        <f>+'WHRS_Project Scenario'!N22</f>
        <v>126166.33762823881</v>
      </c>
      <c r="N163" s="367">
        <f>+'WHRS_Project Scenario'!O22</f>
        <v>129547.5954766756</v>
      </c>
      <c r="O163" s="367">
        <f>+'WHRS_Project Scenario'!P22</f>
        <v>133019.47103545049</v>
      </c>
      <c r="P163" s="367">
        <f>+'WHRS_Project Scenario'!Q22</f>
        <v>136584.39285920057</v>
      </c>
      <c r="Q163" s="367">
        <f>+'WHRS_Project Scenario'!R22</f>
        <v>140244.85458782714</v>
      </c>
    </row>
    <row r="164" spans="1:17" ht="14.4">
      <c r="A164" s="370"/>
      <c r="B164" s="374"/>
      <c r="C164" s="374"/>
      <c r="D164" s="374"/>
      <c r="E164" s="374"/>
      <c r="F164" s="374"/>
      <c r="G164" s="374"/>
      <c r="H164" s="374"/>
      <c r="I164" s="374"/>
      <c r="J164" s="374"/>
      <c r="K164" s="374"/>
      <c r="L164" s="374"/>
      <c r="M164" s="374"/>
      <c r="N164" s="374"/>
      <c r="O164" s="374"/>
      <c r="P164" s="374"/>
      <c r="Q164" s="374"/>
    </row>
    <row r="165" spans="1:17" ht="14.4">
      <c r="A165" s="366" t="s">
        <v>68</v>
      </c>
      <c r="B165" s="368"/>
      <c r="C165" s="368"/>
      <c r="D165" s="368"/>
      <c r="E165" s="368"/>
      <c r="F165" s="368"/>
      <c r="G165" s="368"/>
      <c r="H165" s="368"/>
      <c r="I165" s="368"/>
      <c r="J165" s="368"/>
      <c r="K165" s="368"/>
      <c r="L165" s="368"/>
      <c r="M165" s="368"/>
      <c r="N165" s="368"/>
      <c r="O165" s="368"/>
      <c r="P165" s="368"/>
      <c r="Q165" s="368"/>
    </row>
    <row r="166" spans="1:17" ht="14.4">
      <c r="A166" s="366" t="s">
        <v>296</v>
      </c>
      <c r="B166" s="378">
        <f>+SUM(C166:Q166)</f>
        <v>11529.370291765843</v>
      </c>
      <c r="C166" s="367">
        <f>+'WHRS_Project Scenario'!D25</f>
        <v>634.57339732142862</v>
      </c>
      <c r="D166" s="367">
        <f>+'WHRS_Project Scenario'!E25</f>
        <v>651.57996436964288</v>
      </c>
      <c r="E166" s="367">
        <f>+'WHRS_Project Scenario'!F25</f>
        <v>669.0423074147493</v>
      </c>
      <c r="F166" s="367">
        <f>+'WHRS_Project Scenario'!G25</f>
        <v>686.97264125346453</v>
      </c>
      <c r="G166" s="367">
        <f>+'WHRS_Project Scenario'!H25</f>
        <v>705.38350803905735</v>
      </c>
      <c r="H166" s="367">
        <f>+'WHRS_Project Scenario'!I25</f>
        <v>724.28778605450407</v>
      </c>
      <c r="I166" s="367">
        <f>+'WHRS_Project Scenario'!J25</f>
        <v>743.6986987207647</v>
      </c>
      <c r="J166" s="367">
        <f>+'WHRS_Project Scenario'!K25</f>
        <v>763.62982384648114</v>
      </c>
      <c r="K166" s="367">
        <f>+'WHRS_Project Scenario'!L25</f>
        <v>784.09510312556677</v>
      </c>
      <c r="L166" s="367">
        <f>+'WHRS_Project Scenario'!M25</f>
        <v>805.10885188933196</v>
      </c>
      <c r="M166" s="367">
        <f>+'WHRS_Project Scenario'!N25</f>
        <v>826.68576911996604</v>
      </c>
      <c r="N166" s="367">
        <f>+'WHRS_Project Scenario'!O25</f>
        <v>848.8409477323811</v>
      </c>
      <c r="O166" s="367">
        <f>+'WHRS_Project Scenario'!P25</f>
        <v>871.58988513160887</v>
      </c>
      <c r="P166" s="367">
        <f>+'WHRS_Project Scenario'!Q25</f>
        <v>894.94849405313596</v>
      </c>
      <c r="Q166" s="367">
        <f>+'WHRS_Project Scenario'!R25</f>
        <v>918.93311369375999</v>
      </c>
    </row>
    <row r="167" spans="1:17" ht="14.4">
      <c r="A167" s="366" t="s">
        <v>297</v>
      </c>
      <c r="B167" s="378">
        <f>+SUM(C167:Q167)</f>
        <v>13836.767075562184</v>
      </c>
      <c r="C167" s="367">
        <f>+'WHRS_Project Scenario'!D26</f>
        <v>761.57188717892848</v>
      </c>
      <c r="D167" s="367">
        <f>+'WHRS_Project Scenario'!E26</f>
        <v>781.98201375532369</v>
      </c>
      <c r="E167" s="367">
        <f>+'WHRS_Project Scenario'!F26</f>
        <v>802.93913172396628</v>
      </c>
      <c r="F167" s="367">
        <f>+'WHRS_Project Scenario'!G26</f>
        <v>824.45790045416857</v>
      </c>
      <c r="G167" s="367">
        <f>+'WHRS_Project Scenario'!H26</f>
        <v>846.5533721863402</v>
      </c>
      <c r="H167" s="367">
        <f>+'WHRS_Project Scenario'!I26</f>
        <v>869.24100256093402</v>
      </c>
      <c r="I167" s="367">
        <f>+'WHRS_Project Scenario'!J26</f>
        <v>892.53666142956695</v>
      </c>
      <c r="J167" s="367">
        <f>+'WHRS_Project Scenario'!K26</f>
        <v>916.45664395587926</v>
      </c>
      <c r="K167" s="367">
        <f>+'WHRS_Project Scenario'!L26</f>
        <v>941.01768201389677</v>
      </c>
      <c r="L167" s="367">
        <f>+'WHRS_Project Scenario'!M26</f>
        <v>966.23695589186912</v>
      </c>
      <c r="M167" s="367">
        <f>+'WHRS_Project Scenario'!N26</f>
        <v>992.13210630977119</v>
      </c>
      <c r="N167" s="367">
        <f>+'WHRS_Project Scenario'!O26</f>
        <v>1018.721246758873</v>
      </c>
      <c r="O167" s="367">
        <f>+'WHRS_Project Scenario'!P26</f>
        <v>1046.0229761720107</v>
      </c>
      <c r="P167" s="367">
        <f>+'WHRS_Project Scenario'!Q26</f>
        <v>1074.0563919334204</v>
      </c>
      <c r="Q167" s="367">
        <f>+'WHRS_Project Scenario'!R26</f>
        <v>1102.841103237236</v>
      </c>
    </row>
    <row r="168" spans="1:17" ht="14.4">
      <c r="A168" s="370"/>
      <c r="B168" s="369"/>
      <c r="C168" s="369"/>
      <c r="D168" s="369"/>
      <c r="E168" s="369"/>
      <c r="F168" s="369"/>
      <c r="G168" s="369"/>
      <c r="H168" s="369"/>
      <c r="I168" s="369"/>
      <c r="J168" s="369"/>
      <c r="K168" s="369"/>
      <c r="L168" s="369"/>
      <c r="M168" s="369"/>
      <c r="N168" s="369"/>
      <c r="O168" s="369"/>
      <c r="P168" s="369"/>
      <c r="Q168" s="369"/>
    </row>
    <row r="169" spans="1:17" ht="14.4">
      <c r="A169" s="366" t="s">
        <v>71</v>
      </c>
      <c r="B169" s="379"/>
      <c r="C169" s="379"/>
      <c r="D169" s="379"/>
      <c r="E169" s="379"/>
      <c r="F169" s="379"/>
      <c r="G169" s="379"/>
      <c r="H169" s="379"/>
      <c r="I169" s="379"/>
      <c r="J169" s="379"/>
      <c r="K169" s="379"/>
      <c r="L169" s="379"/>
      <c r="M169" s="379"/>
      <c r="N169" s="379"/>
      <c r="O169" s="379"/>
      <c r="P169" s="379"/>
      <c r="Q169" s="379"/>
    </row>
    <row r="170" spans="1:17" ht="14.4">
      <c r="A170" s="370"/>
      <c r="B170" s="379"/>
      <c r="C170" s="379"/>
      <c r="D170" s="379"/>
      <c r="E170" s="379"/>
      <c r="F170" s="379"/>
      <c r="G170" s="379"/>
      <c r="H170" s="379"/>
      <c r="I170" s="379"/>
      <c r="J170" s="379"/>
      <c r="K170" s="379"/>
      <c r="L170" s="379"/>
      <c r="M170" s="379"/>
      <c r="N170" s="379"/>
      <c r="O170" s="379"/>
      <c r="P170" s="379"/>
      <c r="Q170" s="379"/>
    </row>
    <row r="171" spans="1:17" ht="14.4">
      <c r="A171" s="366" t="s">
        <v>298</v>
      </c>
      <c r="B171" s="378">
        <f>+SUM(C171:Q171)</f>
        <v>25366.137367328029</v>
      </c>
      <c r="C171" s="367">
        <f>SUM(C166:C167)</f>
        <v>1396.1452845003571</v>
      </c>
      <c r="D171" s="367">
        <f t="shared" ref="D171:Q171" si="84">SUM(D166:D167)</f>
        <v>1433.5619781249666</v>
      </c>
      <c r="E171" s="367">
        <f t="shared" si="84"/>
        <v>1471.9814391387156</v>
      </c>
      <c r="F171" s="367">
        <f t="shared" si="84"/>
        <v>1511.430541707633</v>
      </c>
      <c r="G171" s="367">
        <f t="shared" si="84"/>
        <v>1551.9368802253975</v>
      </c>
      <c r="H171" s="367">
        <f t="shared" si="84"/>
        <v>1593.5287886154381</v>
      </c>
      <c r="I171" s="367">
        <f t="shared" si="84"/>
        <v>1636.2353601503316</v>
      </c>
      <c r="J171" s="367">
        <f t="shared" si="84"/>
        <v>1680.0864678023604</v>
      </c>
      <c r="K171" s="367">
        <f t="shared" si="84"/>
        <v>1725.1127851394635</v>
      </c>
      <c r="L171" s="367">
        <f t="shared" si="84"/>
        <v>1771.3458077812011</v>
      </c>
      <c r="M171" s="367">
        <f t="shared" si="84"/>
        <v>1818.8178754297373</v>
      </c>
      <c r="N171" s="367">
        <f t="shared" si="84"/>
        <v>1867.5621944912541</v>
      </c>
      <c r="O171" s="367">
        <f t="shared" si="84"/>
        <v>1917.6128613036194</v>
      </c>
      <c r="P171" s="367">
        <f t="shared" si="84"/>
        <v>1969.0048859865565</v>
      </c>
      <c r="Q171" s="367">
        <f t="shared" si="84"/>
        <v>2021.7742169309959</v>
      </c>
    </row>
    <row r="172" spans="1:17" ht="14.4">
      <c r="A172" s="370"/>
      <c r="B172" s="379"/>
      <c r="C172" s="379"/>
      <c r="D172" s="379"/>
      <c r="E172" s="379"/>
      <c r="F172" s="379"/>
      <c r="G172" s="379"/>
      <c r="H172" s="379"/>
      <c r="I172" s="379"/>
      <c r="J172" s="379"/>
      <c r="K172" s="379"/>
      <c r="L172" s="379"/>
      <c r="M172" s="379"/>
      <c r="N172" s="379"/>
      <c r="O172" s="379"/>
      <c r="P172" s="379"/>
      <c r="Q172" s="379"/>
    </row>
    <row r="173" spans="1:17" ht="14.4">
      <c r="A173" s="366" t="s">
        <v>299</v>
      </c>
      <c r="B173" s="381">
        <f t="shared" ref="B173:B174" si="85">+SUM(C173:Q173)</f>
        <v>48273.367360624987</v>
      </c>
      <c r="C173" s="381">
        <f>'WHRS_Project Scenario'!$C$8*(1+$F$6)/'Initial Data'!$C$19</f>
        <v>4827.3367360624998</v>
      </c>
      <c r="D173" s="381">
        <f>'WHRS_Project Scenario'!$C$8*(1+$F$6)/'Initial Data'!$C$19</f>
        <v>4827.3367360624998</v>
      </c>
      <c r="E173" s="381">
        <f>'WHRS_Project Scenario'!$C$8*(1+$F$6)/'Initial Data'!$C$19</f>
        <v>4827.3367360624998</v>
      </c>
      <c r="F173" s="381">
        <f>'WHRS_Project Scenario'!$C$8*(1+$F$6)/'Initial Data'!$C$19</f>
        <v>4827.3367360624998</v>
      </c>
      <c r="G173" s="381">
        <f>'WHRS_Project Scenario'!$C$8*(1+$F$6)/'Initial Data'!$C$19</f>
        <v>4827.3367360624998</v>
      </c>
      <c r="H173" s="381">
        <f>'WHRS_Project Scenario'!$C$8*(1+$F$6)/'Initial Data'!$C$19</f>
        <v>4827.3367360624998</v>
      </c>
      <c r="I173" s="381">
        <f>'WHRS_Project Scenario'!$C$8*(1+$F$6)/'Initial Data'!$C$19</f>
        <v>4827.3367360624998</v>
      </c>
      <c r="J173" s="381">
        <f>'WHRS_Project Scenario'!$C$8*(1+$F$6)/'Initial Data'!$C$19</f>
        <v>4827.3367360624998</v>
      </c>
      <c r="K173" s="381">
        <f>'WHRS_Project Scenario'!$C$8*(1+$F$6)/'Initial Data'!$C$19</f>
        <v>4827.3367360624998</v>
      </c>
      <c r="L173" s="381">
        <f>'WHRS_Project Scenario'!$C$8*(1+$F$6)/'Initial Data'!$C$19</f>
        <v>4827.3367360624998</v>
      </c>
      <c r="M173" s="381">
        <v>0</v>
      </c>
      <c r="N173" s="381">
        <v>0</v>
      </c>
      <c r="O173" s="381">
        <v>0</v>
      </c>
      <c r="P173" s="381">
        <v>0</v>
      </c>
      <c r="Q173" s="381">
        <v>0</v>
      </c>
    </row>
    <row r="174" spans="1:17" ht="14.4">
      <c r="A174" s="366" t="s">
        <v>300</v>
      </c>
      <c r="B174" s="378">
        <f t="shared" si="85"/>
        <v>48273.367360624987</v>
      </c>
      <c r="C174" s="367">
        <f>SUM(C173:C173)</f>
        <v>4827.3367360624998</v>
      </c>
      <c r="D174" s="367">
        <f t="shared" ref="D174" si="86">SUM(D173:D173)</f>
        <v>4827.3367360624998</v>
      </c>
      <c r="E174" s="367">
        <f t="shared" ref="E174" si="87">SUM(E173:E173)</f>
        <v>4827.3367360624998</v>
      </c>
      <c r="F174" s="367">
        <f t="shared" ref="F174" si="88">SUM(F173:F173)</f>
        <v>4827.3367360624998</v>
      </c>
      <c r="G174" s="367">
        <f t="shared" ref="G174" si="89">SUM(G173:G173)</f>
        <v>4827.3367360624998</v>
      </c>
      <c r="H174" s="367">
        <f t="shared" ref="H174" si="90">SUM(H173:H173)</f>
        <v>4827.3367360624998</v>
      </c>
      <c r="I174" s="367">
        <f t="shared" ref="I174" si="91">SUM(I173:I173)</f>
        <v>4827.3367360624998</v>
      </c>
      <c r="J174" s="367">
        <f t="shared" ref="J174" si="92">SUM(J173:J173)</f>
        <v>4827.3367360624998</v>
      </c>
      <c r="K174" s="367">
        <f t="shared" ref="K174" si="93">SUM(K173:K173)</f>
        <v>4827.3367360624998</v>
      </c>
      <c r="L174" s="367">
        <f t="shared" ref="L174" si="94">SUM(L173:L173)</f>
        <v>4827.3367360624998</v>
      </c>
      <c r="M174" s="367">
        <f t="shared" ref="M174" si="95">SUM(M173:M173)</f>
        <v>0</v>
      </c>
      <c r="N174" s="367">
        <f t="shared" ref="N174" si="96">SUM(N173:N173)</f>
        <v>0</v>
      </c>
      <c r="O174" s="367">
        <f t="shared" ref="O174" si="97">SUM(O173:O173)</f>
        <v>0</v>
      </c>
      <c r="P174" s="367">
        <f t="shared" ref="P174" si="98">SUM(P173:P173)</f>
        <v>0</v>
      </c>
      <c r="Q174" s="367">
        <f t="shared" ref="Q174" si="99">SUM(Q173:Q173)</f>
        <v>0</v>
      </c>
    </row>
    <row r="175" spans="1:17" ht="14.4">
      <c r="A175" s="370"/>
      <c r="B175" s="379"/>
      <c r="C175" s="379"/>
      <c r="D175" s="379"/>
      <c r="E175" s="379"/>
      <c r="F175" s="379"/>
      <c r="G175" s="379"/>
      <c r="H175" s="379"/>
      <c r="I175" s="379"/>
      <c r="J175" s="379"/>
      <c r="K175" s="379"/>
      <c r="L175" s="379"/>
      <c r="M175" s="379"/>
      <c r="N175" s="379"/>
      <c r="O175" s="379"/>
      <c r="P175" s="379"/>
      <c r="Q175" s="379"/>
    </row>
    <row r="176" spans="1:17" ht="14.4">
      <c r="A176" s="366" t="s">
        <v>301</v>
      </c>
      <c r="B176" s="378">
        <f>+SUM(C176:Q176)</f>
        <v>73639.504727953026</v>
      </c>
      <c r="C176" s="367">
        <f>+C171+C174</f>
        <v>6223.4820205628566</v>
      </c>
      <c r="D176" s="367">
        <f t="shared" ref="D176:Q176" si="100">+D171+D174</f>
        <v>6260.8987141874659</v>
      </c>
      <c r="E176" s="367">
        <f t="shared" si="100"/>
        <v>6299.3181752012151</v>
      </c>
      <c r="F176" s="367">
        <f t="shared" si="100"/>
        <v>6338.7672777701328</v>
      </c>
      <c r="G176" s="367">
        <f t="shared" si="100"/>
        <v>6379.2736162878973</v>
      </c>
      <c r="H176" s="367">
        <f t="shared" si="100"/>
        <v>6420.8655246779381</v>
      </c>
      <c r="I176" s="367">
        <f t="shared" si="100"/>
        <v>6463.5720962128316</v>
      </c>
      <c r="J176" s="367">
        <f t="shared" si="100"/>
        <v>6507.4232038648606</v>
      </c>
      <c r="K176" s="367">
        <f t="shared" si="100"/>
        <v>6552.4495212019629</v>
      </c>
      <c r="L176" s="367">
        <f t="shared" si="100"/>
        <v>6598.6825438437008</v>
      </c>
      <c r="M176" s="367">
        <f t="shared" si="100"/>
        <v>1818.8178754297373</v>
      </c>
      <c r="N176" s="367">
        <f t="shared" si="100"/>
        <v>1867.5621944912541</v>
      </c>
      <c r="O176" s="367">
        <f t="shared" si="100"/>
        <v>1917.6128613036194</v>
      </c>
      <c r="P176" s="367">
        <f t="shared" si="100"/>
        <v>1969.0048859865565</v>
      </c>
      <c r="Q176" s="367">
        <f t="shared" si="100"/>
        <v>2021.7742169309959</v>
      </c>
    </row>
    <row r="177" spans="1:17" ht="14.4">
      <c r="A177" s="370"/>
      <c r="B177" s="379"/>
      <c r="C177" s="379"/>
      <c r="D177" s="379"/>
      <c r="E177" s="379"/>
      <c r="F177" s="379"/>
      <c r="G177" s="379"/>
      <c r="H177" s="379"/>
      <c r="I177" s="379"/>
      <c r="J177" s="379"/>
      <c r="K177" s="379"/>
      <c r="L177" s="379"/>
      <c r="M177" s="379"/>
      <c r="N177" s="379"/>
      <c r="O177" s="379"/>
      <c r="P177" s="379"/>
      <c r="Q177" s="379"/>
    </row>
    <row r="178" spans="1:17" ht="14.4">
      <c r="A178" s="364" t="s">
        <v>302</v>
      </c>
      <c r="B178" s="378">
        <f>+SUM(C178:Q178)</f>
        <v>1685938.8976200204</v>
      </c>
      <c r="C178" s="367">
        <f>+C163-C176</f>
        <v>90623.233487292455</v>
      </c>
      <c r="D178" s="367">
        <f t="shared" ref="D178:Q178" si="101">+D163-D176</f>
        <v>93181.308769278388</v>
      </c>
      <c r="E178" s="367">
        <f t="shared" si="101"/>
        <v>95807.9404688215</v>
      </c>
      <c r="F178" s="367">
        <f t="shared" si="101"/>
        <v>98504.965897912392</v>
      </c>
      <c r="G178" s="367">
        <f t="shared" si="101"/>
        <v>101274.2716085029</v>
      </c>
      <c r="H178" s="367">
        <f t="shared" si="101"/>
        <v>104117.79471213726</v>
      </c>
      <c r="I178" s="367">
        <f t="shared" si="101"/>
        <v>107037.52423494901</v>
      </c>
      <c r="J178" s="367">
        <f t="shared" si="101"/>
        <v>110035.50250897209</v>
      </c>
      <c r="K178" s="367">
        <f t="shared" si="101"/>
        <v>113113.82660073902</v>
      </c>
      <c r="L178" s="367">
        <f t="shared" si="101"/>
        <v>116274.6497781653</v>
      </c>
      <c r="M178" s="367">
        <f t="shared" si="101"/>
        <v>124347.51975280906</v>
      </c>
      <c r="N178" s="367">
        <f t="shared" si="101"/>
        <v>127680.03328218435</v>
      </c>
      <c r="O178" s="367">
        <f t="shared" si="101"/>
        <v>131101.85817414688</v>
      </c>
      <c r="P178" s="367">
        <f t="shared" si="101"/>
        <v>134615.387973214</v>
      </c>
      <c r="Q178" s="367">
        <f t="shared" si="101"/>
        <v>138223.08037089615</v>
      </c>
    </row>
    <row r="179" spans="1:17" ht="14.4">
      <c r="A179" s="364"/>
    </row>
    <row r="180" spans="1:17" ht="14.4">
      <c r="A180" s="364" t="s">
        <v>222</v>
      </c>
      <c r="B180" s="380">
        <f>+'WHRS_Project Scenario'!C39</f>
        <v>0.7</v>
      </c>
      <c r="C180" s="367">
        <f>IF((+$B$180*C178)&lt;0,"0",(+$B$180*C178))</f>
        <v>63436.263441104711</v>
      </c>
      <c r="D180" s="367">
        <f>IF((+$B$142*D178)&lt;0,"0",(+$B$142*D178))</f>
        <v>65226.916138494867</v>
      </c>
      <c r="E180" s="367">
        <f t="shared" ref="E180:Q180" si="102">IF((+$B$142*E178)&lt;0,"0",(+$B$142*E178))</f>
        <v>67065.558328175044</v>
      </c>
      <c r="F180" s="367">
        <f t="shared" si="102"/>
        <v>68953.476128538663</v>
      </c>
      <c r="G180" s="367">
        <f t="shared" si="102"/>
        <v>70891.990125952027</v>
      </c>
      <c r="H180" s="367">
        <f t="shared" si="102"/>
        <v>72882.456298496079</v>
      </c>
      <c r="I180" s="367">
        <f t="shared" si="102"/>
        <v>74926.266964464303</v>
      </c>
      <c r="J180" s="367">
        <f t="shared" si="102"/>
        <v>77024.851756280463</v>
      </c>
      <c r="K180" s="367">
        <f t="shared" si="102"/>
        <v>79179.678620517312</v>
      </c>
      <c r="L180" s="367">
        <f t="shared" si="102"/>
        <v>81392.254844715702</v>
      </c>
      <c r="M180" s="367">
        <f t="shared" si="102"/>
        <v>87043.263826966344</v>
      </c>
      <c r="N180" s="367">
        <f t="shared" si="102"/>
        <v>89376.023297529042</v>
      </c>
      <c r="O180" s="367">
        <f t="shared" si="102"/>
        <v>91771.300721902808</v>
      </c>
      <c r="P180" s="367">
        <f t="shared" si="102"/>
        <v>94230.771581249792</v>
      </c>
      <c r="Q180" s="367">
        <f t="shared" si="102"/>
        <v>96756.1562596273</v>
      </c>
    </row>
    <row r="181" spans="1:17" ht="14.4">
      <c r="A181" s="364" t="s">
        <v>303</v>
      </c>
      <c r="B181" s="378">
        <f>+SUM(C181:Q181)</f>
        <v>1180157.2283340145</v>
      </c>
      <c r="C181" s="367">
        <f>SUM(C180:C180)</f>
        <v>63436.263441104711</v>
      </c>
      <c r="D181" s="367">
        <f t="shared" ref="D181" si="103">SUM(D180:D180)</f>
        <v>65226.916138494867</v>
      </c>
      <c r="E181" s="367">
        <f t="shared" ref="E181" si="104">SUM(E180:E180)</f>
        <v>67065.558328175044</v>
      </c>
      <c r="F181" s="367">
        <f t="shared" ref="F181" si="105">SUM(F180:F180)</f>
        <v>68953.476128538663</v>
      </c>
      <c r="G181" s="367">
        <f t="shared" ref="G181" si="106">SUM(G180:G180)</f>
        <v>70891.990125952027</v>
      </c>
      <c r="H181" s="367">
        <f t="shared" ref="H181" si="107">SUM(H180:H180)</f>
        <v>72882.456298496079</v>
      </c>
      <c r="I181" s="367">
        <f t="shared" ref="I181" si="108">SUM(I180:I180)</f>
        <v>74926.266964464303</v>
      </c>
      <c r="J181" s="367">
        <f t="shared" ref="J181" si="109">SUM(J180:J180)</f>
        <v>77024.851756280463</v>
      </c>
      <c r="K181" s="367">
        <f t="shared" ref="K181" si="110">SUM(K180:K180)</f>
        <v>79179.678620517312</v>
      </c>
      <c r="L181" s="367">
        <f t="shared" ref="L181" si="111">SUM(L180:L180)</f>
        <v>81392.254844715702</v>
      </c>
      <c r="M181" s="367">
        <f t="shared" ref="M181" si="112">SUM(M180:M180)</f>
        <v>87043.263826966344</v>
      </c>
      <c r="N181" s="367">
        <f t="shared" ref="N181" si="113">SUM(N180:N180)</f>
        <v>89376.023297529042</v>
      </c>
      <c r="O181" s="367">
        <f t="shared" ref="O181" si="114">SUM(O180:O180)</f>
        <v>91771.300721902808</v>
      </c>
      <c r="P181" s="367">
        <f t="shared" ref="P181" si="115">SUM(P180:P180)</f>
        <v>94230.771581249792</v>
      </c>
      <c r="Q181" s="367">
        <f t="shared" ref="Q181" si="116">SUM(Q180:Q180)</f>
        <v>96756.1562596273</v>
      </c>
    </row>
    <row r="182" spans="1:17" ht="14.4">
      <c r="A182" s="369"/>
    </row>
    <row r="183" spans="1:17" ht="14.4">
      <c r="A183" s="364" t="s">
        <v>304</v>
      </c>
      <c r="B183" s="378">
        <f t="shared" ref="B183:B185" si="117">+SUM(C183:Q183)</f>
        <v>505781.6692860063</v>
      </c>
      <c r="C183" s="367">
        <f>C178-C181</f>
        <v>27186.970046187744</v>
      </c>
      <c r="D183" s="367">
        <f t="shared" ref="D183:Q183" si="118">D178-D181</f>
        <v>27954.392630783521</v>
      </c>
      <c r="E183" s="367">
        <f t="shared" si="118"/>
        <v>28742.382140646456</v>
      </c>
      <c r="F183" s="367">
        <f t="shared" si="118"/>
        <v>29551.489769373729</v>
      </c>
      <c r="G183" s="367">
        <f t="shared" si="118"/>
        <v>30382.281482550869</v>
      </c>
      <c r="H183" s="367">
        <f t="shared" si="118"/>
        <v>31235.338413641177</v>
      </c>
      <c r="I183" s="367">
        <f t="shared" si="118"/>
        <v>32111.257270484712</v>
      </c>
      <c r="J183" s="367">
        <f t="shared" si="118"/>
        <v>33010.650752691625</v>
      </c>
      <c r="K183" s="367">
        <f t="shared" si="118"/>
        <v>33934.147980221707</v>
      </c>
      <c r="L183" s="367">
        <f t="shared" si="118"/>
        <v>34882.394933449599</v>
      </c>
      <c r="M183" s="367">
        <f t="shared" si="118"/>
        <v>37304.255925842721</v>
      </c>
      <c r="N183" s="367">
        <f t="shared" si="118"/>
        <v>38304.009984655306</v>
      </c>
      <c r="O183" s="367">
        <f t="shared" si="118"/>
        <v>39330.557452244073</v>
      </c>
      <c r="P183" s="367">
        <f t="shared" si="118"/>
        <v>40384.616391964213</v>
      </c>
      <c r="Q183" s="367">
        <f t="shared" si="118"/>
        <v>41466.924111268847</v>
      </c>
    </row>
    <row r="184" spans="1:17" ht="14.4">
      <c r="A184" s="364" t="s">
        <v>305</v>
      </c>
      <c r="B184" s="381">
        <f t="shared" si="117"/>
        <v>48273.367360624987</v>
      </c>
      <c r="C184" s="381">
        <f>+C173</f>
        <v>4827.3367360624998</v>
      </c>
      <c r="D184" s="381">
        <f t="shared" ref="D184:Q184" si="119">+D173</f>
        <v>4827.3367360624998</v>
      </c>
      <c r="E184" s="381">
        <f t="shared" si="119"/>
        <v>4827.3367360624998</v>
      </c>
      <c r="F184" s="381">
        <f t="shared" si="119"/>
        <v>4827.3367360624998</v>
      </c>
      <c r="G184" s="381">
        <f t="shared" si="119"/>
        <v>4827.3367360624998</v>
      </c>
      <c r="H184" s="381">
        <f t="shared" si="119"/>
        <v>4827.3367360624998</v>
      </c>
      <c r="I184" s="381">
        <f t="shared" si="119"/>
        <v>4827.3367360624998</v>
      </c>
      <c r="J184" s="381">
        <f t="shared" si="119"/>
        <v>4827.3367360624998</v>
      </c>
      <c r="K184" s="381">
        <f t="shared" si="119"/>
        <v>4827.3367360624998</v>
      </c>
      <c r="L184" s="381">
        <f t="shared" si="119"/>
        <v>4827.3367360624998</v>
      </c>
      <c r="M184" s="381">
        <f t="shared" si="119"/>
        <v>0</v>
      </c>
      <c r="N184" s="381">
        <f t="shared" si="119"/>
        <v>0</v>
      </c>
      <c r="O184" s="381">
        <f t="shared" si="119"/>
        <v>0</v>
      </c>
      <c r="P184" s="381">
        <f t="shared" si="119"/>
        <v>0</v>
      </c>
      <c r="Q184" s="381">
        <f t="shared" si="119"/>
        <v>0</v>
      </c>
    </row>
    <row r="185" spans="1:17" ht="14.4">
      <c r="A185" s="364" t="s">
        <v>306</v>
      </c>
      <c r="B185" s="378">
        <f t="shared" si="117"/>
        <v>0</v>
      </c>
      <c r="C185" s="367">
        <f>+'WHRS_Project Scenario'!D158</f>
        <v>0</v>
      </c>
      <c r="D185" s="367">
        <f>+'WHRS_Project Scenario'!E158</f>
        <v>0</v>
      </c>
      <c r="E185" s="367">
        <f>+'WHRS_Project Scenario'!F158</f>
        <v>0</v>
      </c>
      <c r="F185" s="367">
        <f>+'WHRS_Project Scenario'!G158</f>
        <v>0</v>
      </c>
      <c r="G185" s="367">
        <f>+'WHRS_Project Scenario'!H158</f>
        <v>0</v>
      </c>
      <c r="H185" s="367">
        <f>+'WHRS_Project Scenario'!I158</f>
        <v>0</v>
      </c>
      <c r="I185" s="367">
        <f>+'WHRS_Project Scenario'!J158</f>
        <v>0</v>
      </c>
      <c r="J185" s="367">
        <f>+'WHRS_Project Scenario'!K158</f>
        <v>0</v>
      </c>
      <c r="K185" s="367">
        <f>+'WHRS_Project Scenario'!L158</f>
        <v>0</v>
      </c>
      <c r="L185" s="367">
        <f>+'WHRS_Project Scenario'!M158</f>
        <v>0</v>
      </c>
      <c r="M185" s="367">
        <f>+'WHRS_Project Scenario'!N158</f>
        <v>0</v>
      </c>
      <c r="N185" s="367">
        <f>+'WHRS_Project Scenario'!O158</f>
        <v>0</v>
      </c>
      <c r="O185" s="367">
        <f>+'WHRS_Project Scenario'!P158</f>
        <v>0</v>
      </c>
      <c r="P185" s="367">
        <f>+'WHRS_Project Scenario'!Q158</f>
        <v>0</v>
      </c>
      <c r="Q185" s="367">
        <f>+'WHRS_Project Scenario'!R158</f>
        <v>0</v>
      </c>
    </row>
    <row r="186" spans="1:17" ht="14.4">
      <c r="A186" s="364"/>
    </row>
    <row r="187" spans="1:17" ht="14.4">
      <c r="A187" s="364" t="s">
        <v>110</v>
      </c>
      <c r="B187" s="381">
        <f>-'WHRS_Project Scenario'!C8*(1+'WHRS Sensitivity Analysis'!$F$6)</f>
        <v>-48273.367360625001</v>
      </c>
      <c r="C187" s="367">
        <f>C183+C184+C185</f>
        <v>32014.306782250242</v>
      </c>
      <c r="D187" s="367">
        <f t="shared" ref="D187:Q187" si="120">D183+D184+D185</f>
        <v>32781.729366846019</v>
      </c>
      <c r="E187" s="367">
        <f t="shared" si="120"/>
        <v>33569.718876708954</v>
      </c>
      <c r="F187" s="367">
        <f t="shared" si="120"/>
        <v>34378.826505436227</v>
      </c>
      <c r="G187" s="367">
        <f t="shared" si="120"/>
        <v>35209.618218613366</v>
      </c>
      <c r="H187" s="367">
        <f t="shared" si="120"/>
        <v>36062.675149703675</v>
      </c>
      <c r="I187" s="367">
        <f t="shared" si="120"/>
        <v>36938.59400654721</v>
      </c>
      <c r="J187" s="367">
        <f t="shared" si="120"/>
        <v>37837.987488754123</v>
      </c>
      <c r="K187" s="367">
        <f t="shared" si="120"/>
        <v>38761.484716284205</v>
      </c>
      <c r="L187" s="367">
        <f t="shared" si="120"/>
        <v>39709.731669512097</v>
      </c>
      <c r="M187" s="367">
        <f t="shared" si="120"/>
        <v>37304.255925842721</v>
      </c>
      <c r="N187" s="367">
        <f t="shared" si="120"/>
        <v>38304.009984655306</v>
      </c>
      <c r="O187" s="367">
        <f t="shared" si="120"/>
        <v>39330.557452244073</v>
      </c>
      <c r="P187" s="367">
        <f t="shared" si="120"/>
        <v>40384.616391964213</v>
      </c>
      <c r="Q187" s="367">
        <f t="shared" si="120"/>
        <v>41466.924111268847</v>
      </c>
    </row>
    <row r="188" spans="1:17" ht="15.6">
      <c r="A188" s="364" t="s">
        <v>51</v>
      </c>
      <c r="B188" s="132">
        <f>IRR(B187:Q187)</f>
        <v>0.68654685254910475</v>
      </c>
    </row>
    <row r="189" spans="1:17" ht="15.6">
      <c r="A189" s="364" t="s">
        <v>267</v>
      </c>
      <c r="B189" s="303">
        <f>NPV('Initial Data'!C21/100,B187:Q187)</f>
        <v>173749.46273943479</v>
      </c>
    </row>
    <row r="191" spans="1:17" ht="14.4">
      <c r="A191" s="508" t="s">
        <v>310</v>
      </c>
      <c r="B191" s="509"/>
      <c r="C191" s="509"/>
      <c r="D191" s="509"/>
      <c r="E191" s="509"/>
      <c r="F191" s="509"/>
      <c r="G191" s="509"/>
      <c r="H191" s="509"/>
      <c r="I191" s="509"/>
      <c r="J191" s="509"/>
      <c r="K191" s="509"/>
      <c r="L191" s="509"/>
      <c r="M191" s="509"/>
      <c r="N191" s="509"/>
      <c r="O191" s="509"/>
      <c r="P191" s="509"/>
      <c r="Q191" s="509"/>
    </row>
    <row r="192" spans="1:17" ht="14.4">
      <c r="A192" s="371" t="s">
        <v>311</v>
      </c>
      <c r="B192" s="372"/>
      <c r="C192" s="372"/>
      <c r="D192" s="372"/>
      <c r="E192" s="372"/>
      <c r="F192" s="372"/>
      <c r="G192" s="372"/>
      <c r="H192" s="372"/>
      <c r="I192" s="372"/>
      <c r="J192" s="372"/>
      <c r="K192" s="372"/>
      <c r="L192" s="372"/>
      <c r="M192" s="372"/>
      <c r="N192" s="372"/>
      <c r="O192" s="372"/>
      <c r="P192" s="372"/>
      <c r="Q192" s="372"/>
    </row>
    <row r="193" spans="1:17" ht="27">
      <c r="A193" s="376"/>
      <c r="B193" s="304" t="s">
        <v>35</v>
      </c>
      <c r="C193" s="352" t="s">
        <v>407</v>
      </c>
      <c r="D193" s="352" t="s">
        <v>408</v>
      </c>
      <c r="E193" s="352" t="s">
        <v>409</v>
      </c>
      <c r="F193" s="352" t="s">
        <v>410</v>
      </c>
      <c r="G193" s="352" t="s">
        <v>411</v>
      </c>
      <c r="H193" s="352" t="s">
        <v>412</v>
      </c>
      <c r="I193" s="352" t="s">
        <v>413</v>
      </c>
      <c r="J193" s="352" t="s">
        <v>414</v>
      </c>
      <c r="K193" s="352" t="s">
        <v>415</v>
      </c>
      <c r="L193" s="352" t="s">
        <v>416</v>
      </c>
      <c r="M193" s="352" t="s">
        <v>417</v>
      </c>
      <c r="N193" s="352" t="s">
        <v>418</v>
      </c>
      <c r="O193" s="352" t="s">
        <v>419</v>
      </c>
      <c r="P193" s="352" t="s">
        <v>420</v>
      </c>
      <c r="Q193" s="352" t="s">
        <v>421</v>
      </c>
    </row>
    <row r="194" spans="1:17" ht="14.4">
      <c r="A194" s="363" t="s">
        <v>290</v>
      </c>
      <c r="B194" s="365"/>
      <c r="C194" s="367">
        <f>+'WHRS_Project Scenario'!D15</f>
        <v>215214.92335078961</v>
      </c>
      <c r="D194" s="367">
        <f>+'WHRS_Project Scenario'!E15</f>
        <v>215214.92335078961</v>
      </c>
      <c r="E194" s="367">
        <f>+'WHRS_Project Scenario'!F15</f>
        <v>215214.92335078961</v>
      </c>
      <c r="F194" s="367">
        <f>+'WHRS_Project Scenario'!G15</f>
        <v>215214.92335078961</v>
      </c>
      <c r="G194" s="367">
        <f>+'WHRS_Project Scenario'!H15</f>
        <v>215214.92335078961</v>
      </c>
      <c r="H194" s="367">
        <f>+'WHRS_Project Scenario'!I15</f>
        <v>215214.92335078961</v>
      </c>
      <c r="I194" s="367">
        <f>+'WHRS_Project Scenario'!J15</f>
        <v>215214.92335078961</v>
      </c>
      <c r="J194" s="367">
        <f>+'WHRS_Project Scenario'!K15</f>
        <v>215214.92335078961</v>
      </c>
      <c r="K194" s="367">
        <f>+'WHRS_Project Scenario'!L15</f>
        <v>215214.92335078961</v>
      </c>
      <c r="L194" s="367">
        <f>+'WHRS_Project Scenario'!M15</f>
        <v>215214.92335078961</v>
      </c>
      <c r="M194" s="367">
        <f>+'WHRS_Project Scenario'!N15</f>
        <v>215214.92335078961</v>
      </c>
      <c r="N194" s="367">
        <f>+'WHRS_Project Scenario'!O15</f>
        <v>215214.92335078961</v>
      </c>
      <c r="O194" s="367">
        <f>+'WHRS_Project Scenario'!P15</f>
        <v>215214.92335078961</v>
      </c>
      <c r="P194" s="367">
        <f>+'WHRS_Project Scenario'!Q15</f>
        <v>215214.92335078961</v>
      </c>
      <c r="Q194" s="367">
        <f>+'WHRS_Project Scenario'!R15</f>
        <v>215214.92335078961</v>
      </c>
    </row>
    <row r="195" spans="1:17" ht="14.4">
      <c r="A195" s="364" t="s">
        <v>291</v>
      </c>
      <c r="B195" s="365"/>
      <c r="C195" s="367">
        <f>+'WHRS_Project Scenario'!D16</f>
        <v>70</v>
      </c>
      <c r="D195" s="367">
        <f>+'WHRS_Project Scenario'!E16</f>
        <v>70</v>
      </c>
      <c r="E195" s="367">
        <f>+'WHRS_Project Scenario'!F16</f>
        <v>70</v>
      </c>
      <c r="F195" s="367">
        <f>+'WHRS_Project Scenario'!G16</f>
        <v>70</v>
      </c>
      <c r="G195" s="367">
        <f>+'WHRS_Project Scenario'!H16</f>
        <v>70</v>
      </c>
      <c r="H195" s="367">
        <f>+'WHRS_Project Scenario'!I16</f>
        <v>70</v>
      </c>
      <c r="I195" s="367">
        <f>+'WHRS_Project Scenario'!J16</f>
        <v>70</v>
      </c>
      <c r="J195" s="367">
        <f>+'WHRS_Project Scenario'!K16</f>
        <v>70</v>
      </c>
      <c r="K195" s="367">
        <f>+'WHRS_Project Scenario'!L16</f>
        <v>70</v>
      </c>
      <c r="L195" s="367">
        <f>+'WHRS_Project Scenario'!M16</f>
        <v>70</v>
      </c>
      <c r="M195" s="367">
        <f>+'WHRS_Project Scenario'!N16</f>
        <v>70</v>
      </c>
      <c r="N195" s="367">
        <f>+'WHRS_Project Scenario'!O16</f>
        <v>70</v>
      </c>
      <c r="O195" s="367">
        <f>+'WHRS_Project Scenario'!P16</f>
        <v>70</v>
      </c>
      <c r="P195" s="367">
        <f>+'WHRS_Project Scenario'!Q16</f>
        <v>70</v>
      </c>
      <c r="Q195" s="367">
        <f>+'WHRS_Project Scenario'!R16</f>
        <v>70</v>
      </c>
    </row>
    <row r="196" spans="1:17" ht="14.4">
      <c r="A196" s="366" t="s">
        <v>292</v>
      </c>
      <c r="B196" s="365"/>
      <c r="C196" s="375">
        <f>+'WHRS_Project Scenario'!D17</f>
        <v>6.4285714285714288</v>
      </c>
      <c r="D196" s="375">
        <f>+'WHRS_Project Scenario'!E17</f>
        <v>6.6008571428571425</v>
      </c>
      <c r="E196" s="375">
        <f>+'WHRS_Project Scenario'!F17</f>
        <v>6.7777601142857131</v>
      </c>
      <c r="F196" s="375">
        <f>+'WHRS_Project Scenario'!G17</f>
        <v>6.9594040853485701</v>
      </c>
      <c r="G196" s="375">
        <f>+'WHRS_Project Scenario'!H17</f>
        <v>7.1459161148359112</v>
      </c>
      <c r="H196" s="375">
        <f>+'WHRS_Project Scenario'!I17</f>
        <v>7.3374266667135135</v>
      </c>
      <c r="I196" s="375">
        <f>+'WHRS_Project Scenario'!J17</f>
        <v>7.5340697013814353</v>
      </c>
      <c r="J196" s="375">
        <f>+'WHRS_Project Scenario'!K17</f>
        <v>7.7359827693784569</v>
      </c>
      <c r="K196" s="375">
        <f>+'WHRS_Project Scenario'!L17</f>
        <v>7.943307107597799</v>
      </c>
      <c r="L196" s="375">
        <f>+'WHRS_Project Scenario'!M17</f>
        <v>8.1561877380814192</v>
      </c>
      <c r="M196" s="375">
        <f>+'WHRS_Project Scenario'!N17</f>
        <v>8.3747735694620005</v>
      </c>
      <c r="N196" s="375">
        <f>+'WHRS_Project Scenario'!O17</f>
        <v>8.5992175011235812</v>
      </c>
      <c r="O196" s="375">
        <f>+'WHRS_Project Scenario'!P17</f>
        <v>8.8296765301536926</v>
      </c>
      <c r="P196" s="375">
        <f>+'WHRS_Project Scenario'!Q17</f>
        <v>9.066311861161811</v>
      </c>
      <c r="Q196" s="375">
        <f>+'WHRS_Project Scenario'!R17</f>
        <v>9.3092890190409463</v>
      </c>
    </row>
    <row r="197" spans="1:17" ht="14.4">
      <c r="A197" s="366" t="s">
        <v>293</v>
      </c>
      <c r="B197" s="365"/>
      <c r="C197" s="367">
        <f>+'WHRS_Project Scenario'!D18</f>
        <v>450</v>
      </c>
      <c r="D197" s="367">
        <f>+'WHRS_Project Scenario'!E18</f>
        <v>462.06</v>
      </c>
      <c r="E197" s="367">
        <f>+'WHRS_Project Scenario'!F18</f>
        <v>474.44320799999991</v>
      </c>
      <c r="F197" s="367">
        <f>+'WHRS_Project Scenario'!G18</f>
        <v>487.15828597439992</v>
      </c>
      <c r="G197" s="367">
        <f>+'WHRS_Project Scenario'!H18</f>
        <v>500.21412803851376</v>
      </c>
      <c r="H197" s="367">
        <f>+'WHRS_Project Scenario'!I18</f>
        <v>513.61986666994596</v>
      </c>
      <c r="I197" s="367">
        <f>+'WHRS_Project Scenario'!J18</f>
        <v>527.3848790967005</v>
      </c>
      <c r="J197" s="367">
        <f>+'WHRS_Project Scenario'!K18</f>
        <v>541.51879385649192</v>
      </c>
      <c r="K197" s="367">
        <f>+'WHRS_Project Scenario'!L18</f>
        <v>556.03149753184596</v>
      </c>
      <c r="L197" s="367">
        <f>+'WHRS_Project Scenario'!M18</f>
        <v>570.9331416656994</v>
      </c>
      <c r="M197" s="367">
        <f>+'WHRS_Project Scenario'!N18</f>
        <v>586.23414986234002</v>
      </c>
      <c r="N197" s="367">
        <f>+'WHRS_Project Scenario'!O18</f>
        <v>601.94522507865065</v>
      </c>
      <c r="O197" s="367">
        <f>+'WHRS_Project Scenario'!P18</f>
        <v>618.0773571107585</v>
      </c>
      <c r="P197" s="367">
        <f>+'WHRS_Project Scenario'!Q18</f>
        <v>634.64183028132675</v>
      </c>
      <c r="Q197" s="367">
        <f>+'WHRS_Project Scenario'!R18</f>
        <v>651.65023133286627</v>
      </c>
    </row>
    <row r="198" spans="1:17" ht="14.4">
      <c r="A198" s="370"/>
      <c r="B198" s="373"/>
      <c r="C198" s="373"/>
      <c r="D198" s="373"/>
      <c r="E198" s="373"/>
      <c r="F198" s="373"/>
      <c r="G198" s="373"/>
      <c r="H198" s="373"/>
      <c r="I198" s="373"/>
      <c r="J198" s="373"/>
      <c r="K198" s="373"/>
      <c r="L198" s="373"/>
      <c r="M198" s="373"/>
      <c r="N198" s="373"/>
      <c r="O198" s="373"/>
      <c r="P198" s="373"/>
      <c r="Q198" s="373"/>
    </row>
    <row r="199" spans="1:17" ht="14.4">
      <c r="A199" s="366" t="s">
        <v>294</v>
      </c>
      <c r="B199" s="378">
        <f>+SUM(C199:Q199)</f>
        <v>1759578.4023479735</v>
      </c>
      <c r="C199" s="367">
        <f>+'WHRS_Project Scenario'!D20</f>
        <v>96846.715507855319</v>
      </c>
      <c r="D199" s="367">
        <f>+'WHRS_Project Scenario'!E20</f>
        <v>99442.207483465856</v>
      </c>
      <c r="E199" s="367">
        <f>+'WHRS_Project Scenario'!F20</f>
        <v>102107.25864402272</v>
      </c>
      <c r="F199" s="367">
        <f>+'WHRS_Project Scenario'!G20</f>
        <v>104843.73317568253</v>
      </c>
      <c r="G199" s="367">
        <f>+'WHRS_Project Scenario'!H20</f>
        <v>107653.5452247908</v>
      </c>
      <c r="H199" s="367">
        <f>+'WHRS_Project Scenario'!I20</f>
        <v>110538.66023681519</v>
      </c>
      <c r="I199" s="367">
        <f>+'WHRS_Project Scenario'!J20</f>
        <v>113501.09633116184</v>
      </c>
      <c r="J199" s="367">
        <f>+'WHRS_Project Scenario'!K20</f>
        <v>116542.92571283695</v>
      </c>
      <c r="K199" s="367">
        <f>+'WHRS_Project Scenario'!L20</f>
        <v>119666.27612194099</v>
      </c>
      <c r="L199" s="367">
        <f>+'WHRS_Project Scenario'!M20</f>
        <v>122873.332322009</v>
      </c>
      <c r="M199" s="367">
        <f>+'WHRS_Project Scenario'!N20</f>
        <v>126166.33762823881</v>
      </c>
      <c r="N199" s="367">
        <f>+'WHRS_Project Scenario'!O20</f>
        <v>129547.5954766756</v>
      </c>
      <c r="O199" s="367">
        <f>+'WHRS_Project Scenario'!P20</f>
        <v>133019.47103545049</v>
      </c>
      <c r="P199" s="367">
        <f>+'WHRS_Project Scenario'!Q20</f>
        <v>136584.39285920057</v>
      </c>
      <c r="Q199" s="367">
        <f>+'WHRS_Project Scenario'!R20</f>
        <v>140244.85458782714</v>
      </c>
    </row>
    <row r="200" spans="1:17" ht="14.4">
      <c r="A200" s="370"/>
      <c r="B200" s="373"/>
      <c r="C200" s="373"/>
      <c r="D200" s="373"/>
      <c r="E200" s="373"/>
      <c r="F200" s="373"/>
      <c r="G200" s="373"/>
      <c r="H200" s="373"/>
      <c r="I200" s="373"/>
      <c r="J200" s="373"/>
      <c r="K200" s="373"/>
      <c r="L200" s="373"/>
      <c r="M200" s="373"/>
      <c r="N200" s="373"/>
      <c r="O200" s="373"/>
      <c r="P200" s="373"/>
      <c r="Q200" s="373"/>
    </row>
    <row r="201" spans="1:17" ht="14.4">
      <c r="A201" s="366" t="s">
        <v>295</v>
      </c>
      <c r="B201" s="378">
        <f>+SUM(C201:Q201)</f>
        <v>1759578.4023479735</v>
      </c>
      <c r="C201" s="367">
        <f>+'WHRS_Project Scenario'!D22</f>
        <v>96846.715507855319</v>
      </c>
      <c r="D201" s="367">
        <f>+'WHRS_Project Scenario'!E22</f>
        <v>99442.207483465856</v>
      </c>
      <c r="E201" s="367">
        <f>+'WHRS_Project Scenario'!F22</f>
        <v>102107.25864402272</v>
      </c>
      <c r="F201" s="367">
        <f>+'WHRS_Project Scenario'!G22</f>
        <v>104843.73317568253</v>
      </c>
      <c r="G201" s="367">
        <f>+'WHRS_Project Scenario'!H22</f>
        <v>107653.5452247908</v>
      </c>
      <c r="H201" s="367">
        <f>+'WHRS_Project Scenario'!I22</f>
        <v>110538.66023681519</v>
      </c>
      <c r="I201" s="367">
        <f>+'WHRS_Project Scenario'!J22</f>
        <v>113501.09633116184</v>
      </c>
      <c r="J201" s="367">
        <f>+'WHRS_Project Scenario'!K22</f>
        <v>116542.92571283695</v>
      </c>
      <c r="K201" s="367">
        <f>+'WHRS_Project Scenario'!L22</f>
        <v>119666.27612194099</v>
      </c>
      <c r="L201" s="367">
        <f>+'WHRS_Project Scenario'!M22</f>
        <v>122873.332322009</v>
      </c>
      <c r="M201" s="367">
        <f>+'WHRS_Project Scenario'!N22</f>
        <v>126166.33762823881</v>
      </c>
      <c r="N201" s="367">
        <f>+'WHRS_Project Scenario'!O22</f>
        <v>129547.5954766756</v>
      </c>
      <c r="O201" s="367">
        <f>+'WHRS_Project Scenario'!P22</f>
        <v>133019.47103545049</v>
      </c>
      <c r="P201" s="367">
        <f>+'WHRS_Project Scenario'!Q22</f>
        <v>136584.39285920057</v>
      </c>
      <c r="Q201" s="367">
        <f>+'WHRS_Project Scenario'!R22</f>
        <v>140244.85458782714</v>
      </c>
    </row>
    <row r="202" spans="1:17" ht="14.4">
      <c r="A202" s="370"/>
      <c r="B202" s="374"/>
      <c r="C202" s="374"/>
      <c r="D202" s="374"/>
      <c r="E202" s="374"/>
      <c r="F202" s="374"/>
      <c r="G202" s="374"/>
      <c r="H202" s="374"/>
      <c r="I202" s="374"/>
      <c r="J202" s="374"/>
      <c r="K202" s="374"/>
      <c r="L202" s="374"/>
      <c r="M202" s="374"/>
      <c r="N202" s="374"/>
      <c r="O202" s="374"/>
      <c r="P202" s="374"/>
      <c r="Q202" s="374"/>
    </row>
    <row r="203" spans="1:17" ht="14.4">
      <c r="A203" s="366" t="s">
        <v>68</v>
      </c>
      <c r="B203" s="368"/>
      <c r="C203" s="368"/>
      <c r="D203" s="368"/>
      <c r="E203" s="368"/>
      <c r="F203" s="368"/>
      <c r="G203" s="368"/>
      <c r="H203" s="368"/>
      <c r="I203" s="368"/>
      <c r="J203" s="368"/>
      <c r="K203" s="368"/>
      <c r="L203" s="368"/>
      <c r="M203" s="368"/>
      <c r="N203" s="368"/>
      <c r="O203" s="368"/>
      <c r="P203" s="368"/>
      <c r="Q203" s="368"/>
    </row>
    <row r="204" spans="1:17" ht="14.4">
      <c r="A204" s="366" t="s">
        <v>296</v>
      </c>
      <c r="B204" s="381">
        <f>+SUM(C204:Q204)</f>
        <v>10376.43326258926</v>
      </c>
      <c r="C204" s="381">
        <f>SUM('Initial Data'!$C$77:$C$80)/'Initial Data'!$C$14/1000*(1+$B$6)</f>
        <v>571.11605758928579</v>
      </c>
      <c r="D204" s="381">
        <f>C204*(1+'Initial Data'!$C$20/100)</f>
        <v>586.42196793267863</v>
      </c>
      <c r="E204" s="381">
        <f>D204*(1+'Initial Data'!$C$20/100)</f>
        <v>602.13807667327433</v>
      </c>
      <c r="F204" s="381">
        <f>E204*(1+'Initial Data'!$C$20/100)</f>
        <v>618.27537712811807</v>
      </c>
      <c r="G204" s="381">
        <f>F204*(1+'Initial Data'!$C$20/100)</f>
        <v>634.84515723515165</v>
      </c>
      <c r="H204" s="381">
        <f>G204*(1+'Initial Data'!$C$20/100)</f>
        <v>651.85900744905371</v>
      </c>
      <c r="I204" s="381">
        <f>H204*(1+'Initial Data'!$C$20/100)</f>
        <v>669.32882884868832</v>
      </c>
      <c r="J204" s="381">
        <f>I204*(1+'Initial Data'!$C$20/100)</f>
        <v>687.26684146183311</v>
      </c>
      <c r="K204" s="381">
        <f>J204*(1+'Initial Data'!$C$20/100)</f>
        <v>705.6855928130102</v>
      </c>
      <c r="L204" s="381">
        <f>K204*(1+'Initial Data'!$C$20/100)</f>
        <v>724.59796670039884</v>
      </c>
      <c r="M204" s="381">
        <f>L204*(1+'Initial Data'!$C$20/100)</f>
        <v>744.01719220796952</v>
      </c>
      <c r="N204" s="381">
        <f>M204*(1+'Initial Data'!$C$20/100)</f>
        <v>763.95685295914302</v>
      </c>
      <c r="O204" s="381">
        <f>N204*(1+'Initial Data'!$C$20/100)</f>
        <v>784.43089661844806</v>
      </c>
      <c r="P204" s="381">
        <f>O204*(1+'Initial Data'!$C$20/100)</f>
        <v>805.45364464782244</v>
      </c>
      <c r="Q204" s="381">
        <f>P204*(1+'Initial Data'!$C$20/100)</f>
        <v>827.03980232438403</v>
      </c>
    </row>
    <row r="205" spans="1:17" ht="14.4">
      <c r="A205" s="366" t="s">
        <v>297</v>
      </c>
      <c r="B205" s="381">
        <f>+SUM(C205:Q205)</f>
        <v>12453.090368005969</v>
      </c>
      <c r="C205" s="381">
        <f>('Initial Data'!$C$82/1000+('Initial Data'!$C$83*'Initial Data'!$C$15/'Initial Data'!$C$14)/1000+'Initial Data'!$C$84/'Initial Data'!$C$14/1000)*(1+$B$6)</f>
        <v>685.41469846103575</v>
      </c>
      <c r="D205" s="381">
        <f>C205*(1+'Initial Data'!$C$20/100)</f>
        <v>703.78381237979147</v>
      </c>
      <c r="E205" s="381">
        <f>D205*(1+'Initial Data'!$C$20/100)</f>
        <v>722.64521855156988</v>
      </c>
      <c r="F205" s="381">
        <f>E205*(1+'Initial Data'!$C$20/100)</f>
        <v>742.01211040875194</v>
      </c>
      <c r="G205" s="381">
        <f>F205*(1+'Initial Data'!$C$20/100)</f>
        <v>761.89803496770639</v>
      </c>
      <c r="H205" s="381">
        <f>G205*(1+'Initial Data'!$C$20/100)</f>
        <v>782.31690230484082</v>
      </c>
      <c r="I205" s="381">
        <f>H205*(1+'Initial Data'!$C$20/100)</f>
        <v>803.28299528661046</v>
      </c>
      <c r="J205" s="381">
        <f>I205*(1+'Initial Data'!$C$20/100)</f>
        <v>824.81097956029157</v>
      </c>
      <c r="K205" s="381">
        <f>J205*(1+'Initial Data'!$C$20/100)</f>
        <v>846.91591381250737</v>
      </c>
      <c r="L205" s="381">
        <f>K205*(1+'Initial Data'!$C$20/100)</f>
        <v>869.61326030268253</v>
      </c>
      <c r="M205" s="381">
        <f>L205*(1+'Initial Data'!$C$20/100)</f>
        <v>892.91889567879434</v>
      </c>
      <c r="N205" s="381">
        <f>M205*(1+'Initial Data'!$C$20/100)</f>
        <v>916.84912208298601</v>
      </c>
      <c r="O205" s="381">
        <f>N205*(1+'Initial Data'!$C$20/100)</f>
        <v>941.42067855481002</v>
      </c>
      <c r="P205" s="381">
        <f>O205*(1+'Initial Data'!$C$20/100)</f>
        <v>966.65075274007881</v>
      </c>
      <c r="Q205" s="381">
        <f>P205*(1+'Initial Data'!$C$20/100)</f>
        <v>992.55699291351289</v>
      </c>
    </row>
    <row r="206" spans="1:17" ht="14.4">
      <c r="A206" s="370"/>
      <c r="B206" s="369"/>
      <c r="C206" s="382"/>
      <c r="D206" s="369"/>
      <c r="E206" s="369"/>
      <c r="F206" s="369"/>
      <c r="G206" s="369"/>
      <c r="H206" s="369"/>
      <c r="I206" s="369"/>
      <c r="J206" s="369"/>
      <c r="K206" s="369"/>
      <c r="L206" s="369"/>
      <c r="M206" s="369"/>
      <c r="N206" s="369"/>
      <c r="O206" s="369"/>
      <c r="P206" s="369"/>
      <c r="Q206" s="369"/>
    </row>
    <row r="207" spans="1:17" ht="14.4">
      <c r="A207" s="366" t="s">
        <v>71</v>
      </c>
      <c r="B207" s="379"/>
      <c r="C207" s="379"/>
      <c r="D207" s="379"/>
      <c r="E207" s="379"/>
      <c r="F207" s="379"/>
      <c r="G207" s="379"/>
      <c r="H207" s="379"/>
      <c r="I207" s="379"/>
      <c r="J207" s="379"/>
      <c r="K207" s="379"/>
      <c r="L207" s="379"/>
      <c r="M207" s="379"/>
      <c r="N207" s="379"/>
      <c r="O207" s="379"/>
      <c r="P207" s="379"/>
      <c r="Q207" s="379"/>
    </row>
    <row r="208" spans="1:17" ht="14.4">
      <c r="A208" s="370"/>
      <c r="B208" s="379"/>
      <c r="C208" s="379"/>
      <c r="D208" s="379"/>
      <c r="E208" s="379"/>
      <c r="F208" s="379"/>
      <c r="G208" s="379"/>
      <c r="H208" s="379"/>
      <c r="I208" s="379"/>
      <c r="J208" s="379"/>
      <c r="K208" s="379"/>
      <c r="L208" s="379"/>
      <c r="M208" s="379"/>
      <c r="N208" s="379"/>
      <c r="O208" s="379"/>
      <c r="P208" s="379"/>
      <c r="Q208" s="379"/>
    </row>
    <row r="209" spans="1:17" ht="14.4">
      <c r="A209" s="366" t="s">
        <v>298</v>
      </c>
      <c r="B209" s="378">
        <f>+SUM(C209:Q209)</f>
        <v>22829.523630595231</v>
      </c>
      <c r="C209" s="367">
        <f>SUM(C204:C205)</f>
        <v>1256.5307560503215</v>
      </c>
      <c r="D209" s="367">
        <f>SUM(D204:D205)</f>
        <v>1290.2057803124701</v>
      </c>
      <c r="E209" s="367">
        <f t="shared" ref="E209:Q209" si="121">SUM(E204:E205)</f>
        <v>1324.7832952248441</v>
      </c>
      <c r="F209" s="367">
        <f t="shared" si="121"/>
        <v>1360.28748753687</v>
      </c>
      <c r="G209" s="367">
        <f t="shared" si="121"/>
        <v>1396.7431922028582</v>
      </c>
      <c r="H209" s="367">
        <f t="shared" si="121"/>
        <v>1434.1759097538945</v>
      </c>
      <c r="I209" s="367">
        <f t="shared" si="121"/>
        <v>1472.6118241352988</v>
      </c>
      <c r="J209" s="367">
        <f t="shared" si="121"/>
        <v>1512.0778210221247</v>
      </c>
      <c r="K209" s="367">
        <f t="shared" si="121"/>
        <v>1552.6015066255177</v>
      </c>
      <c r="L209" s="367">
        <f t="shared" si="121"/>
        <v>1594.2112270030814</v>
      </c>
      <c r="M209" s="367">
        <f t="shared" si="121"/>
        <v>1636.9360878867637</v>
      </c>
      <c r="N209" s="367">
        <f t="shared" si="121"/>
        <v>1680.8059750421289</v>
      </c>
      <c r="O209" s="367">
        <f t="shared" si="121"/>
        <v>1725.851575173258</v>
      </c>
      <c r="P209" s="367">
        <f t="shared" si="121"/>
        <v>1772.1043973879014</v>
      </c>
      <c r="Q209" s="367">
        <f t="shared" si="121"/>
        <v>1819.5967952378969</v>
      </c>
    </row>
    <row r="210" spans="1:17" ht="14.4">
      <c r="A210" s="370"/>
      <c r="B210" s="379"/>
      <c r="C210" s="379"/>
      <c r="D210" s="379"/>
      <c r="E210" s="379"/>
      <c r="F210" s="379"/>
      <c r="G210" s="379"/>
      <c r="H210" s="379"/>
      <c r="I210" s="379"/>
      <c r="J210" s="379"/>
      <c r="K210" s="379"/>
      <c r="L210" s="379"/>
      <c r="M210" s="379"/>
      <c r="N210" s="379"/>
      <c r="O210" s="379"/>
      <c r="P210" s="379"/>
      <c r="Q210" s="379"/>
    </row>
    <row r="211" spans="1:17" ht="14.4">
      <c r="A211" s="366" t="s">
        <v>299</v>
      </c>
      <c r="B211" s="378">
        <f t="shared" ref="B211:B212" si="122">+SUM(C211:Q211)</f>
        <v>43884.879418749995</v>
      </c>
      <c r="C211" s="367">
        <f>'WHRS_Project Scenario'!$C$8/'Initial Data'!$C$19</f>
        <v>4388.4879418749997</v>
      </c>
      <c r="D211" s="367">
        <f>'WHRS_Project Scenario'!$C$8/'Initial Data'!$C$19</f>
        <v>4388.4879418749997</v>
      </c>
      <c r="E211" s="367">
        <f>'WHRS_Project Scenario'!$C$8/'Initial Data'!$C$19</f>
        <v>4388.4879418749997</v>
      </c>
      <c r="F211" s="367">
        <f>'WHRS_Project Scenario'!$C$8/'Initial Data'!$C$19</f>
        <v>4388.4879418749997</v>
      </c>
      <c r="G211" s="367">
        <f>'WHRS_Project Scenario'!$C$8/'Initial Data'!$C$19</f>
        <v>4388.4879418749997</v>
      </c>
      <c r="H211" s="367">
        <f>'WHRS_Project Scenario'!$C$8/'Initial Data'!$C$19</f>
        <v>4388.4879418749997</v>
      </c>
      <c r="I211" s="367">
        <f>'WHRS_Project Scenario'!$C$8/'Initial Data'!$C$19</f>
        <v>4388.4879418749997</v>
      </c>
      <c r="J211" s="367">
        <f>'WHRS_Project Scenario'!$C$8/'Initial Data'!$C$19</f>
        <v>4388.4879418749997</v>
      </c>
      <c r="K211" s="367">
        <f>'WHRS_Project Scenario'!$C$8/'Initial Data'!$C$19</f>
        <v>4388.4879418749997</v>
      </c>
      <c r="L211" s="367">
        <f>'WHRS_Project Scenario'!$C$8/'Initial Data'!$C$19</f>
        <v>4388.4879418749997</v>
      </c>
      <c r="M211" s="367">
        <v>0</v>
      </c>
      <c r="N211" s="367">
        <v>0</v>
      </c>
      <c r="O211" s="367">
        <v>0</v>
      </c>
      <c r="P211" s="367">
        <v>0</v>
      </c>
      <c r="Q211" s="367">
        <v>0</v>
      </c>
    </row>
    <row r="212" spans="1:17" ht="14.4">
      <c r="A212" s="366" t="s">
        <v>300</v>
      </c>
      <c r="B212" s="378">
        <f t="shared" si="122"/>
        <v>43884.879418749995</v>
      </c>
      <c r="C212" s="367">
        <f>SUM(C211:C211)</f>
        <v>4388.4879418749997</v>
      </c>
      <c r="D212" s="367">
        <f t="shared" ref="D212" si="123">SUM(D211:D211)</f>
        <v>4388.4879418749997</v>
      </c>
      <c r="E212" s="367">
        <f t="shared" ref="E212" si="124">SUM(E211:E211)</f>
        <v>4388.4879418749997</v>
      </c>
      <c r="F212" s="367">
        <f t="shared" ref="F212" si="125">SUM(F211:F211)</f>
        <v>4388.4879418749997</v>
      </c>
      <c r="G212" s="367">
        <f t="shared" ref="G212" si="126">SUM(G211:G211)</f>
        <v>4388.4879418749997</v>
      </c>
      <c r="H212" s="367">
        <f t="shared" ref="H212" si="127">SUM(H211:H211)</f>
        <v>4388.4879418749997</v>
      </c>
      <c r="I212" s="367">
        <f t="shared" ref="I212" si="128">SUM(I211:I211)</f>
        <v>4388.4879418749997</v>
      </c>
      <c r="J212" s="367">
        <f t="shared" ref="J212" si="129">SUM(J211:J211)</f>
        <v>4388.4879418749997</v>
      </c>
      <c r="K212" s="367">
        <f t="shared" ref="K212" si="130">SUM(K211:K211)</f>
        <v>4388.4879418749997</v>
      </c>
      <c r="L212" s="367">
        <f t="shared" ref="L212" si="131">SUM(L211:L211)</f>
        <v>4388.4879418749997</v>
      </c>
      <c r="M212" s="367">
        <f t="shared" ref="M212" si="132">SUM(M211:M211)</f>
        <v>0</v>
      </c>
      <c r="N212" s="367">
        <f t="shared" ref="N212" si="133">SUM(N211:N211)</f>
        <v>0</v>
      </c>
      <c r="O212" s="367">
        <f t="shared" ref="O212" si="134">SUM(O211:O211)</f>
        <v>0</v>
      </c>
      <c r="P212" s="367">
        <f t="shared" ref="P212" si="135">SUM(P211:P211)</f>
        <v>0</v>
      </c>
      <c r="Q212" s="367">
        <f t="shared" ref="Q212" si="136">SUM(Q211:Q211)</f>
        <v>0</v>
      </c>
    </row>
    <row r="213" spans="1:17" ht="14.4">
      <c r="A213" s="370"/>
      <c r="B213" s="379"/>
      <c r="C213" s="379"/>
      <c r="D213" s="379"/>
      <c r="E213" s="379"/>
      <c r="F213" s="379"/>
      <c r="G213" s="379"/>
      <c r="H213" s="379"/>
      <c r="I213" s="379"/>
      <c r="J213" s="379"/>
      <c r="K213" s="379"/>
      <c r="L213" s="379"/>
      <c r="M213" s="379"/>
      <c r="N213" s="379"/>
      <c r="O213" s="379"/>
      <c r="P213" s="379"/>
      <c r="Q213" s="379"/>
    </row>
    <row r="214" spans="1:17" ht="14.4">
      <c r="A214" s="366" t="s">
        <v>301</v>
      </c>
      <c r="B214" s="378">
        <f>+SUM(C214:Q214)</f>
        <v>66714.40304934523</v>
      </c>
      <c r="C214" s="367">
        <f>+C209+C212</f>
        <v>5645.0186979253212</v>
      </c>
      <c r="D214" s="367">
        <f>+D209+D212</f>
        <v>5678.6937221874696</v>
      </c>
      <c r="E214" s="367">
        <f t="shared" ref="E214:Q214" si="137">+E209+E212</f>
        <v>5713.2712370998433</v>
      </c>
      <c r="F214" s="367">
        <f t="shared" si="137"/>
        <v>5748.7754294118695</v>
      </c>
      <c r="G214" s="367">
        <f t="shared" si="137"/>
        <v>5785.2311340778579</v>
      </c>
      <c r="H214" s="367">
        <f t="shared" si="137"/>
        <v>5822.663851628894</v>
      </c>
      <c r="I214" s="367">
        <f t="shared" si="137"/>
        <v>5861.0997660102985</v>
      </c>
      <c r="J214" s="367">
        <f t="shared" si="137"/>
        <v>5900.5657628971239</v>
      </c>
      <c r="K214" s="367">
        <f t="shared" si="137"/>
        <v>5941.0894485005174</v>
      </c>
      <c r="L214" s="367">
        <f t="shared" si="137"/>
        <v>5982.6991688780809</v>
      </c>
      <c r="M214" s="367">
        <f t="shared" si="137"/>
        <v>1636.9360878867637</v>
      </c>
      <c r="N214" s="367">
        <f t="shared" si="137"/>
        <v>1680.8059750421289</v>
      </c>
      <c r="O214" s="367">
        <f t="shared" si="137"/>
        <v>1725.851575173258</v>
      </c>
      <c r="P214" s="367">
        <f t="shared" si="137"/>
        <v>1772.1043973879014</v>
      </c>
      <c r="Q214" s="367">
        <f t="shared" si="137"/>
        <v>1819.5967952378969</v>
      </c>
    </row>
    <row r="215" spans="1:17" ht="14.4">
      <c r="A215" s="370"/>
      <c r="B215" s="379"/>
      <c r="C215" s="379"/>
      <c r="D215" s="379"/>
      <c r="E215" s="379"/>
      <c r="F215" s="379"/>
      <c r="G215" s="379"/>
      <c r="H215" s="379"/>
      <c r="I215" s="379"/>
      <c r="J215" s="379"/>
      <c r="K215" s="379"/>
      <c r="L215" s="379"/>
      <c r="M215" s="379"/>
      <c r="N215" s="379"/>
      <c r="O215" s="379"/>
      <c r="P215" s="379"/>
      <c r="Q215" s="379"/>
    </row>
    <row r="216" spans="1:17" ht="14.4">
      <c r="A216" s="364" t="s">
        <v>302</v>
      </c>
      <c r="B216" s="378">
        <f>+SUM(C216:Q216)</f>
        <v>1692863.9992986289</v>
      </c>
      <c r="C216" s="367">
        <f>+C201-C214</f>
        <v>91201.696809929999</v>
      </c>
      <c r="D216" s="367">
        <f t="shared" ref="D216:Q216" si="138">+D201-D214</f>
        <v>93763.513761278387</v>
      </c>
      <c r="E216" s="367">
        <f t="shared" si="138"/>
        <v>96393.987406922868</v>
      </c>
      <c r="F216" s="367">
        <f t="shared" si="138"/>
        <v>99094.957746270666</v>
      </c>
      <c r="G216" s="367">
        <f t="shared" si="138"/>
        <v>101868.31409071294</v>
      </c>
      <c r="H216" s="367">
        <f t="shared" si="138"/>
        <v>104715.9963851863</v>
      </c>
      <c r="I216" s="367">
        <f t="shared" si="138"/>
        <v>107639.99656515154</v>
      </c>
      <c r="J216" s="367">
        <f t="shared" si="138"/>
        <v>110642.35994993983</v>
      </c>
      <c r="K216" s="367">
        <f t="shared" si="138"/>
        <v>113725.18667344048</v>
      </c>
      <c r="L216" s="367">
        <f t="shared" si="138"/>
        <v>116890.63315313091</v>
      </c>
      <c r="M216" s="367">
        <f t="shared" si="138"/>
        <v>124529.40154035205</v>
      </c>
      <c r="N216" s="367">
        <f t="shared" si="138"/>
        <v>127866.78950163348</v>
      </c>
      <c r="O216" s="367">
        <f t="shared" si="138"/>
        <v>131293.61946027723</v>
      </c>
      <c r="P216" s="367">
        <f t="shared" si="138"/>
        <v>134812.28846181266</v>
      </c>
      <c r="Q216" s="367">
        <f t="shared" si="138"/>
        <v>138425.25779258925</v>
      </c>
    </row>
    <row r="217" spans="1:17" ht="14.4">
      <c r="A217" s="364"/>
    </row>
    <row r="218" spans="1:17" ht="14.4">
      <c r="A218" s="364" t="s">
        <v>222</v>
      </c>
      <c r="B218" s="380">
        <f>+'WHRS_Project Scenario'!C39</f>
        <v>0.7</v>
      </c>
      <c r="C218" s="367">
        <f>IF((+$B$218*C216)&lt;0,"0",(+$B$218*C216))</f>
        <v>63841.187766950992</v>
      </c>
      <c r="D218" s="367">
        <f t="shared" ref="D218:Q218" si="139">IF((+$B$218*D216)&lt;0,"0",(+$B$218*D216))</f>
        <v>65634.459632894868</v>
      </c>
      <c r="E218" s="367">
        <f t="shared" si="139"/>
        <v>67475.791184846006</v>
      </c>
      <c r="F218" s="367">
        <f t="shared" si="139"/>
        <v>69366.470422389466</v>
      </c>
      <c r="G218" s="367">
        <f t="shared" si="139"/>
        <v>71307.819863499055</v>
      </c>
      <c r="H218" s="367">
        <f t="shared" si="139"/>
        <v>73301.19746963041</v>
      </c>
      <c r="I218" s="367">
        <f t="shared" si="139"/>
        <v>75347.997595606066</v>
      </c>
      <c r="J218" s="367">
        <f t="shared" si="139"/>
        <v>77449.651964957869</v>
      </c>
      <c r="K218" s="367">
        <f t="shared" si="139"/>
        <v>79607.630671408333</v>
      </c>
      <c r="L218" s="367">
        <f t="shared" si="139"/>
        <v>81823.443207191638</v>
      </c>
      <c r="M218" s="367">
        <f t="shared" si="139"/>
        <v>87170.581078246425</v>
      </c>
      <c r="N218" s="367">
        <f t="shared" si="139"/>
        <v>89506.752651143426</v>
      </c>
      <c r="O218" s="367">
        <f t="shared" si="139"/>
        <v>91905.533622194052</v>
      </c>
      <c r="P218" s="367">
        <f t="shared" si="139"/>
        <v>94368.601923268856</v>
      </c>
      <c r="Q218" s="367">
        <f t="shared" si="139"/>
        <v>96897.680454812478</v>
      </c>
    </row>
    <row r="219" spans="1:17" ht="14.4">
      <c r="A219" s="364" t="s">
        <v>303</v>
      </c>
      <c r="B219" s="378">
        <f>+SUM(C219:Q219)</f>
        <v>1185004.7995090401</v>
      </c>
      <c r="C219" s="367">
        <f>SUM(C218:C218)</f>
        <v>63841.187766950992</v>
      </c>
      <c r="D219" s="367">
        <f t="shared" ref="D219" si="140">SUM(D218:D218)</f>
        <v>65634.459632894868</v>
      </c>
      <c r="E219" s="367">
        <f t="shared" ref="E219" si="141">SUM(E218:E218)</f>
        <v>67475.791184846006</v>
      </c>
      <c r="F219" s="367">
        <f t="shared" ref="F219" si="142">SUM(F218:F218)</f>
        <v>69366.470422389466</v>
      </c>
      <c r="G219" s="367">
        <f t="shared" ref="G219" si="143">SUM(G218:G218)</f>
        <v>71307.819863499055</v>
      </c>
      <c r="H219" s="367">
        <f t="shared" ref="H219" si="144">SUM(H218:H218)</f>
        <v>73301.19746963041</v>
      </c>
      <c r="I219" s="367">
        <f t="shared" ref="I219" si="145">SUM(I218:I218)</f>
        <v>75347.997595606066</v>
      </c>
      <c r="J219" s="367">
        <f t="shared" ref="J219" si="146">SUM(J218:J218)</f>
        <v>77449.651964957869</v>
      </c>
      <c r="K219" s="367">
        <f t="shared" ref="K219" si="147">SUM(K218:K218)</f>
        <v>79607.630671408333</v>
      </c>
      <c r="L219" s="367">
        <f t="shared" ref="L219" si="148">SUM(L218:L218)</f>
        <v>81823.443207191638</v>
      </c>
      <c r="M219" s="367">
        <f t="shared" ref="M219" si="149">SUM(M218:M218)</f>
        <v>87170.581078246425</v>
      </c>
      <c r="N219" s="367">
        <f t="shared" ref="N219" si="150">SUM(N218:N218)</f>
        <v>89506.752651143426</v>
      </c>
      <c r="O219" s="367">
        <f t="shared" ref="O219" si="151">SUM(O218:O218)</f>
        <v>91905.533622194052</v>
      </c>
      <c r="P219" s="367">
        <f t="shared" ref="P219" si="152">SUM(P218:P218)</f>
        <v>94368.601923268856</v>
      </c>
      <c r="Q219" s="367">
        <f t="shared" ref="Q219" si="153">SUM(Q218:Q218)</f>
        <v>96897.680454812478</v>
      </c>
    </row>
    <row r="220" spans="1:17" ht="14.4">
      <c r="A220" s="369"/>
    </row>
    <row r="221" spans="1:17" ht="14.4">
      <c r="A221" s="364" t="s">
        <v>304</v>
      </c>
      <c r="B221" s="378">
        <f t="shared" ref="B221:B223" si="154">+SUM(C221:Q221)</f>
        <v>507859.19978958857</v>
      </c>
      <c r="C221" s="367">
        <f>C216-C219</f>
        <v>27360.509042979007</v>
      </c>
      <c r="D221" s="367">
        <f t="shared" ref="D221:Q221" si="155">D216-D219</f>
        <v>28129.054128383519</v>
      </c>
      <c r="E221" s="367">
        <f t="shared" si="155"/>
        <v>28918.196222076862</v>
      </c>
      <c r="F221" s="367">
        <f t="shared" si="155"/>
        <v>29728.4873238812</v>
      </c>
      <c r="G221" s="367">
        <f t="shared" si="155"/>
        <v>30560.494227213887</v>
      </c>
      <c r="H221" s="367">
        <f t="shared" si="155"/>
        <v>31414.79891555589</v>
      </c>
      <c r="I221" s="367">
        <f t="shared" si="155"/>
        <v>32291.998969545471</v>
      </c>
      <c r="J221" s="367">
        <f t="shared" si="155"/>
        <v>33192.707984981957</v>
      </c>
      <c r="K221" s="367">
        <f t="shared" si="155"/>
        <v>34117.556002032143</v>
      </c>
      <c r="L221" s="367">
        <f t="shared" si="155"/>
        <v>35067.189945939273</v>
      </c>
      <c r="M221" s="367">
        <f t="shared" si="155"/>
        <v>37358.820462105621</v>
      </c>
      <c r="N221" s="367">
        <f t="shared" si="155"/>
        <v>38360.036850490054</v>
      </c>
      <c r="O221" s="367">
        <f t="shared" si="155"/>
        <v>39388.085838083178</v>
      </c>
      <c r="P221" s="367">
        <f t="shared" si="155"/>
        <v>40443.6865385438</v>
      </c>
      <c r="Q221" s="367">
        <f t="shared" si="155"/>
        <v>41527.577337776776</v>
      </c>
    </row>
    <row r="222" spans="1:17" ht="14.4">
      <c r="A222" s="364" t="s">
        <v>305</v>
      </c>
      <c r="B222" s="378">
        <f t="shared" si="154"/>
        <v>43884.879418749995</v>
      </c>
      <c r="C222" s="367">
        <f>+C211</f>
        <v>4388.4879418749997</v>
      </c>
      <c r="D222" s="367">
        <f t="shared" ref="D222:Q222" si="156">+D211</f>
        <v>4388.4879418749997</v>
      </c>
      <c r="E222" s="367">
        <f t="shared" si="156"/>
        <v>4388.4879418749997</v>
      </c>
      <c r="F222" s="367">
        <f t="shared" si="156"/>
        <v>4388.4879418749997</v>
      </c>
      <c r="G222" s="367">
        <f t="shared" si="156"/>
        <v>4388.4879418749997</v>
      </c>
      <c r="H222" s="367">
        <f t="shared" si="156"/>
        <v>4388.4879418749997</v>
      </c>
      <c r="I222" s="367">
        <f t="shared" si="156"/>
        <v>4388.4879418749997</v>
      </c>
      <c r="J222" s="367">
        <f t="shared" si="156"/>
        <v>4388.4879418749997</v>
      </c>
      <c r="K222" s="367">
        <f t="shared" si="156"/>
        <v>4388.4879418749997</v>
      </c>
      <c r="L222" s="367">
        <f t="shared" si="156"/>
        <v>4388.4879418749997</v>
      </c>
      <c r="M222" s="367">
        <f t="shared" si="156"/>
        <v>0</v>
      </c>
      <c r="N222" s="367">
        <f t="shared" si="156"/>
        <v>0</v>
      </c>
      <c r="O222" s="367">
        <f t="shared" si="156"/>
        <v>0</v>
      </c>
      <c r="P222" s="367">
        <f t="shared" si="156"/>
        <v>0</v>
      </c>
      <c r="Q222" s="367">
        <f t="shared" si="156"/>
        <v>0</v>
      </c>
    </row>
    <row r="223" spans="1:17" ht="14.4">
      <c r="A223" s="364" t="s">
        <v>306</v>
      </c>
      <c r="B223" s="378">
        <f t="shared" si="154"/>
        <v>0</v>
      </c>
      <c r="C223" s="367">
        <f>+'WHRS_Project Scenario'!D196</f>
        <v>0</v>
      </c>
      <c r="D223" s="367">
        <f>+'WHRS_Project Scenario'!E196</f>
        <v>0</v>
      </c>
      <c r="E223" s="367">
        <f>+'WHRS_Project Scenario'!F196</f>
        <v>0</v>
      </c>
      <c r="F223" s="367">
        <f>+'WHRS_Project Scenario'!G196</f>
        <v>0</v>
      </c>
      <c r="G223" s="367">
        <f>+'WHRS_Project Scenario'!H196</f>
        <v>0</v>
      </c>
      <c r="H223" s="367">
        <f>+'WHRS_Project Scenario'!I196</f>
        <v>0</v>
      </c>
      <c r="I223" s="367">
        <f>+'WHRS_Project Scenario'!J196</f>
        <v>0</v>
      </c>
      <c r="J223" s="367">
        <f>+'WHRS_Project Scenario'!K196</f>
        <v>0</v>
      </c>
      <c r="K223" s="367">
        <f>+'WHRS_Project Scenario'!L196</f>
        <v>0</v>
      </c>
      <c r="L223" s="367">
        <f>+'WHRS_Project Scenario'!M196</f>
        <v>0</v>
      </c>
      <c r="M223" s="367">
        <f>+'WHRS_Project Scenario'!N196</f>
        <v>0</v>
      </c>
      <c r="N223" s="367">
        <f>+'WHRS_Project Scenario'!O196</f>
        <v>0</v>
      </c>
      <c r="O223" s="367">
        <f>+'WHRS_Project Scenario'!P196</f>
        <v>0</v>
      </c>
      <c r="P223" s="367">
        <f>+'WHRS_Project Scenario'!Q196</f>
        <v>0</v>
      </c>
      <c r="Q223" s="367">
        <f>+'WHRS_Project Scenario'!R196</f>
        <v>0</v>
      </c>
    </row>
    <row r="224" spans="1:17" ht="14.4">
      <c r="A224" s="364"/>
    </row>
    <row r="225" spans="1:17" ht="14.4">
      <c r="A225" s="364" t="s">
        <v>110</v>
      </c>
      <c r="B225" s="378">
        <f>-'WHRS_Project Scenario'!C8</f>
        <v>-43884.879418749995</v>
      </c>
      <c r="C225" s="367">
        <f>C221+C222+C223</f>
        <v>31748.996984854006</v>
      </c>
      <c r="D225" s="367">
        <f t="shared" ref="D225:Q225" si="157">D221+D222+D223</f>
        <v>32517.542070258518</v>
      </c>
      <c r="E225" s="367">
        <f t="shared" si="157"/>
        <v>33306.684163951861</v>
      </c>
      <c r="F225" s="367">
        <f t="shared" si="157"/>
        <v>34116.975265756198</v>
      </c>
      <c r="G225" s="367">
        <f t="shared" si="157"/>
        <v>34948.982169088886</v>
      </c>
      <c r="H225" s="367">
        <f t="shared" si="157"/>
        <v>35803.286857430889</v>
      </c>
      <c r="I225" s="367">
        <f t="shared" si="157"/>
        <v>36680.48691142047</v>
      </c>
      <c r="J225" s="367">
        <f t="shared" si="157"/>
        <v>37581.195926856955</v>
      </c>
      <c r="K225" s="367">
        <f t="shared" si="157"/>
        <v>38506.043943907142</v>
      </c>
      <c r="L225" s="367">
        <f t="shared" si="157"/>
        <v>39455.677887814272</v>
      </c>
      <c r="M225" s="367">
        <f t="shared" si="157"/>
        <v>37358.820462105621</v>
      </c>
      <c r="N225" s="367">
        <f t="shared" si="157"/>
        <v>38360.036850490054</v>
      </c>
      <c r="O225" s="367">
        <f t="shared" si="157"/>
        <v>39388.085838083178</v>
      </c>
      <c r="P225" s="367">
        <f t="shared" si="157"/>
        <v>40443.6865385438</v>
      </c>
      <c r="Q225" s="367">
        <f t="shared" si="157"/>
        <v>41527.577337776776</v>
      </c>
    </row>
    <row r="226" spans="1:17" ht="15.6">
      <c r="A226" s="364" t="s">
        <v>51</v>
      </c>
      <c r="B226" s="132">
        <f>IRR(B225:Q225)</f>
        <v>0.7472710647469486</v>
      </c>
    </row>
    <row r="227" spans="1:17" ht="15.6">
      <c r="A227" s="364" t="s">
        <v>267</v>
      </c>
      <c r="B227" s="303">
        <f>NPV('Initial Data'!C21/100,B225:Q225)</f>
        <v>176410.25997849627</v>
      </c>
    </row>
    <row r="229" spans="1:17" ht="14.4">
      <c r="A229" s="508" t="s">
        <v>310</v>
      </c>
      <c r="B229" s="509"/>
      <c r="C229" s="509"/>
      <c r="D229" s="509"/>
      <c r="E229" s="509"/>
      <c r="F229" s="509"/>
      <c r="G229" s="509"/>
      <c r="H229" s="509"/>
      <c r="I229" s="509"/>
      <c r="J229" s="509"/>
      <c r="K229" s="509"/>
      <c r="L229" s="509"/>
      <c r="M229" s="509"/>
      <c r="N229" s="509"/>
      <c r="O229" s="509"/>
      <c r="P229" s="509"/>
      <c r="Q229" s="509"/>
    </row>
    <row r="230" spans="1:17" ht="14.4">
      <c r="A230" s="371" t="s">
        <v>312</v>
      </c>
      <c r="B230" s="372"/>
      <c r="C230" s="372"/>
      <c r="D230" s="372"/>
      <c r="E230" s="372"/>
      <c r="F230" s="372"/>
      <c r="G230" s="372"/>
      <c r="H230" s="372"/>
      <c r="I230" s="372"/>
      <c r="J230" s="372"/>
      <c r="K230" s="372"/>
      <c r="L230" s="372"/>
      <c r="M230" s="372"/>
      <c r="N230" s="372"/>
      <c r="O230" s="372"/>
      <c r="P230" s="372"/>
      <c r="Q230" s="372"/>
    </row>
    <row r="231" spans="1:17" ht="27">
      <c r="A231" s="376"/>
      <c r="B231" s="304" t="s">
        <v>35</v>
      </c>
      <c r="C231" s="352" t="s">
        <v>407</v>
      </c>
      <c r="D231" s="352" t="s">
        <v>408</v>
      </c>
      <c r="E231" s="352" t="s">
        <v>409</v>
      </c>
      <c r="F231" s="352" t="s">
        <v>410</v>
      </c>
      <c r="G231" s="352" t="s">
        <v>411</v>
      </c>
      <c r="H231" s="352" t="s">
        <v>412</v>
      </c>
      <c r="I231" s="352" t="s">
        <v>413</v>
      </c>
      <c r="J231" s="352" t="s">
        <v>414</v>
      </c>
      <c r="K231" s="352" t="s">
        <v>415</v>
      </c>
      <c r="L231" s="352" t="s">
        <v>416</v>
      </c>
      <c r="M231" s="352" t="s">
        <v>417</v>
      </c>
      <c r="N231" s="352" t="s">
        <v>418</v>
      </c>
      <c r="O231" s="352" t="s">
        <v>419</v>
      </c>
      <c r="P231" s="352" t="s">
        <v>420</v>
      </c>
      <c r="Q231" s="352" t="s">
        <v>421</v>
      </c>
    </row>
    <row r="232" spans="1:17" ht="14.4">
      <c r="A232" s="363" t="s">
        <v>290</v>
      </c>
      <c r="B232" s="365"/>
      <c r="C232" s="367">
        <f>+'WHRS_Project Scenario'!D15</f>
        <v>215214.92335078961</v>
      </c>
      <c r="D232" s="367">
        <f>+'WHRS_Project Scenario'!E15</f>
        <v>215214.92335078961</v>
      </c>
      <c r="E232" s="367">
        <f>+'WHRS_Project Scenario'!F15</f>
        <v>215214.92335078961</v>
      </c>
      <c r="F232" s="367">
        <f>+'WHRS_Project Scenario'!G15</f>
        <v>215214.92335078961</v>
      </c>
      <c r="G232" s="367">
        <f>+'WHRS_Project Scenario'!H15</f>
        <v>215214.92335078961</v>
      </c>
      <c r="H232" s="367">
        <f>+'WHRS_Project Scenario'!I15</f>
        <v>215214.92335078961</v>
      </c>
      <c r="I232" s="367">
        <f>+'WHRS_Project Scenario'!J15</f>
        <v>215214.92335078961</v>
      </c>
      <c r="J232" s="367">
        <f>+'WHRS_Project Scenario'!K15</f>
        <v>215214.92335078961</v>
      </c>
      <c r="K232" s="367">
        <f>+'WHRS_Project Scenario'!L15</f>
        <v>215214.92335078961</v>
      </c>
      <c r="L232" s="367">
        <f>+'WHRS_Project Scenario'!M15</f>
        <v>215214.92335078961</v>
      </c>
      <c r="M232" s="367">
        <f>+'WHRS_Project Scenario'!N15</f>
        <v>215214.92335078961</v>
      </c>
      <c r="N232" s="367">
        <f>+'WHRS_Project Scenario'!O15</f>
        <v>215214.92335078961</v>
      </c>
      <c r="O232" s="367">
        <f>+'WHRS_Project Scenario'!P15</f>
        <v>215214.92335078961</v>
      </c>
      <c r="P232" s="367">
        <f>+'WHRS_Project Scenario'!Q15</f>
        <v>215214.92335078961</v>
      </c>
      <c r="Q232" s="367">
        <f>+'WHRS_Project Scenario'!R15</f>
        <v>215214.92335078961</v>
      </c>
    </row>
    <row r="233" spans="1:17" ht="14.4">
      <c r="A233" s="364" t="s">
        <v>291</v>
      </c>
      <c r="B233" s="365"/>
      <c r="C233" s="367">
        <f>+'WHRS_Project Scenario'!D16</f>
        <v>70</v>
      </c>
      <c r="D233" s="367">
        <f>+'WHRS_Project Scenario'!E16</f>
        <v>70</v>
      </c>
      <c r="E233" s="367">
        <f>+'WHRS_Project Scenario'!F16</f>
        <v>70</v>
      </c>
      <c r="F233" s="367">
        <f>+'WHRS_Project Scenario'!G16</f>
        <v>70</v>
      </c>
      <c r="G233" s="367">
        <f>+'WHRS_Project Scenario'!H16</f>
        <v>70</v>
      </c>
      <c r="H233" s="367">
        <f>+'WHRS_Project Scenario'!I16</f>
        <v>70</v>
      </c>
      <c r="I233" s="367">
        <f>+'WHRS_Project Scenario'!J16</f>
        <v>70</v>
      </c>
      <c r="J233" s="367">
        <f>+'WHRS_Project Scenario'!K16</f>
        <v>70</v>
      </c>
      <c r="K233" s="367">
        <f>+'WHRS_Project Scenario'!L16</f>
        <v>70</v>
      </c>
      <c r="L233" s="367">
        <f>+'WHRS_Project Scenario'!M16</f>
        <v>70</v>
      </c>
      <c r="M233" s="367">
        <f>+'WHRS_Project Scenario'!N16</f>
        <v>70</v>
      </c>
      <c r="N233" s="367">
        <f>+'WHRS_Project Scenario'!O16</f>
        <v>70</v>
      </c>
      <c r="O233" s="367">
        <f>+'WHRS_Project Scenario'!P16</f>
        <v>70</v>
      </c>
      <c r="P233" s="367">
        <f>+'WHRS_Project Scenario'!Q16</f>
        <v>70</v>
      </c>
      <c r="Q233" s="367">
        <f>+'WHRS_Project Scenario'!R16</f>
        <v>70</v>
      </c>
    </row>
    <row r="234" spans="1:17" ht="14.4">
      <c r="A234" s="366" t="s">
        <v>292</v>
      </c>
      <c r="B234" s="365"/>
      <c r="C234" s="375">
        <f>+'WHRS_Project Scenario'!D17</f>
        <v>6.4285714285714288</v>
      </c>
      <c r="D234" s="375">
        <f>+'WHRS_Project Scenario'!E17</f>
        <v>6.6008571428571425</v>
      </c>
      <c r="E234" s="375">
        <f>+'WHRS_Project Scenario'!F17</f>
        <v>6.7777601142857131</v>
      </c>
      <c r="F234" s="375">
        <f>+'WHRS_Project Scenario'!G17</f>
        <v>6.9594040853485701</v>
      </c>
      <c r="G234" s="375">
        <f>+'WHRS_Project Scenario'!H17</f>
        <v>7.1459161148359112</v>
      </c>
      <c r="H234" s="375">
        <f>+'WHRS_Project Scenario'!I17</f>
        <v>7.3374266667135135</v>
      </c>
      <c r="I234" s="375">
        <f>+'WHRS_Project Scenario'!J17</f>
        <v>7.5340697013814353</v>
      </c>
      <c r="J234" s="375">
        <f>+'WHRS_Project Scenario'!K17</f>
        <v>7.7359827693784569</v>
      </c>
      <c r="K234" s="375">
        <f>+'WHRS_Project Scenario'!L17</f>
        <v>7.943307107597799</v>
      </c>
      <c r="L234" s="375">
        <f>+'WHRS_Project Scenario'!M17</f>
        <v>8.1561877380814192</v>
      </c>
      <c r="M234" s="375">
        <f>+'WHRS_Project Scenario'!N17</f>
        <v>8.3747735694620005</v>
      </c>
      <c r="N234" s="375">
        <f>+'WHRS_Project Scenario'!O17</f>
        <v>8.5992175011235812</v>
      </c>
      <c r="O234" s="375">
        <f>+'WHRS_Project Scenario'!P17</f>
        <v>8.8296765301536926</v>
      </c>
      <c r="P234" s="375">
        <f>+'WHRS_Project Scenario'!Q17</f>
        <v>9.066311861161811</v>
      </c>
      <c r="Q234" s="375">
        <f>+'WHRS_Project Scenario'!R17</f>
        <v>9.3092890190409463</v>
      </c>
    </row>
    <row r="235" spans="1:17" ht="14.4">
      <c r="A235" s="366" t="s">
        <v>293</v>
      </c>
      <c r="B235" s="365"/>
      <c r="C235" s="367">
        <f>+'WHRS_Project Scenario'!D18</f>
        <v>450</v>
      </c>
      <c r="D235" s="367">
        <f>+'WHRS_Project Scenario'!E18</f>
        <v>462.06</v>
      </c>
      <c r="E235" s="367">
        <f>+'WHRS_Project Scenario'!F18</f>
        <v>474.44320799999991</v>
      </c>
      <c r="F235" s="367">
        <f>+'WHRS_Project Scenario'!G18</f>
        <v>487.15828597439992</v>
      </c>
      <c r="G235" s="367">
        <f>+'WHRS_Project Scenario'!H18</f>
        <v>500.21412803851376</v>
      </c>
      <c r="H235" s="367">
        <f>+'WHRS_Project Scenario'!I18</f>
        <v>513.61986666994596</v>
      </c>
      <c r="I235" s="367">
        <f>+'WHRS_Project Scenario'!J18</f>
        <v>527.3848790967005</v>
      </c>
      <c r="J235" s="367">
        <f>+'WHRS_Project Scenario'!K18</f>
        <v>541.51879385649192</v>
      </c>
      <c r="K235" s="367">
        <f>+'WHRS_Project Scenario'!L18</f>
        <v>556.03149753184596</v>
      </c>
      <c r="L235" s="367">
        <f>+'WHRS_Project Scenario'!M18</f>
        <v>570.9331416656994</v>
      </c>
      <c r="M235" s="367">
        <f>+'WHRS_Project Scenario'!N18</f>
        <v>586.23414986234002</v>
      </c>
      <c r="N235" s="367">
        <f>+'WHRS_Project Scenario'!O18</f>
        <v>601.94522507865065</v>
      </c>
      <c r="O235" s="367">
        <f>+'WHRS_Project Scenario'!P18</f>
        <v>618.0773571107585</v>
      </c>
      <c r="P235" s="367">
        <f>+'WHRS_Project Scenario'!Q18</f>
        <v>634.64183028132675</v>
      </c>
      <c r="Q235" s="367">
        <f>+'WHRS_Project Scenario'!R18</f>
        <v>651.65023133286627</v>
      </c>
    </row>
    <row r="236" spans="1:17" ht="14.4">
      <c r="A236" s="370"/>
      <c r="B236" s="373"/>
      <c r="C236" s="373"/>
      <c r="D236" s="373"/>
      <c r="E236" s="373"/>
      <c r="F236" s="373"/>
      <c r="G236" s="373"/>
      <c r="H236" s="373"/>
      <c r="I236" s="373"/>
      <c r="J236" s="373"/>
      <c r="K236" s="373"/>
      <c r="L236" s="373"/>
      <c r="M236" s="373"/>
      <c r="N236" s="373"/>
      <c r="O236" s="373"/>
      <c r="P236" s="373"/>
      <c r="Q236" s="373"/>
    </row>
    <row r="237" spans="1:17" ht="14.4">
      <c r="A237" s="366" t="s">
        <v>294</v>
      </c>
      <c r="B237" s="378">
        <f>+SUM(C237:Q237)</f>
        <v>1759578.4023479735</v>
      </c>
      <c r="C237" s="367">
        <f>+'WHRS_Project Scenario'!D20</f>
        <v>96846.715507855319</v>
      </c>
      <c r="D237" s="367">
        <f>+'WHRS_Project Scenario'!E20</f>
        <v>99442.207483465856</v>
      </c>
      <c r="E237" s="367">
        <f>+'WHRS_Project Scenario'!F20</f>
        <v>102107.25864402272</v>
      </c>
      <c r="F237" s="367">
        <f>+'WHRS_Project Scenario'!G20</f>
        <v>104843.73317568253</v>
      </c>
      <c r="G237" s="367">
        <f>+'WHRS_Project Scenario'!H20</f>
        <v>107653.5452247908</v>
      </c>
      <c r="H237" s="367">
        <f>+'WHRS_Project Scenario'!I20</f>
        <v>110538.66023681519</v>
      </c>
      <c r="I237" s="367">
        <f>+'WHRS_Project Scenario'!J20</f>
        <v>113501.09633116184</v>
      </c>
      <c r="J237" s="367">
        <f>+'WHRS_Project Scenario'!K20</f>
        <v>116542.92571283695</v>
      </c>
      <c r="K237" s="367">
        <f>+'WHRS_Project Scenario'!L20</f>
        <v>119666.27612194099</v>
      </c>
      <c r="L237" s="367">
        <f>+'WHRS_Project Scenario'!M20</f>
        <v>122873.332322009</v>
      </c>
      <c r="M237" s="367">
        <f>+'WHRS_Project Scenario'!N20</f>
        <v>126166.33762823881</v>
      </c>
      <c r="N237" s="367">
        <f>+'WHRS_Project Scenario'!O20</f>
        <v>129547.5954766756</v>
      </c>
      <c r="O237" s="367">
        <f>+'WHRS_Project Scenario'!P20</f>
        <v>133019.47103545049</v>
      </c>
      <c r="P237" s="367">
        <f>+'WHRS_Project Scenario'!Q20</f>
        <v>136584.39285920057</v>
      </c>
      <c r="Q237" s="367">
        <f>+'WHRS_Project Scenario'!R20</f>
        <v>140244.85458782714</v>
      </c>
    </row>
    <row r="238" spans="1:17" ht="14.4">
      <c r="A238" s="370"/>
      <c r="B238" s="373"/>
      <c r="C238" s="373"/>
      <c r="D238" s="373"/>
      <c r="E238" s="373"/>
      <c r="F238" s="373"/>
      <c r="G238" s="373"/>
      <c r="H238" s="373"/>
      <c r="I238" s="373"/>
      <c r="J238" s="373"/>
      <c r="K238" s="373"/>
      <c r="L238" s="373"/>
      <c r="M238" s="373"/>
      <c r="N238" s="373"/>
      <c r="O238" s="373"/>
      <c r="P238" s="373"/>
      <c r="Q238" s="373"/>
    </row>
    <row r="239" spans="1:17" ht="14.4">
      <c r="A239" s="366" t="s">
        <v>295</v>
      </c>
      <c r="B239" s="378">
        <f>+SUM(C239:Q239)</f>
        <v>1759578.4023479735</v>
      </c>
      <c r="C239" s="367">
        <f>+'WHRS_Project Scenario'!D22</f>
        <v>96846.715507855319</v>
      </c>
      <c r="D239" s="367">
        <f>+'WHRS_Project Scenario'!E22</f>
        <v>99442.207483465856</v>
      </c>
      <c r="E239" s="367">
        <f>+'WHRS_Project Scenario'!F22</f>
        <v>102107.25864402272</v>
      </c>
      <c r="F239" s="367">
        <f>+'WHRS_Project Scenario'!G22</f>
        <v>104843.73317568253</v>
      </c>
      <c r="G239" s="367">
        <f>+'WHRS_Project Scenario'!H22</f>
        <v>107653.5452247908</v>
      </c>
      <c r="H239" s="367">
        <f>+'WHRS_Project Scenario'!I22</f>
        <v>110538.66023681519</v>
      </c>
      <c r="I239" s="367">
        <f>+'WHRS_Project Scenario'!J22</f>
        <v>113501.09633116184</v>
      </c>
      <c r="J239" s="367">
        <f>+'WHRS_Project Scenario'!K22</f>
        <v>116542.92571283695</v>
      </c>
      <c r="K239" s="367">
        <f>+'WHRS_Project Scenario'!L22</f>
        <v>119666.27612194099</v>
      </c>
      <c r="L239" s="367">
        <f>+'WHRS_Project Scenario'!M22</f>
        <v>122873.332322009</v>
      </c>
      <c r="M239" s="367">
        <f>+'WHRS_Project Scenario'!N22</f>
        <v>126166.33762823881</v>
      </c>
      <c r="N239" s="367">
        <f>+'WHRS_Project Scenario'!O22</f>
        <v>129547.5954766756</v>
      </c>
      <c r="O239" s="367">
        <f>+'WHRS_Project Scenario'!P22</f>
        <v>133019.47103545049</v>
      </c>
      <c r="P239" s="367">
        <f>+'WHRS_Project Scenario'!Q22</f>
        <v>136584.39285920057</v>
      </c>
      <c r="Q239" s="367">
        <f>+'WHRS_Project Scenario'!R22</f>
        <v>140244.85458782714</v>
      </c>
    </row>
    <row r="240" spans="1:17" ht="14.4">
      <c r="A240" s="370"/>
      <c r="B240" s="374"/>
      <c r="C240" s="374"/>
      <c r="D240" s="374"/>
      <c r="E240" s="374"/>
      <c r="F240" s="374"/>
      <c r="G240" s="374"/>
      <c r="H240" s="374"/>
      <c r="I240" s="374"/>
      <c r="J240" s="374"/>
      <c r="K240" s="374"/>
      <c r="L240" s="374"/>
      <c r="M240" s="374"/>
      <c r="N240" s="374"/>
      <c r="O240" s="374"/>
      <c r="P240" s="374"/>
      <c r="Q240" s="374"/>
    </row>
    <row r="241" spans="1:17" ht="14.4">
      <c r="A241" s="366" t="s">
        <v>68</v>
      </c>
      <c r="B241" s="368"/>
      <c r="C241" s="368"/>
      <c r="D241" s="368"/>
      <c r="E241" s="368"/>
      <c r="F241" s="368"/>
      <c r="G241" s="368"/>
      <c r="H241" s="368"/>
      <c r="I241" s="368"/>
      <c r="J241" s="368"/>
      <c r="K241" s="368"/>
      <c r="L241" s="368"/>
      <c r="M241" s="368"/>
      <c r="N241" s="368"/>
      <c r="O241" s="368"/>
      <c r="P241" s="368"/>
      <c r="Q241" s="368"/>
    </row>
    <row r="242" spans="1:17" ht="14.4">
      <c r="A242" s="366" t="s">
        <v>296</v>
      </c>
      <c r="B242" s="381">
        <f>+SUM(C242:Q242)</f>
        <v>10952.901777177551</v>
      </c>
      <c r="C242" s="381">
        <f>SUM('Initial Data'!$C$77:$C$80)/'Initial Data'!$C$14/1000*(1+$C$6)</f>
        <v>602.8447274553572</v>
      </c>
      <c r="D242" s="381">
        <f>C242*(1+'Initial Data'!$C$20/100)</f>
        <v>619.0009661511607</v>
      </c>
      <c r="E242" s="381">
        <f>D242*(1+'Initial Data'!$C$20/100)</f>
        <v>635.59019204401181</v>
      </c>
      <c r="F242" s="381">
        <f>E242*(1+'Initial Data'!$C$20/100)</f>
        <v>652.6240091907913</v>
      </c>
      <c r="G242" s="381">
        <f>F242*(1+'Initial Data'!$C$20/100)</f>
        <v>670.11433263710444</v>
      </c>
      <c r="H242" s="381">
        <f>G242*(1+'Initial Data'!$C$20/100)</f>
        <v>688.07339675177877</v>
      </c>
      <c r="I242" s="381">
        <f>H242*(1+'Initial Data'!$C$20/100)</f>
        <v>706.51376378472639</v>
      </c>
      <c r="J242" s="381">
        <f>I242*(1+'Initial Data'!$C$20/100)</f>
        <v>725.44833265415707</v>
      </c>
      <c r="K242" s="381">
        <f>J242*(1+'Initial Data'!$C$20/100)</f>
        <v>744.89034796928843</v>
      </c>
      <c r="L242" s="381">
        <f>K242*(1+'Initial Data'!$C$20/100)</f>
        <v>764.85340929486529</v>
      </c>
      <c r="M242" s="381">
        <f>L242*(1+'Initial Data'!$C$20/100)</f>
        <v>785.35148066396766</v>
      </c>
      <c r="N242" s="381">
        <f>M242*(1+'Initial Data'!$C$20/100)</f>
        <v>806.39890034576194</v>
      </c>
      <c r="O242" s="381">
        <f>N242*(1+'Initial Data'!$C$20/100)</f>
        <v>828.01039087502829</v>
      </c>
      <c r="P242" s="381">
        <f>O242*(1+'Initial Data'!$C$20/100)</f>
        <v>850.20106935047897</v>
      </c>
      <c r="Q242" s="381">
        <f>P242*(1+'Initial Data'!$C$20/100)</f>
        <v>872.98645800907173</v>
      </c>
    </row>
    <row r="243" spans="1:17" ht="14.4">
      <c r="A243" s="366" t="s">
        <v>297</v>
      </c>
      <c r="B243" s="381">
        <f>+SUM(C243:Q243)</f>
        <v>13144.928721784076</v>
      </c>
      <c r="C243" s="381">
        <f>('Initial Data'!$C$82/1000+('Initial Data'!$C$83*'Initial Data'!$C$15/'Initial Data'!$C$14)/1000+'Initial Data'!$C$84/'Initial Data'!$C$14/1000)*(1+$C$6)</f>
        <v>723.49329281998212</v>
      </c>
      <c r="D243" s="381">
        <f>C243*(1+'Initial Data'!$C$20/100)</f>
        <v>742.88291306755764</v>
      </c>
      <c r="E243" s="381">
        <f>D243*(1+'Initial Data'!$C$20/100)</f>
        <v>762.79217513776814</v>
      </c>
      <c r="F243" s="381">
        <f>E243*(1+'Initial Data'!$C$20/100)</f>
        <v>783.23500543146031</v>
      </c>
      <c r="G243" s="381">
        <f>F243*(1+'Initial Data'!$C$20/100)</f>
        <v>804.22570357702341</v>
      </c>
      <c r="H243" s="381">
        <f>G243*(1+'Initial Data'!$C$20/100)</f>
        <v>825.77895243288754</v>
      </c>
      <c r="I243" s="381">
        <f>H243*(1+'Initial Data'!$C$20/100)</f>
        <v>847.90982835808882</v>
      </c>
      <c r="J243" s="381">
        <f>I243*(1+'Initial Data'!$C$20/100)</f>
        <v>870.63381175808559</v>
      </c>
      <c r="K243" s="381">
        <f>J243*(1+'Initial Data'!$C$20/100)</f>
        <v>893.96679791320219</v>
      </c>
      <c r="L243" s="381">
        <f>K243*(1+'Initial Data'!$C$20/100)</f>
        <v>917.92510809727594</v>
      </c>
      <c r="M243" s="381">
        <f>L243*(1+'Initial Data'!$C$20/100)</f>
        <v>942.52550099428288</v>
      </c>
      <c r="N243" s="381">
        <f>M243*(1+'Initial Data'!$C$20/100)</f>
        <v>967.78518442092957</v>
      </c>
      <c r="O243" s="381">
        <f>N243*(1+'Initial Data'!$C$20/100)</f>
        <v>993.7218273634104</v>
      </c>
      <c r="P243" s="381">
        <f>O243*(1+'Initial Data'!$C$20/100)</f>
        <v>1020.3535723367497</v>
      </c>
      <c r="Q243" s="381">
        <f>P243*(1+'Initial Data'!$C$20/100)</f>
        <v>1047.6990480753745</v>
      </c>
    </row>
    <row r="244" spans="1:17" ht="14.4">
      <c r="A244" s="370"/>
      <c r="B244" s="369"/>
      <c r="C244" s="382"/>
      <c r="D244" s="369"/>
      <c r="E244" s="369"/>
      <c r="F244" s="369"/>
      <c r="G244" s="369"/>
      <c r="H244" s="369"/>
      <c r="I244" s="369"/>
      <c r="J244" s="369"/>
      <c r="K244" s="369"/>
      <c r="L244" s="369"/>
      <c r="M244" s="369"/>
      <c r="N244" s="369"/>
      <c r="O244" s="369"/>
      <c r="P244" s="369"/>
      <c r="Q244" s="369"/>
    </row>
    <row r="245" spans="1:17" ht="14.4">
      <c r="A245" s="366" t="s">
        <v>71</v>
      </c>
      <c r="B245" s="379"/>
      <c r="C245" s="379"/>
      <c r="D245" s="379"/>
      <c r="E245" s="379"/>
      <c r="F245" s="379"/>
      <c r="G245" s="379"/>
      <c r="H245" s="379"/>
      <c r="I245" s="379"/>
      <c r="J245" s="379"/>
      <c r="K245" s="379"/>
      <c r="L245" s="379"/>
      <c r="M245" s="379"/>
      <c r="N245" s="379"/>
      <c r="O245" s="379"/>
      <c r="P245" s="379"/>
      <c r="Q245" s="379"/>
    </row>
    <row r="246" spans="1:17" ht="14.4">
      <c r="A246" s="370"/>
      <c r="B246" s="379"/>
      <c r="C246" s="379"/>
      <c r="D246" s="379"/>
      <c r="E246" s="379"/>
      <c r="F246" s="379"/>
      <c r="G246" s="379"/>
      <c r="H246" s="379"/>
      <c r="I246" s="379"/>
      <c r="J246" s="379"/>
      <c r="K246" s="379"/>
      <c r="L246" s="379"/>
      <c r="M246" s="379"/>
      <c r="N246" s="379"/>
      <c r="O246" s="379"/>
      <c r="P246" s="379"/>
      <c r="Q246" s="379"/>
    </row>
    <row r="247" spans="1:17" ht="14.4">
      <c r="A247" s="366" t="s">
        <v>298</v>
      </c>
      <c r="B247" s="378">
        <f>+SUM(C247:Q247)</f>
        <v>24097.830498961623</v>
      </c>
      <c r="C247" s="367">
        <f>SUM(C242:C243)</f>
        <v>1326.3380202753392</v>
      </c>
      <c r="D247" s="367">
        <f>SUM(D242:D243)</f>
        <v>1361.8838792187184</v>
      </c>
      <c r="E247" s="367">
        <f t="shared" ref="E247:Q247" si="158">SUM(E242:E243)</f>
        <v>1398.38236718178</v>
      </c>
      <c r="F247" s="367">
        <f t="shared" si="158"/>
        <v>1435.8590146222516</v>
      </c>
      <c r="G247" s="367">
        <f t="shared" si="158"/>
        <v>1474.3400362141278</v>
      </c>
      <c r="H247" s="367">
        <f t="shared" si="158"/>
        <v>1513.8523491846663</v>
      </c>
      <c r="I247" s="367">
        <f t="shared" si="158"/>
        <v>1554.4235921428153</v>
      </c>
      <c r="J247" s="367">
        <f t="shared" si="158"/>
        <v>1596.0821444122425</v>
      </c>
      <c r="K247" s="367">
        <f t="shared" si="158"/>
        <v>1638.8571458824906</v>
      </c>
      <c r="L247" s="367">
        <f t="shared" si="158"/>
        <v>1682.7785173921411</v>
      </c>
      <c r="M247" s="367">
        <f t="shared" si="158"/>
        <v>1727.8769816582505</v>
      </c>
      <c r="N247" s="367">
        <f t="shared" si="158"/>
        <v>1774.1840847666915</v>
      </c>
      <c r="O247" s="367">
        <f t="shared" si="158"/>
        <v>1821.7322182384387</v>
      </c>
      <c r="P247" s="367">
        <f t="shared" si="158"/>
        <v>1870.5546416872287</v>
      </c>
      <c r="Q247" s="367">
        <f t="shared" si="158"/>
        <v>1920.6855060844464</v>
      </c>
    </row>
    <row r="248" spans="1:17" ht="14.4">
      <c r="A248" s="370"/>
      <c r="B248" s="379"/>
      <c r="C248" s="379"/>
      <c r="D248" s="379"/>
      <c r="E248" s="379"/>
      <c r="F248" s="379"/>
      <c r="G248" s="379"/>
      <c r="H248" s="379"/>
      <c r="I248" s="379"/>
      <c r="J248" s="379"/>
      <c r="K248" s="379"/>
      <c r="L248" s="379"/>
      <c r="M248" s="379"/>
      <c r="N248" s="379"/>
      <c r="O248" s="379"/>
      <c r="P248" s="379"/>
      <c r="Q248" s="379"/>
    </row>
    <row r="249" spans="1:17" ht="14.4">
      <c r="A249" s="366" t="s">
        <v>299</v>
      </c>
      <c r="B249" s="378">
        <f t="shared" ref="B249:B250" si="159">+SUM(C249:Q249)</f>
        <v>43884.879418749995</v>
      </c>
      <c r="C249" s="367">
        <f>'WHRS_Project Scenario'!$C$8/'Initial Data'!$C$19</f>
        <v>4388.4879418749997</v>
      </c>
      <c r="D249" s="367">
        <f>'WHRS_Project Scenario'!$C$8/'Initial Data'!$C$19</f>
        <v>4388.4879418749997</v>
      </c>
      <c r="E249" s="367">
        <f>'WHRS_Project Scenario'!$C$8/'Initial Data'!$C$19</f>
        <v>4388.4879418749997</v>
      </c>
      <c r="F249" s="367">
        <f>'WHRS_Project Scenario'!$C$8/'Initial Data'!$C$19</f>
        <v>4388.4879418749997</v>
      </c>
      <c r="G249" s="367">
        <f>'WHRS_Project Scenario'!$C$8/'Initial Data'!$C$19</f>
        <v>4388.4879418749997</v>
      </c>
      <c r="H249" s="367">
        <f>'WHRS_Project Scenario'!$C$8/'Initial Data'!$C$19</f>
        <v>4388.4879418749997</v>
      </c>
      <c r="I249" s="367">
        <f>'WHRS_Project Scenario'!$C$8/'Initial Data'!$C$19</f>
        <v>4388.4879418749997</v>
      </c>
      <c r="J249" s="367">
        <f>'WHRS_Project Scenario'!$C$8/'Initial Data'!$C$19</f>
        <v>4388.4879418749997</v>
      </c>
      <c r="K249" s="367">
        <f>'WHRS_Project Scenario'!$C$8/'Initial Data'!$C$19</f>
        <v>4388.4879418749997</v>
      </c>
      <c r="L249" s="367">
        <f>'WHRS_Project Scenario'!$C$8/'Initial Data'!$C$19</f>
        <v>4388.4879418749997</v>
      </c>
      <c r="M249" s="367">
        <v>0</v>
      </c>
      <c r="N249" s="367">
        <v>0</v>
      </c>
      <c r="O249" s="367">
        <v>0</v>
      </c>
      <c r="P249" s="367">
        <v>0</v>
      </c>
      <c r="Q249" s="367">
        <v>0</v>
      </c>
    </row>
    <row r="250" spans="1:17" ht="14.4">
      <c r="A250" s="366" t="s">
        <v>300</v>
      </c>
      <c r="B250" s="378">
        <f t="shared" si="159"/>
        <v>43884.879418749995</v>
      </c>
      <c r="C250" s="367">
        <f>SUM(C249:C249)</f>
        <v>4388.4879418749997</v>
      </c>
      <c r="D250" s="367">
        <f t="shared" ref="D250" si="160">SUM(D249:D249)</f>
        <v>4388.4879418749997</v>
      </c>
      <c r="E250" s="367">
        <f t="shared" ref="E250" si="161">SUM(E249:E249)</f>
        <v>4388.4879418749997</v>
      </c>
      <c r="F250" s="367">
        <f t="shared" ref="F250" si="162">SUM(F249:F249)</f>
        <v>4388.4879418749997</v>
      </c>
      <c r="G250" s="367">
        <f t="shared" ref="G250" si="163">SUM(G249:G249)</f>
        <v>4388.4879418749997</v>
      </c>
      <c r="H250" s="367">
        <f t="shared" ref="H250" si="164">SUM(H249:H249)</f>
        <v>4388.4879418749997</v>
      </c>
      <c r="I250" s="367">
        <f t="shared" ref="I250" si="165">SUM(I249:I249)</f>
        <v>4388.4879418749997</v>
      </c>
      <c r="J250" s="367">
        <f t="shared" ref="J250" si="166">SUM(J249:J249)</f>
        <v>4388.4879418749997</v>
      </c>
      <c r="K250" s="367">
        <f t="shared" ref="K250" si="167">SUM(K249:K249)</f>
        <v>4388.4879418749997</v>
      </c>
      <c r="L250" s="367">
        <f t="shared" ref="L250" si="168">SUM(L249:L249)</f>
        <v>4388.4879418749997</v>
      </c>
      <c r="M250" s="367">
        <f t="shared" ref="M250" si="169">SUM(M249:M249)</f>
        <v>0</v>
      </c>
      <c r="N250" s="367">
        <f t="shared" ref="N250" si="170">SUM(N249:N249)</f>
        <v>0</v>
      </c>
      <c r="O250" s="367">
        <f t="shared" ref="O250" si="171">SUM(O249:O249)</f>
        <v>0</v>
      </c>
      <c r="P250" s="367">
        <f t="shared" ref="P250" si="172">SUM(P249:P249)</f>
        <v>0</v>
      </c>
      <c r="Q250" s="367">
        <f t="shared" ref="Q250" si="173">SUM(Q249:Q249)</f>
        <v>0</v>
      </c>
    </row>
    <row r="251" spans="1:17" ht="14.4">
      <c r="A251" s="370"/>
      <c r="B251" s="379"/>
      <c r="C251" s="379"/>
      <c r="D251" s="379"/>
      <c r="E251" s="379"/>
      <c r="F251" s="379"/>
      <c r="G251" s="379"/>
      <c r="H251" s="379"/>
      <c r="I251" s="379"/>
      <c r="J251" s="379"/>
      <c r="K251" s="379"/>
      <c r="L251" s="379"/>
      <c r="M251" s="379"/>
      <c r="N251" s="379"/>
      <c r="O251" s="379"/>
      <c r="P251" s="379"/>
      <c r="Q251" s="379"/>
    </row>
    <row r="252" spans="1:17" ht="14.4">
      <c r="A252" s="366" t="s">
        <v>301</v>
      </c>
      <c r="B252" s="378">
        <f>+SUM(C252:Q252)</f>
        <v>67982.709917711618</v>
      </c>
      <c r="C252" s="367">
        <f>+C247+C250</f>
        <v>5714.8259621503385</v>
      </c>
      <c r="D252" s="367">
        <f>+D247+D250</f>
        <v>5750.3718210937186</v>
      </c>
      <c r="E252" s="367">
        <f t="shared" ref="E252:Q252" si="174">+E247+E250</f>
        <v>5786.8703090567797</v>
      </c>
      <c r="F252" s="367">
        <f t="shared" si="174"/>
        <v>5824.3469564972511</v>
      </c>
      <c r="G252" s="367">
        <f t="shared" si="174"/>
        <v>5862.827978089128</v>
      </c>
      <c r="H252" s="367">
        <f t="shared" si="174"/>
        <v>5902.340291059666</v>
      </c>
      <c r="I252" s="367">
        <f t="shared" si="174"/>
        <v>5942.911534017815</v>
      </c>
      <c r="J252" s="367">
        <f t="shared" si="174"/>
        <v>5984.5700862872418</v>
      </c>
      <c r="K252" s="367">
        <f t="shared" si="174"/>
        <v>6027.3450877574905</v>
      </c>
      <c r="L252" s="367">
        <f t="shared" si="174"/>
        <v>6071.2664592671408</v>
      </c>
      <c r="M252" s="367">
        <f t="shared" si="174"/>
        <v>1727.8769816582505</v>
      </c>
      <c r="N252" s="367">
        <f t="shared" si="174"/>
        <v>1774.1840847666915</v>
      </c>
      <c r="O252" s="367">
        <f t="shared" si="174"/>
        <v>1821.7322182384387</v>
      </c>
      <c r="P252" s="367">
        <f t="shared" si="174"/>
        <v>1870.5546416872287</v>
      </c>
      <c r="Q252" s="367">
        <f t="shared" si="174"/>
        <v>1920.6855060844464</v>
      </c>
    </row>
    <row r="253" spans="1:17" ht="14.4">
      <c r="A253" s="370"/>
      <c r="B253" s="379"/>
      <c r="C253" s="379"/>
      <c r="D253" s="379"/>
      <c r="E253" s="379"/>
      <c r="F253" s="379"/>
      <c r="G253" s="379"/>
      <c r="H253" s="379"/>
      <c r="I253" s="379"/>
      <c r="J253" s="379"/>
      <c r="K253" s="379"/>
      <c r="L253" s="379"/>
      <c r="M253" s="379"/>
      <c r="N253" s="379"/>
      <c r="O253" s="379"/>
      <c r="P253" s="379"/>
      <c r="Q253" s="379"/>
    </row>
    <row r="254" spans="1:17" ht="14.4">
      <c r="A254" s="364" t="s">
        <v>302</v>
      </c>
      <c r="B254" s="378">
        <f>+SUM(C254:Q254)</f>
        <v>1691595.6924302625</v>
      </c>
      <c r="C254" s="367">
        <f>+C239-C252</f>
        <v>91131.88954570498</v>
      </c>
      <c r="D254" s="367">
        <f t="shared" ref="D254:Q254" si="175">+D239-D252</f>
        <v>93691.835662372134</v>
      </c>
      <c r="E254" s="367">
        <f t="shared" si="175"/>
        <v>96320.388334965945</v>
      </c>
      <c r="F254" s="367">
        <f t="shared" si="175"/>
        <v>99019.386219185282</v>
      </c>
      <c r="G254" s="367">
        <f t="shared" si="175"/>
        <v>101790.71724670166</v>
      </c>
      <c r="H254" s="367">
        <f t="shared" si="175"/>
        <v>104636.31994575553</v>
      </c>
      <c r="I254" s="367">
        <f t="shared" si="175"/>
        <v>107558.18479714403</v>
      </c>
      <c r="J254" s="367">
        <f t="shared" si="175"/>
        <v>110558.3556265497</v>
      </c>
      <c r="K254" s="367">
        <f t="shared" si="175"/>
        <v>113638.93103418349</v>
      </c>
      <c r="L254" s="367">
        <f t="shared" si="175"/>
        <v>116802.06586274186</v>
      </c>
      <c r="M254" s="367">
        <f t="shared" si="175"/>
        <v>124438.46064658056</v>
      </c>
      <c r="N254" s="367">
        <f t="shared" si="175"/>
        <v>127773.41139190891</v>
      </c>
      <c r="O254" s="367">
        <f t="shared" si="175"/>
        <v>131197.73881721206</v>
      </c>
      <c r="P254" s="367">
        <f t="shared" si="175"/>
        <v>134713.83821751334</v>
      </c>
      <c r="Q254" s="367">
        <f t="shared" si="175"/>
        <v>138324.1690817427</v>
      </c>
    </row>
    <row r="255" spans="1:17" ht="14.4">
      <c r="A255" s="364"/>
    </row>
    <row r="256" spans="1:17" ht="14.4">
      <c r="A256" s="364" t="s">
        <v>222</v>
      </c>
      <c r="B256" s="380">
        <f>+'WHRS_Project Scenario'!C39</f>
        <v>0.7</v>
      </c>
      <c r="C256" s="367">
        <f>IF((+$B$256*C254)&lt;0,"0",(+$B$256*C254))</f>
        <v>63792.322681993479</v>
      </c>
      <c r="D256" s="367">
        <f>IF((+$B$256*D254)&lt;0,"0",(+$B$256*D254))</f>
        <v>65584.284963660495</v>
      </c>
      <c r="E256" s="367">
        <f t="shared" ref="E256:Q256" si="176">IF((+$B$256*E254)&lt;0,"0",(+$B$256*E254))</f>
        <v>67424.271834476152</v>
      </c>
      <c r="F256" s="367">
        <f t="shared" si="176"/>
        <v>69313.570353429692</v>
      </c>
      <c r="G256" s="367">
        <f t="shared" si="176"/>
        <v>71253.502072691161</v>
      </c>
      <c r="H256" s="367">
        <f t="shared" si="176"/>
        <v>73245.423962028872</v>
      </c>
      <c r="I256" s="367">
        <f t="shared" si="176"/>
        <v>75290.729358000812</v>
      </c>
      <c r="J256" s="367">
        <f t="shared" si="176"/>
        <v>77390.848938584793</v>
      </c>
      <c r="K256" s="367">
        <f t="shared" si="176"/>
        <v>79547.251723928435</v>
      </c>
      <c r="L256" s="367">
        <f t="shared" si="176"/>
        <v>81761.446103919297</v>
      </c>
      <c r="M256" s="367">
        <f t="shared" si="176"/>
        <v>87106.922452606377</v>
      </c>
      <c r="N256" s="367">
        <f t="shared" si="176"/>
        <v>89441.387974336234</v>
      </c>
      <c r="O256" s="367">
        <f t="shared" si="176"/>
        <v>91838.41717204843</v>
      </c>
      <c r="P256" s="367">
        <f t="shared" si="176"/>
        <v>94299.686752259338</v>
      </c>
      <c r="Q256" s="367">
        <f t="shared" si="176"/>
        <v>96826.918357219882</v>
      </c>
    </row>
    <row r="257" spans="1:17" ht="14.4">
      <c r="A257" s="364" t="s">
        <v>303</v>
      </c>
      <c r="B257" s="378">
        <f>+SUM(C257:Q257)</f>
        <v>1184116.9847011834</v>
      </c>
      <c r="C257" s="367">
        <f>SUM(C256:C256)</f>
        <v>63792.322681993479</v>
      </c>
      <c r="D257" s="367">
        <f t="shared" ref="D257" si="177">SUM(D256:D256)</f>
        <v>65584.284963660495</v>
      </c>
      <c r="E257" s="367">
        <f t="shared" ref="E257" si="178">SUM(E256:E256)</f>
        <v>67424.271834476152</v>
      </c>
      <c r="F257" s="367">
        <f t="shared" ref="F257" si="179">SUM(F256:F256)</f>
        <v>69313.570353429692</v>
      </c>
      <c r="G257" s="367">
        <f t="shared" ref="G257" si="180">SUM(G256:G256)</f>
        <v>71253.502072691161</v>
      </c>
      <c r="H257" s="367">
        <f t="shared" ref="H257" si="181">SUM(H256:H256)</f>
        <v>73245.423962028872</v>
      </c>
      <c r="I257" s="367">
        <f t="shared" ref="I257" si="182">SUM(I256:I256)</f>
        <v>75290.729358000812</v>
      </c>
      <c r="J257" s="367">
        <f t="shared" ref="J257" si="183">SUM(J256:J256)</f>
        <v>77390.848938584793</v>
      </c>
      <c r="K257" s="367">
        <f t="shared" ref="K257" si="184">SUM(K256:K256)</f>
        <v>79547.251723928435</v>
      </c>
      <c r="L257" s="367">
        <f t="shared" ref="L257" si="185">SUM(L256:L256)</f>
        <v>81761.446103919297</v>
      </c>
      <c r="M257" s="367">
        <f t="shared" ref="M257" si="186">SUM(M256:M256)</f>
        <v>87106.922452606377</v>
      </c>
      <c r="N257" s="367">
        <f t="shared" ref="N257" si="187">SUM(N256:N256)</f>
        <v>89441.387974336234</v>
      </c>
      <c r="O257" s="367">
        <f t="shared" ref="O257" si="188">SUM(O256:O256)</f>
        <v>91838.41717204843</v>
      </c>
      <c r="P257" s="367">
        <f t="shared" ref="P257" si="189">SUM(P256:P256)</f>
        <v>94299.686752259338</v>
      </c>
      <c r="Q257" s="367">
        <f t="shared" ref="Q257" si="190">SUM(Q256:Q256)</f>
        <v>96826.918357219882</v>
      </c>
    </row>
    <row r="258" spans="1:17" ht="14.4">
      <c r="A258" s="369"/>
    </row>
    <row r="259" spans="1:17" ht="14.4">
      <c r="A259" s="364" t="s">
        <v>304</v>
      </c>
      <c r="B259" s="378">
        <f t="shared" ref="B259:B261" si="191">+SUM(C259:Q259)</f>
        <v>507478.70772907871</v>
      </c>
      <c r="C259" s="367">
        <f>C254-C257</f>
        <v>27339.566863711501</v>
      </c>
      <c r="D259" s="367">
        <f t="shared" ref="D259:Q259" si="192">D254-D257</f>
        <v>28107.550698711639</v>
      </c>
      <c r="E259" s="367">
        <f t="shared" si="192"/>
        <v>28896.116500489792</v>
      </c>
      <c r="F259" s="367">
        <f t="shared" si="192"/>
        <v>29705.81586575559</v>
      </c>
      <c r="G259" s="367">
        <f t="shared" si="192"/>
        <v>30537.215174010504</v>
      </c>
      <c r="H259" s="367">
        <f t="shared" si="192"/>
        <v>31390.895983726659</v>
      </c>
      <c r="I259" s="367">
        <f t="shared" si="192"/>
        <v>32267.455439143218</v>
      </c>
      <c r="J259" s="367">
        <f t="shared" si="192"/>
        <v>33167.506687964909</v>
      </c>
      <c r="K259" s="367">
        <f t="shared" si="192"/>
        <v>34091.679310255058</v>
      </c>
      <c r="L259" s="367">
        <f t="shared" si="192"/>
        <v>35040.619758822562</v>
      </c>
      <c r="M259" s="367">
        <f t="shared" si="192"/>
        <v>37331.538193974178</v>
      </c>
      <c r="N259" s="367">
        <f t="shared" si="192"/>
        <v>38332.02341757268</v>
      </c>
      <c r="O259" s="367">
        <f t="shared" si="192"/>
        <v>39359.321645163625</v>
      </c>
      <c r="P259" s="367">
        <f t="shared" si="192"/>
        <v>40414.151465254006</v>
      </c>
      <c r="Q259" s="367">
        <f t="shared" si="192"/>
        <v>41497.250724522819</v>
      </c>
    </row>
    <row r="260" spans="1:17" ht="14.4">
      <c r="A260" s="364" t="s">
        <v>305</v>
      </c>
      <c r="B260" s="378">
        <f t="shared" si="191"/>
        <v>43884.879418749995</v>
      </c>
      <c r="C260" s="367">
        <f>+C249</f>
        <v>4388.4879418749997</v>
      </c>
      <c r="D260" s="367">
        <f t="shared" ref="D260:Q260" si="193">+D249</f>
        <v>4388.4879418749997</v>
      </c>
      <c r="E260" s="367">
        <f t="shared" si="193"/>
        <v>4388.4879418749997</v>
      </c>
      <c r="F260" s="367">
        <f t="shared" si="193"/>
        <v>4388.4879418749997</v>
      </c>
      <c r="G260" s="367">
        <f t="shared" si="193"/>
        <v>4388.4879418749997</v>
      </c>
      <c r="H260" s="367">
        <f t="shared" si="193"/>
        <v>4388.4879418749997</v>
      </c>
      <c r="I260" s="367">
        <f t="shared" si="193"/>
        <v>4388.4879418749997</v>
      </c>
      <c r="J260" s="367">
        <f t="shared" si="193"/>
        <v>4388.4879418749997</v>
      </c>
      <c r="K260" s="367">
        <f t="shared" si="193"/>
        <v>4388.4879418749997</v>
      </c>
      <c r="L260" s="367">
        <f t="shared" si="193"/>
        <v>4388.4879418749997</v>
      </c>
      <c r="M260" s="367">
        <f t="shared" si="193"/>
        <v>0</v>
      </c>
      <c r="N260" s="367">
        <f t="shared" si="193"/>
        <v>0</v>
      </c>
      <c r="O260" s="367">
        <f t="shared" si="193"/>
        <v>0</v>
      </c>
      <c r="P260" s="367">
        <f t="shared" si="193"/>
        <v>0</v>
      </c>
      <c r="Q260" s="367">
        <f t="shared" si="193"/>
        <v>0</v>
      </c>
    </row>
    <row r="261" spans="1:17" ht="14.4">
      <c r="A261" s="364" t="s">
        <v>306</v>
      </c>
      <c r="B261" s="378">
        <f t="shared" si="191"/>
        <v>0</v>
      </c>
      <c r="C261" s="367">
        <f>+'WHRS_Project Scenario'!D234</f>
        <v>0</v>
      </c>
      <c r="D261" s="367">
        <f>+'WHRS_Project Scenario'!E234</f>
        <v>0</v>
      </c>
      <c r="E261" s="367">
        <f>+'WHRS_Project Scenario'!F234</f>
        <v>0</v>
      </c>
      <c r="F261" s="367">
        <f>+'WHRS_Project Scenario'!G234</f>
        <v>0</v>
      </c>
      <c r="G261" s="367">
        <f>+'WHRS_Project Scenario'!H234</f>
        <v>0</v>
      </c>
      <c r="H261" s="367">
        <f>+'WHRS_Project Scenario'!I234</f>
        <v>0</v>
      </c>
      <c r="I261" s="367">
        <f>+'WHRS_Project Scenario'!J234</f>
        <v>0</v>
      </c>
      <c r="J261" s="367">
        <f>+'WHRS_Project Scenario'!K234</f>
        <v>0</v>
      </c>
      <c r="K261" s="367">
        <f>+'WHRS_Project Scenario'!L234</f>
        <v>0</v>
      </c>
      <c r="L261" s="367">
        <f>+'WHRS_Project Scenario'!M234</f>
        <v>0</v>
      </c>
      <c r="M261" s="367">
        <f>+'WHRS_Project Scenario'!N234</f>
        <v>0</v>
      </c>
      <c r="N261" s="367">
        <f>+'WHRS_Project Scenario'!O234</f>
        <v>0</v>
      </c>
      <c r="O261" s="367">
        <f>+'WHRS_Project Scenario'!P234</f>
        <v>0</v>
      </c>
      <c r="P261" s="367">
        <f>+'WHRS_Project Scenario'!Q234</f>
        <v>0</v>
      </c>
      <c r="Q261" s="367">
        <f>+'WHRS_Project Scenario'!R234</f>
        <v>0</v>
      </c>
    </row>
    <row r="262" spans="1:17" ht="14.4">
      <c r="A262" s="364"/>
    </row>
    <row r="263" spans="1:17" ht="14.4">
      <c r="A263" s="364" t="s">
        <v>110</v>
      </c>
      <c r="B263" s="378">
        <f>-'WHRS_Project Scenario'!C8</f>
        <v>-43884.879418749995</v>
      </c>
      <c r="C263" s="367">
        <f>C259+C260+C261</f>
        <v>31728.0548055865</v>
      </c>
      <c r="D263" s="367">
        <f t="shared" ref="D263:Q263" si="194">D259+D260+D261</f>
        <v>32496.038640586637</v>
      </c>
      <c r="E263" s="367">
        <f t="shared" si="194"/>
        <v>33284.604442364791</v>
      </c>
      <c r="F263" s="367">
        <f t="shared" si="194"/>
        <v>34094.303807630589</v>
      </c>
      <c r="G263" s="367">
        <f t="shared" si="194"/>
        <v>34925.703115885502</v>
      </c>
      <c r="H263" s="367">
        <f t="shared" si="194"/>
        <v>35779.383925601658</v>
      </c>
      <c r="I263" s="367">
        <f t="shared" si="194"/>
        <v>36655.943381018216</v>
      </c>
      <c r="J263" s="367">
        <f t="shared" si="194"/>
        <v>37555.994629839908</v>
      </c>
      <c r="K263" s="367">
        <f t="shared" si="194"/>
        <v>38480.167252130057</v>
      </c>
      <c r="L263" s="367">
        <f t="shared" si="194"/>
        <v>39429.107700697561</v>
      </c>
      <c r="M263" s="367">
        <f t="shared" si="194"/>
        <v>37331.538193974178</v>
      </c>
      <c r="N263" s="367">
        <f t="shared" si="194"/>
        <v>38332.02341757268</v>
      </c>
      <c r="O263" s="367">
        <f t="shared" si="194"/>
        <v>39359.321645163625</v>
      </c>
      <c r="P263" s="367">
        <f t="shared" si="194"/>
        <v>40414.151465254006</v>
      </c>
      <c r="Q263" s="367">
        <f t="shared" si="194"/>
        <v>41497.250724522819</v>
      </c>
    </row>
    <row r="264" spans="1:17" ht="15.6">
      <c r="A264" s="364" t="s">
        <v>51</v>
      </c>
      <c r="B264" s="132">
        <f>IRR(B263:Q263)</f>
        <v>0.74679078398750931</v>
      </c>
    </row>
    <row r="265" spans="1:17" ht="15.6">
      <c r="A265" s="364" t="s">
        <v>267</v>
      </c>
      <c r="B265" s="303">
        <f>NPV('Initial Data'!C21/100,B263:Q263)</f>
        <v>176264.13477317939</v>
      </c>
    </row>
    <row r="267" spans="1:17" ht="14.4">
      <c r="A267" s="508" t="s">
        <v>310</v>
      </c>
      <c r="B267" s="509"/>
      <c r="C267" s="509"/>
      <c r="D267" s="509"/>
      <c r="E267" s="509"/>
      <c r="F267" s="509"/>
      <c r="G267" s="509"/>
      <c r="H267" s="509"/>
      <c r="I267" s="509"/>
      <c r="J267" s="509"/>
      <c r="K267" s="509"/>
      <c r="L267" s="509"/>
      <c r="M267" s="509"/>
      <c r="N267" s="509"/>
      <c r="O267" s="509"/>
      <c r="P267" s="509"/>
      <c r="Q267" s="509"/>
    </row>
    <row r="268" spans="1:17" ht="14.4">
      <c r="A268" s="371" t="s">
        <v>313</v>
      </c>
      <c r="B268" s="372"/>
      <c r="C268" s="372"/>
      <c r="D268" s="372"/>
      <c r="E268" s="372"/>
      <c r="F268" s="372"/>
      <c r="G268" s="372"/>
      <c r="H268" s="372"/>
      <c r="I268" s="372"/>
      <c r="J268" s="372"/>
      <c r="K268" s="372"/>
      <c r="L268" s="372"/>
      <c r="M268" s="372"/>
      <c r="N268" s="372"/>
      <c r="O268" s="372"/>
      <c r="P268" s="372"/>
      <c r="Q268" s="372"/>
    </row>
    <row r="269" spans="1:17" ht="27">
      <c r="A269" s="376"/>
      <c r="B269" s="304" t="s">
        <v>35</v>
      </c>
      <c r="C269" s="352" t="s">
        <v>407</v>
      </c>
      <c r="D269" s="352" t="s">
        <v>408</v>
      </c>
      <c r="E269" s="352" t="s">
        <v>409</v>
      </c>
      <c r="F269" s="352" t="s">
        <v>410</v>
      </c>
      <c r="G269" s="352" t="s">
        <v>411</v>
      </c>
      <c r="H269" s="352" t="s">
        <v>412</v>
      </c>
      <c r="I269" s="352" t="s">
        <v>413</v>
      </c>
      <c r="J269" s="352" t="s">
        <v>414</v>
      </c>
      <c r="K269" s="352" t="s">
        <v>415</v>
      </c>
      <c r="L269" s="352" t="s">
        <v>416</v>
      </c>
      <c r="M269" s="352" t="s">
        <v>417</v>
      </c>
      <c r="N269" s="352" t="s">
        <v>418</v>
      </c>
      <c r="O269" s="352" t="s">
        <v>419</v>
      </c>
      <c r="P269" s="352" t="s">
        <v>420</v>
      </c>
      <c r="Q269" s="352" t="s">
        <v>421</v>
      </c>
    </row>
    <row r="270" spans="1:17" ht="14.4">
      <c r="A270" s="363" t="s">
        <v>290</v>
      </c>
      <c r="B270" s="365"/>
      <c r="C270" s="367">
        <f>+'WHRS_Project Scenario'!D15</f>
        <v>215214.92335078961</v>
      </c>
      <c r="D270" s="367">
        <f>+'WHRS_Project Scenario'!E15</f>
        <v>215214.92335078961</v>
      </c>
      <c r="E270" s="367">
        <f>+'WHRS_Project Scenario'!F15</f>
        <v>215214.92335078961</v>
      </c>
      <c r="F270" s="367">
        <f>+'WHRS_Project Scenario'!G15</f>
        <v>215214.92335078961</v>
      </c>
      <c r="G270" s="367">
        <f>+'WHRS_Project Scenario'!H15</f>
        <v>215214.92335078961</v>
      </c>
      <c r="H270" s="367">
        <f>+'WHRS_Project Scenario'!I15</f>
        <v>215214.92335078961</v>
      </c>
      <c r="I270" s="367">
        <f>+'WHRS_Project Scenario'!J15</f>
        <v>215214.92335078961</v>
      </c>
      <c r="J270" s="367">
        <f>+'WHRS_Project Scenario'!K15</f>
        <v>215214.92335078961</v>
      </c>
      <c r="K270" s="367">
        <f>+'WHRS_Project Scenario'!L15</f>
        <v>215214.92335078961</v>
      </c>
      <c r="L270" s="367">
        <f>+'WHRS_Project Scenario'!M15</f>
        <v>215214.92335078961</v>
      </c>
      <c r="M270" s="367">
        <f>+'WHRS_Project Scenario'!N15</f>
        <v>215214.92335078961</v>
      </c>
      <c r="N270" s="367">
        <f>+'WHRS_Project Scenario'!O15</f>
        <v>215214.92335078961</v>
      </c>
      <c r="O270" s="367">
        <f>+'WHRS_Project Scenario'!P15</f>
        <v>215214.92335078961</v>
      </c>
      <c r="P270" s="367">
        <f>+'WHRS_Project Scenario'!Q15</f>
        <v>215214.92335078961</v>
      </c>
      <c r="Q270" s="367">
        <f>+'WHRS_Project Scenario'!R15</f>
        <v>215214.92335078961</v>
      </c>
    </row>
    <row r="271" spans="1:17" ht="14.4">
      <c r="A271" s="364" t="s">
        <v>291</v>
      </c>
      <c r="B271" s="365"/>
      <c r="C271" s="367">
        <f>+'WHRS_Project Scenario'!D16</f>
        <v>70</v>
      </c>
      <c r="D271" s="367">
        <f>+'WHRS_Project Scenario'!E16</f>
        <v>70</v>
      </c>
      <c r="E271" s="367">
        <f>+'WHRS_Project Scenario'!F16</f>
        <v>70</v>
      </c>
      <c r="F271" s="367">
        <f>+'WHRS_Project Scenario'!G16</f>
        <v>70</v>
      </c>
      <c r="G271" s="367">
        <f>+'WHRS_Project Scenario'!H16</f>
        <v>70</v>
      </c>
      <c r="H271" s="367">
        <f>+'WHRS_Project Scenario'!I16</f>
        <v>70</v>
      </c>
      <c r="I271" s="367">
        <f>+'WHRS_Project Scenario'!J16</f>
        <v>70</v>
      </c>
      <c r="J271" s="367">
        <f>+'WHRS_Project Scenario'!K16</f>
        <v>70</v>
      </c>
      <c r="K271" s="367">
        <f>+'WHRS_Project Scenario'!L16</f>
        <v>70</v>
      </c>
      <c r="L271" s="367">
        <f>+'WHRS_Project Scenario'!M16</f>
        <v>70</v>
      </c>
      <c r="M271" s="367">
        <f>+'WHRS_Project Scenario'!N16</f>
        <v>70</v>
      </c>
      <c r="N271" s="367">
        <f>+'WHRS_Project Scenario'!O16</f>
        <v>70</v>
      </c>
      <c r="O271" s="367">
        <f>+'WHRS_Project Scenario'!P16</f>
        <v>70</v>
      </c>
      <c r="P271" s="367">
        <f>+'WHRS_Project Scenario'!Q16</f>
        <v>70</v>
      </c>
      <c r="Q271" s="367">
        <f>+'WHRS_Project Scenario'!R16</f>
        <v>70</v>
      </c>
    </row>
    <row r="272" spans="1:17" ht="14.4">
      <c r="A272" s="366" t="s">
        <v>292</v>
      </c>
      <c r="B272" s="365"/>
      <c r="C272" s="375">
        <f>+'WHRS_Project Scenario'!D17</f>
        <v>6.4285714285714288</v>
      </c>
      <c r="D272" s="375">
        <f>+'WHRS_Project Scenario'!E17</f>
        <v>6.6008571428571425</v>
      </c>
      <c r="E272" s="375">
        <f>+'WHRS_Project Scenario'!F17</f>
        <v>6.7777601142857131</v>
      </c>
      <c r="F272" s="375">
        <f>+'WHRS_Project Scenario'!G17</f>
        <v>6.9594040853485701</v>
      </c>
      <c r="G272" s="375">
        <f>+'WHRS_Project Scenario'!H17</f>
        <v>7.1459161148359112</v>
      </c>
      <c r="H272" s="375">
        <f>+'WHRS_Project Scenario'!I17</f>
        <v>7.3374266667135135</v>
      </c>
      <c r="I272" s="375">
        <f>+'WHRS_Project Scenario'!J17</f>
        <v>7.5340697013814353</v>
      </c>
      <c r="J272" s="375">
        <f>+'WHRS_Project Scenario'!K17</f>
        <v>7.7359827693784569</v>
      </c>
      <c r="K272" s="375">
        <f>+'WHRS_Project Scenario'!L17</f>
        <v>7.943307107597799</v>
      </c>
      <c r="L272" s="375">
        <f>+'WHRS_Project Scenario'!M17</f>
        <v>8.1561877380814192</v>
      </c>
      <c r="M272" s="375">
        <f>+'WHRS_Project Scenario'!N17</f>
        <v>8.3747735694620005</v>
      </c>
      <c r="N272" s="375">
        <f>+'WHRS_Project Scenario'!O17</f>
        <v>8.5992175011235812</v>
      </c>
      <c r="O272" s="375">
        <f>+'WHRS_Project Scenario'!P17</f>
        <v>8.8296765301536926</v>
      </c>
      <c r="P272" s="375">
        <f>+'WHRS_Project Scenario'!Q17</f>
        <v>9.066311861161811</v>
      </c>
      <c r="Q272" s="375">
        <f>+'WHRS_Project Scenario'!R17</f>
        <v>9.3092890190409463</v>
      </c>
    </row>
    <row r="273" spans="1:17" ht="14.4">
      <c r="A273" s="366" t="s">
        <v>293</v>
      </c>
      <c r="B273" s="365"/>
      <c r="C273" s="367">
        <f>+'WHRS_Project Scenario'!D18</f>
        <v>450</v>
      </c>
      <c r="D273" s="367">
        <f>+'WHRS_Project Scenario'!E18</f>
        <v>462.06</v>
      </c>
      <c r="E273" s="367">
        <f>+'WHRS_Project Scenario'!F18</f>
        <v>474.44320799999991</v>
      </c>
      <c r="F273" s="367">
        <f>+'WHRS_Project Scenario'!G18</f>
        <v>487.15828597439992</v>
      </c>
      <c r="G273" s="367">
        <f>+'WHRS_Project Scenario'!H18</f>
        <v>500.21412803851376</v>
      </c>
      <c r="H273" s="367">
        <f>+'WHRS_Project Scenario'!I18</f>
        <v>513.61986666994596</v>
      </c>
      <c r="I273" s="367">
        <f>+'WHRS_Project Scenario'!J18</f>
        <v>527.3848790967005</v>
      </c>
      <c r="J273" s="367">
        <f>+'WHRS_Project Scenario'!K18</f>
        <v>541.51879385649192</v>
      </c>
      <c r="K273" s="367">
        <f>+'WHRS_Project Scenario'!L18</f>
        <v>556.03149753184596</v>
      </c>
      <c r="L273" s="367">
        <f>+'WHRS_Project Scenario'!M18</f>
        <v>570.9331416656994</v>
      </c>
      <c r="M273" s="367">
        <f>+'WHRS_Project Scenario'!N18</f>
        <v>586.23414986234002</v>
      </c>
      <c r="N273" s="367">
        <f>+'WHRS_Project Scenario'!O18</f>
        <v>601.94522507865065</v>
      </c>
      <c r="O273" s="367">
        <f>+'WHRS_Project Scenario'!P18</f>
        <v>618.0773571107585</v>
      </c>
      <c r="P273" s="367">
        <f>+'WHRS_Project Scenario'!Q18</f>
        <v>634.64183028132675</v>
      </c>
      <c r="Q273" s="367">
        <f>+'WHRS_Project Scenario'!R18</f>
        <v>651.65023133286627</v>
      </c>
    </row>
    <row r="274" spans="1:17" ht="14.4">
      <c r="A274" s="370"/>
      <c r="B274" s="373"/>
      <c r="C274" s="373"/>
      <c r="D274" s="373"/>
      <c r="E274" s="373"/>
      <c r="F274" s="373"/>
      <c r="G274" s="373"/>
      <c r="H274" s="373"/>
      <c r="I274" s="373"/>
      <c r="J274" s="373"/>
      <c r="K274" s="373"/>
      <c r="L274" s="373"/>
      <c r="M274" s="373"/>
      <c r="N274" s="373"/>
      <c r="O274" s="373"/>
      <c r="P274" s="373"/>
      <c r="Q274" s="373"/>
    </row>
    <row r="275" spans="1:17" ht="14.4">
      <c r="A275" s="366" t="s">
        <v>294</v>
      </c>
      <c r="B275" s="378">
        <f>+SUM(C275:Q275)</f>
        <v>1759578.4023479735</v>
      </c>
      <c r="C275" s="367">
        <f>+'WHRS_Project Scenario'!D20</f>
        <v>96846.715507855319</v>
      </c>
      <c r="D275" s="367">
        <f>+'WHRS_Project Scenario'!E20</f>
        <v>99442.207483465856</v>
      </c>
      <c r="E275" s="367">
        <f>+'WHRS_Project Scenario'!F20</f>
        <v>102107.25864402272</v>
      </c>
      <c r="F275" s="367">
        <f>+'WHRS_Project Scenario'!G20</f>
        <v>104843.73317568253</v>
      </c>
      <c r="G275" s="367">
        <f>+'WHRS_Project Scenario'!H20</f>
        <v>107653.5452247908</v>
      </c>
      <c r="H275" s="367">
        <f>+'WHRS_Project Scenario'!I20</f>
        <v>110538.66023681519</v>
      </c>
      <c r="I275" s="367">
        <f>+'WHRS_Project Scenario'!J20</f>
        <v>113501.09633116184</v>
      </c>
      <c r="J275" s="367">
        <f>+'WHRS_Project Scenario'!K20</f>
        <v>116542.92571283695</v>
      </c>
      <c r="K275" s="367">
        <f>+'WHRS_Project Scenario'!L20</f>
        <v>119666.27612194099</v>
      </c>
      <c r="L275" s="367">
        <f>+'WHRS_Project Scenario'!M20</f>
        <v>122873.332322009</v>
      </c>
      <c r="M275" s="367">
        <f>+'WHRS_Project Scenario'!N20</f>
        <v>126166.33762823881</v>
      </c>
      <c r="N275" s="367">
        <f>+'WHRS_Project Scenario'!O20</f>
        <v>129547.5954766756</v>
      </c>
      <c r="O275" s="367">
        <f>+'WHRS_Project Scenario'!P20</f>
        <v>133019.47103545049</v>
      </c>
      <c r="P275" s="367">
        <f>+'WHRS_Project Scenario'!Q20</f>
        <v>136584.39285920057</v>
      </c>
      <c r="Q275" s="367">
        <f>+'WHRS_Project Scenario'!R20</f>
        <v>140244.85458782714</v>
      </c>
    </row>
    <row r="276" spans="1:17" ht="14.4">
      <c r="A276" s="370"/>
      <c r="B276" s="373"/>
      <c r="C276" s="373"/>
      <c r="D276" s="373"/>
      <c r="E276" s="373"/>
      <c r="F276" s="373"/>
      <c r="G276" s="373"/>
      <c r="H276" s="373"/>
      <c r="I276" s="373"/>
      <c r="J276" s="373"/>
      <c r="K276" s="373"/>
      <c r="L276" s="373"/>
      <c r="M276" s="373"/>
      <c r="N276" s="373"/>
      <c r="O276" s="373"/>
      <c r="P276" s="373"/>
      <c r="Q276" s="373"/>
    </row>
    <row r="277" spans="1:17" ht="14.4">
      <c r="A277" s="366" t="s">
        <v>295</v>
      </c>
      <c r="B277" s="378">
        <f>+SUM(C277:Q277)</f>
        <v>1759578.4023479735</v>
      </c>
      <c r="C277" s="367">
        <f>+'WHRS_Project Scenario'!D22</f>
        <v>96846.715507855319</v>
      </c>
      <c r="D277" s="367">
        <f>+'WHRS_Project Scenario'!E22</f>
        <v>99442.207483465856</v>
      </c>
      <c r="E277" s="367">
        <f>+'WHRS_Project Scenario'!F22</f>
        <v>102107.25864402272</v>
      </c>
      <c r="F277" s="367">
        <f>+'WHRS_Project Scenario'!G22</f>
        <v>104843.73317568253</v>
      </c>
      <c r="G277" s="367">
        <f>+'WHRS_Project Scenario'!H22</f>
        <v>107653.5452247908</v>
      </c>
      <c r="H277" s="367">
        <f>+'WHRS_Project Scenario'!I22</f>
        <v>110538.66023681519</v>
      </c>
      <c r="I277" s="367">
        <f>+'WHRS_Project Scenario'!J22</f>
        <v>113501.09633116184</v>
      </c>
      <c r="J277" s="367">
        <f>+'WHRS_Project Scenario'!K22</f>
        <v>116542.92571283695</v>
      </c>
      <c r="K277" s="367">
        <f>+'WHRS_Project Scenario'!L22</f>
        <v>119666.27612194099</v>
      </c>
      <c r="L277" s="367">
        <f>+'WHRS_Project Scenario'!M22</f>
        <v>122873.332322009</v>
      </c>
      <c r="M277" s="367">
        <f>+'WHRS_Project Scenario'!N22</f>
        <v>126166.33762823881</v>
      </c>
      <c r="N277" s="367">
        <f>+'WHRS_Project Scenario'!O22</f>
        <v>129547.5954766756</v>
      </c>
      <c r="O277" s="367">
        <f>+'WHRS_Project Scenario'!P22</f>
        <v>133019.47103545049</v>
      </c>
      <c r="P277" s="367">
        <f>+'WHRS_Project Scenario'!Q22</f>
        <v>136584.39285920057</v>
      </c>
      <c r="Q277" s="367">
        <f>+'WHRS_Project Scenario'!R22</f>
        <v>140244.85458782714</v>
      </c>
    </row>
    <row r="278" spans="1:17" ht="14.4">
      <c r="A278" s="370"/>
      <c r="B278" s="374"/>
      <c r="C278" s="374"/>
      <c r="D278" s="374"/>
      <c r="E278" s="374"/>
      <c r="F278" s="374"/>
      <c r="G278" s="374"/>
      <c r="H278" s="374"/>
      <c r="I278" s="374"/>
      <c r="J278" s="374"/>
      <c r="K278" s="374"/>
      <c r="L278" s="374"/>
      <c r="M278" s="374"/>
      <c r="N278" s="374"/>
      <c r="O278" s="374"/>
      <c r="P278" s="374"/>
      <c r="Q278" s="374"/>
    </row>
    <row r="279" spans="1:17" ht="14.4">
      <c r="A279" s="366" t="s">
        <v>68</v>
      </c>
      <c r="B279" s="368"/>
      <c r="C279" s="368"/>
      <c r="D279" s="368"/>
      <c r="E279" s="368"/>
      <c r="F279" s="368"/>
      <c r="G279" s="368"/>
      <c r="H279" s="368"/>
      <c r="I279" s="368"/>
      <c r="J279" s="368"/>
      <c r="K279" s="368"/>
      <c r="L279" s="368"/>
      <c r="M279" s="368"/>
      <c r="N279" s="368"/>
      <c r="O279" s="368"/>
      <c r="P279" s="368"/>
      <c r="Q279" s="368"/>
    </row>
    <row r="280" spans="1:17" ht="14.4">
      <c r="A280" s="366" t="s">
        <v>296</v>
      </c>
      <c r="B280" s="381">
        <f>+SUM(C280:Q280)</f>
        <v>12105.838806354133</v>
      </c>
      <c r="C280" s="381">
        <f>SUM('Initial Data'!$C$77:$C$80)/'Initial Data'!$C$14/1000*(1+$E$6)</f>
        <v>666.30206718750003</v>
      </c>
      <c r="D280" s="381">
        <f>C280*(1+'Initial Data'!$C$20/100)</f>
        <v>684.15896258812495</v>
      </c>
      <c r="E280" s="381">
        <f>D280*(1+'Initial Data'!$C$20/100)</f>
        <v>702.49442278548668</v>
      </c>
      <c r="F280" s="381">
        <f>E280*(1+'Initial Data'!$C$20/100)</f>
        <v>721.32127331613765</v>
      </c>
      <c r="G280" s="381">
        <f>F280*(1+'Initial Data'!$C$20/100)</f>
        <v>740.65268344101014</v>
      </c>
      <c r="H280" s="381">
        <f>G280*(1+'Initial Data'!$C$20/100)</f>
        <v>760.50217535722913</v>
      </c>
      <c r="I280" s="381">
        <f>H280*(1+'Initial Data'!$C$20/100)</f>
        <v>780.88363365680277</v>
      </c>
      <c r="J280" s="381">
        <f>I280*(1+'Initial Data'!$C$20/100)</f>
        <v>801.81131503880499</v>
      </c>
      <c r="K280" s="381">
        <f>J280*(1+'Initial Data'!$C$20/100)</f>
        <v>823.29985828184488</v>
      </c>
      <c r="L280" s="381">
        <f>K280*(1+'Initial Data'!$C$20/100)</f>
        <v>845.36429448379829</v>
      </c>
      <c r="M280" s="381">
        <f>L280*(1+'Initial Data'!$C$20/100)</f>
        <v>868.02005757596407</v>
      </c>
      <c r="N280" s="381">
        <f>M280*(1+'Initial Data'!$C$20/100)</f>
        <v>891.28299511899991</v>
      </c>
      <c r="O280" s="381">
        <f>N280*(1+'Initial Data'!$C$20/100)</f>
        <v>915.1693793881891</v>
      </c>
      <c r="P280" s="381">
        <f>O280*(1+'Initial Data'!$C$20/100)</f>
        <v>939.69591875579249</v>
      </c>
      <c r="Q280" s="381">
        <f>P280*(1+'Initial Data'!$C$20/100)</f>
        <v>964.87976937844769</v>
      </c>
    </row>
    <row r="281" spans="1:17" ht="14.4">
      <c r="A281" s="366" t="s">
        <v>297</v>
      </c>
      <c r="B281" s="381">
        <f>+SUM(C281:Q281)</f>
        <v>14528.605429340301</v>
      </c>
      <c r="C281" s="381">
        <f>('Initial Data'!$C$82/1000+('Initial Data'!$C$83*'Initial Data'!$C$15/'Initial Data'!$C$14)/1000+'Initial Data'!$C$84/'Initial Data'!$C$14/1000)*(1+$E$6)</f>
        <v>799.65048153787507</v>
      </c>
      <c r="D281" s="381">
        <f>C281*(1+'Initial Data'!$C$20/100)</f>
        <v>821.08111444309009</v>
      </c>
      <c r="E281" s="381">
        <f>D281*(1+'Initial Data'!$C$20/100)</f>
        <v>843.08608831016488</v>
      </c>
      <c r="F281" s="381">
        <f>E281*(1+'Initial Data'!$C$20/100)</f>
        <v>865.68079547687728</v>
      </c>
      <c r="G281" s="381">
        <f>F281*(1+'Initial Data'!$C$20/100)</f>
        <v>888.88104079565755</v>
      </c>
      <c r="H281" s="381">
        <f>G281*(1+'Initial Data'!$C$20/100)</f>
        <v>912.70305268898107</v>
      </c>
      <c r="I281" s="381">
        <f>H281*(1+'Initial Data'!$C$20/100)</f>
        <v>937.16349450104576</v>
      </c>
      <c r="J281" s="381">
        <f>I281*(1+'Initial Data'!$C$20/100)</f>
        <v>962.27947615367373</v>
      </c>
      <c r="K281" s="381">
        <f>J281*(1+'Initial Data'!$C$20/100)</f>
        <v>988.06856611459216</v>
      </c>
      <c r="L281" s="381">
        <f>K281*(1+'Initial Data'!$C$20/100)</f>
        <v>1014.5488036864632</v>
      </c>
      <c r="M281" s="381">
        <f>L281*(1+'Initial Data'!$C$20/100)</f>
        <v>1041.7387116252603</v>
      </c>
      <c r="N281" s="381">
        <f>M281*(1+'Initial Data'!$C$20/100)</f>
        <v>1069.6573090968172</v>
      </c>
      <c r="O281" s="381">
        <f>N281*(1+'Initial Data'!$C$20/100)</f>
        <v>1098.3241249806119</v>
      </c>
      <c r="P281" s="381">
        <f>O281*(1+'Initial Data'!$C$20/100)</f>
        <v>1127.7592115300922</v>
      </c>
      <c r="Q281" s="381">
        <f>P281*(1+'Initial Data'!$C$20/100)</f>
        <v>1157.9831583990986</v>
      </c>
    </row>
    <row r="282" spans="1:17" ht="14.4">
      <c r="A282" s="370"/>
      <c r="B282" s="369"/>
      <c r="C282" s="382"/>
      <c r="D282" s="369"/>
      <c r="E282" s="369"/>
      <c r="F282" s="369"/>
      <c r="G282" s="369"/>
      <c r="H282" s="369"/>
      <c r="I282" s="369"/>
      <c r="J282" s="369"/>
      <c r="K282" s="369"/>
      <c r="L282" s="369"/>
      <c r="M282" s="369"/>
      <c r="N282" s="369"/>
      <c r="O282" s="369"/>
      <c r="P282" s="369"/>
      <c r="Q282" s="369"/>
    </row>
    <row r="283" spans="1:17" ht="14.4">
      <c r="A283" s="366" t="s">
        <v>71</v>
      </c>
      <c r="B283" s="379"/>
      <c r="C283" s="379"/>
      <c r="D283" s="379"/>
      <c r="E283" s="379"/>
      <c r="F283" s="379"/>
      <c r="G283" s="379"/>
      <c r="H283" s="379"/>
      <c r="I283" s="379"/>
      <c r="J283" s="379"/>
      <c r="K283" s="379"/>
      <c r="L283" s="379"/>
      <c r="M283" s="379"/>
      <c r="N283" s="379"/>
      <c r="O283" s="379"/>
      <c r="P283" s="379"/>
      <c r="Q283" s="379"/>
    </row>
    <row r="284" spans="1:17" ht="14.4">
      <c r="A284" s="370"/>
      <c r="B284" s="379"/>
      <c r="C284" s="379"/>
      <c r="D284" s="379"/>
      <c r="E284" s="379"/>
      <c r="F284" s="379"/>
      <c r="G284" s="379"/>
      <c r="H284" s="379"/>
      <c r="I284" s="379"/>
      <c r="J284" s="379"/>
      <c r="K284" s="379"/>
      <c r="L284" s="379"/>
      <c r="M284" s="379"/>
      <c r="N284" s="379"/>
      <c r="O284" s="379"/>
      <c r="P284" s="379"/>
      <c r="Q284" s="379"/>
    </row>
    <row r="285" spans="1:17" ht="14.4">
      <c r="A285" s="366" t="s">
        <v>298</v>
      </c>
      <c r="B285" s="378">
        <f>+SUM(C285:Q285)</f>
        <v>26634.444235694435</v>
      </c>
      <c r="C285" s="367">
        <f>SUM(C280:C281)</f>
        <v>1465.952548725375</v>
      </c>
      <c r="D285" s="367">
        <f>SUM(D280:D281)</f>
        <v>1505.2400770312152</v>
      </c>
      <c r="E285" s="367">
        <f t="shared" ref="E285:Q285" si="195">SUM(E280:E281)</f>
        <v>1545.5805110956517</v>
      </c>
      <c r="F285" s="367">
        <f t="shared" si="195"/>
        <v>1587.002068793015</v>
      </c>
      <c r="G285" s="367">
        <f t="shared" si="195"/>
        <v>1629.5337242366677</v>
      </c>
      <c r="H285" s="367">
        <f t="shared" si="195"/>
        <v>1673.2052280462103</v>
      </c>
      <c r="I285" s="367">
        <f t="shared" si="195"/>
        <v>1718.0471281578484</v>
      </c>
      <c r="J285" s="367">
        <f t="shared" si="195"/>
        <v>1764.0907911924787</v>
      </c>
      <c r="K285" s="367">
        <f t="shared" si="195"/>
        <v>1811.3684243964371</v>
      </c>
      <c r="L285" s="367">
        <f t="shared" si="195"/>
        <v>1859.9130981702615</v>
      </c>
      <c r="M285" s="367">
        <f t="shared" si="195"/>
        <v>1909.7587692012244</v>
      </c>
      <c r="N285" s="367">
        <f t="shared" si="195"/>
        <v>1960.9403042158172</v>
      </c>
      <c r="O285" s="367">
        <f t="shared" si="195"/>
        <v>2013.493504368801</v>
      </c>
      <c r="P285" s="367">
        <f t="shared" si="195"/>
        <v>2067.4551302858845</v>
      </c>
      <c r="Q285" s="367">
        <f t="shared" si="195"/>
        <v>2122.8629277775462</v>
      </c>
    </row>
    <row r="286" spans="1:17" ht="14.4">
      <c r="A286" s="370"/>
      <c r="B286" s="379"/>
      <c r="C286" s="379"/>
      <c r="D286" s="379"/>
      <c r="E286" s="379"/>
      <c r="F286" s="379"/>
      <c r="G286" s="379"/>
      <c r="H286" s="379"/>
      <c r="I286" s="379"/>
      <c r="J286" s="379"/>
      <c r="K286" s="379"/>
      <c r="L286" s="379"/>
      <c r="M286" s="379"/>
      <c r="N286" s="379"/>
      <c r="O286" s="379"/>
      <c r="P286" s="379"/>
      <c r="Q286" s="379"/>
    </row>
    <row r="287" spans="1:17" ht="14.4">
      <c r="A287" s="366" t="s">
        <v>299</v>
      </c>
      <c r="B287" s="378">
        <f t="shared" ref="B287:B288" si="196">+SUM(C287:Q287)</f>
        <v>43884.879418749995</v>
      </c>
      <c r="C287" s="367">
        <f>'WHRS_Project Scenario'!$C$8/'Initial Data'!$C$19</f>
        <v>4388.4879418749997</v>
      </c>
      <c r="D287" s="367">
        <f>'WHRS_Project Scenario'!$C$8/'Initial Data'!$C$19</f>
        <v>4388.4879418749997</v>
      </c>
      <c r="E287" s="367">
        <f>'WHRS_Project Scenario'!$C$8/'Initial Data'!$C$19</f>
        <v>4388.4879418749997</v>
      </c>
      <c r="F287" s="367">
        <f>'WHRS_Project Scenario'!$C$8/'Initial Data'!$C$19</f>
        <v>4388.4879418749997</v>
      </c>
      <c r="G287" s="367">
        <f>'WHRS_Project Scenario'!$C$8/'Initial Data'!$C$19</f>
        <v>4388.4879418749997</v>
      </c>
      <c r="H287" s="367">
        <f>'WHRS_Project Scenario'!$C$8/'Initial Data'!$C$19</f>
        <v>4388.4879418749997</v>
      </c>
      <c r="I287" s="367">
        <f>'WHRS_Project Scenario'!$C$8/'Initial Data'!$C$19</f>
        <v>4388.4879418749997</v>
      </c>
      <c r="J287" s="367">
        <f>'WHRS_Project Scenario'!$C$8/'Initial Data'!$C$19</f>
        <v>4388.4879418749997</v>
      </c>
      <c r="K287" s="367">
        <f>'WHRS_Project Scenario'!$C$8/'Initial Data'!$C$19</f>
        <v>4388.4879418749997</v>
      </c>
      <c r="L287" s="367">
        <f>'WHRS_Project Scenario'!$C$8/'Initial Data'!$C$19</f>
        <v>4388.4879418749997</v>
      </c>
      <c r="M287" s="367">
        <v>0</v>
      </c>
      <c r="N287" s="367">
        <v>0</v>
      </c>
      <c r="O287" s="367">
        <v>0</v>
      </c>
      <c r="P287" s="367">
        <v>0</v>
      </c>
      <c r="Q287" s="367">
        <v>0</v>
      </c>
    </row>
    <row r="288" spans="1:17" ht="14.4">
      <c r="A288" s="366" t="s">
        <v>300</v>
      </c>
      <c r="B288" s="378">
        <f t="shared" si="196"/>
        <v>43884.879418749995</v>
      </c>
      <c r="C288" s="367">
        <f>SUM(C287:C287)</f>
        <v>4388.4879418749997</v>
      </c>
      <c r="D288" s="367">
        <f t="shared" ref="D288" si="197">SUM(D287:D287)</f>
        <v>4388.4879418749997</v>
      </c>
      <c r="E288" s="367">
        <f t="shared" ref="E288" si="198">SUM(E287:E287)</f>
        <v>4388.4879418749997</v>
      </c>
      <c r="F288" s="367">
        <f t="shared" ref="F288" si="199">SUM(F287:F287)</f>
        <v>4388.4879418749997</v>
      </c>
      <c r="G288" s="367">
        <f t="shared" ref="G288" si="200">SUM(G287:G287)</f>
        <v>4388.4879418749997</v>
      </c>
      <c r="H288" s="367">
        <f t="shared" ref="H288" si="201">SUM(H287:H287)</f>
        <v>4388.4879418749997</v>
      </c>
      <c r="I288" s="367">
        <f t="shared" ref="I288" si="202">SUM(I287:I287)</f>
        <v>4388.4879418749997</v>
      </c>
      <c r="J288" s="367">
        <f t="shared" ref="J288" si="203">SUM(J287:J287)</f>
        <v>4388.4879418749997</v>
      </c>
      <c r="K288" s="367">
        <f t="shared" ref="K288" si="204">SUM(K287:K287)</f>
        <v>4388.4879418749997</v>
      </c>
      <c r="L288" s="367">
        <f t="shared" ref="L288" si="205">SUM(L287:L287)</f>
        <v>4388.4879418749997</v>
      </c>
      <c r="M288" s="367">
        <f t="shared" ref="M288" si="206">SUM(M287:M287)</f>
        <v>0</v>
      </c>
      <c r="N288" s="367">
        <f t="shared" ref="N288" si="207">SUM(N287:N287)</f>
        <v>0</v>
      </c>
      <c r="O288" s="367">
        <f t="shared" ref="O288" si="208">SUM(O287:O287)</f>
        <v>0</v>
      </c>
      <c r="P288" s="367">
        <f t="shared" ref="P288" si="209">SUM(P287:P287)</f>
        <v>0</v>
      </c>
      <c r="Q288" s="367">
        <f t="shared" ref="Q288" si="210">SUM(Q287:Q287)</f>
        <v>0</v>
      </c>
    </row>
    <row r="289" spans="1:17" ht="14.4">
      <c r="A289" s="370"/>
      <c r="B289" s="379"/>
      <c r="C289" s="379"/>
      <c r="D289" s="379"/>
      <c r="E289" s="379"/>
      <c r="F289" s="379"/>
      <c r="G289" s="379"/>
      <c r="H289" s="379"/>
      <c r="I289" s="379"/>
      <c r="J289" s="379"/>
      <c r="K289" s="379"/>
      <c r="L289" s="379"/>
      <c r="M289" s="379"/>
      <c r="N289" s="379"/>
      <c r="O289" s="379"/>
      <c r="P289" s="379"/>
      <c r="Q289" s="379"/>
    </row>
    <row r="290" spans="1:17" ht="14.4">
      <c r="A290" s="366" t="s">
        <v>301</v>
      </c>
      <c r="B290" s="378">
        <f>+SUM(C290:Q290)</f>
        <v>70519.323654444437</v>
      </c>
      <c r="C290" s="367">
        <f>+C285+C288</f>
        <v>5854.4404906003747</v>
      </c>
      <c r="D290" s="367">
        <f>+D285+D288</f>
        <v>5893.7280189062149</v>
      </c>
      <c r="E290" s="367">
        <f t="shared" ref="E290:Q290" si="211">+E285+E288</f>
        <v>5934.0684529706514</v>
      </c>
      <c r="F290" s="367">
        <f t="shared" si="211"/>
        <v>5975.4900106680143</v>
      </c>
      <c r="G290" s="367">
        <f t="shared" si="211"/>
        <v>6018.0216661116674</v>
      </c>
      <c r="H290" s="367">
        <f t="shared" si="211"/>
        <v>6061.69316992121</v>
      </c>
      <c r="I290" s="367">
        <f t="shared" si="211"/>
        <v>6106.5350700328481</v>
      </c>
      <c r="J290" s="367">
        <f t="shared" si="211"/>
        <v>6152.5787330674784</v>
      </c>
      <c r="K290" s="367">
        <f t="shared" si="211"/>
        <v>6199.8563662714369</v>
      </c>
      <c r="L290" s="367">
        <f t="shared" si="211"/>
        <v>6248.4010400452607</v>
      </c>
      <c r="M290" s="367">
        <f t="shared" si="211"/>
        <v>1909.7587692012244</v>
      </c>
      <c r="N290" s="367">
        <f t="shared" si="211"/>
        <v>1960.9403042158172</v>
      </c>
      <c r="O290" s="367">
        <f t="shared" si="211"/>
        <v>2013.493504368801</v>
      </c>
      <c r="P290" s="367">
        <f t="shared" si="211"/>
        <v>2067.4551302858845</v>
      </c>
      <c r="Q290" s="367">
        <f t="shared" si="211"/>
        <v>2122.8629277775462</v>
      </c>
    </row>
    <row r="291" spans="1:17" ht="14.4">
      <c r="A291" s="370"/>
      <c r="B291" s="379"/>
      <c r="C291" s="379"/>
      <c r="D291" s="379"/>
      <c r="E291" s="379"/>
      <c r="F291" s="379"/>
      <c r="G291" s="379"/>
      <c r="H291" s="379"/>
      <c r="I291" s="379"/>
      <c r="J291" s="379"/>
      <c r="K291" s="379"/>
      <c r="L291" s="379"/>
      <c r="M291" s="379"/>
      <c r="N291" s="379"/>
      <c r="O291" s="379"/>
      <c r="P291" s="379"/>
      <c r="Q291" s="379"/>
    </row>
    <row r="292" spans="1:17" ht="14.4">
      <c r="A292" s="364" t="s">
        <v>302</v>
      </c>
      <c r="B292" s="378">
        <f>+SUM(C292:Q292)</f>
        <v>1689059.0786935294</v>
      </c>
      <c r="C292" s="367">
        <f>+C277-C290</f>
        <v>90992.275017254942</v>
      </c>
      <c r="D292" s="367">
        <f t="shared" ref="D292:Q292" si="212">+D277-D290</f>
        <v>93548.479464559641</v>
      </c>
      <c r="E292" s="367">
        <f t="shared" si="212"/>
        <v>96173.190191052068</v>
      </c>
      <c r="F292" s="367">
        <f t="shared" si="212"/>
        <v>98868.243165014515</v>
      </c>
      <c r="G292" s="367">
        <f t="shared" si="212"/>
        <v>101635.52355867912</v>
      </c>
      <c r="H292" s="367">
        <f t="shared" si="212"/>
        <v>104476.96706689398</v>
      </c>
      <c r="I292" s="367">
        <f t="shared" si="212"/>
        <v>107394.561261129</v>
      </c>
      <c r="J292" s="367">
        <f t="shared" si="212"/>
        <v>110390.34697976947</v>
      </c>
      <c r="K292" s="367">
        <f t="shared" si="212"/>
        <v>113466.41975566954</v>
      </c>
      <c r="L292" s="367">
        <f t="shared" si="212"/>
        <v>116624.93128196374</v>
      </c>
      <c r="M292" s="367">
        <f t="shared" si="212"/>
        <v>124256.57885903757</v>
      </c>
      <c r="N292" s="367">
        <f t="shared" si="212"/>
        <v>127586.65517245978</v>
      </c>
      <c r="O292" s="367">
        <f t="shared" si="212"/>
        <v>131005.97753108169</v>
      </c>
      <c r="P292" s="367">
        <f t="shared" si="212"/>
        <v>134516.93772891469</v>
      </c>
      <c r="Q292" s="367">
        <f t="shared" si="212"/>
        <v>138121.99166004959</v>
      </c>
    </row>
    <row r="293" spans="1:17" ht="14.4">
      <c r="A293" s="364"/>
    </row>
    <row r="294" spans="1:17" ht="14.4">
      <c r="A294" s="364" t="s">
        <v>222</v>
      </c>
      <c r="B294" s="380">
        <f>+'WHRS_Project Scenario'!C39</f>
        <v>0.7</v>
      </c>
      <c r="C294" s="367">
        <f>IF((+$B$294*C292)&lt;0,"0",(+$B$294*C292))</f>
        <v>63694.592512078452</v>
      </c>
      <c r="D294" s="367">
        <f>IF((+$B$294*D292)&lt;0,"0",(+$B$294*D292))</f>
        <v>65483.935625191742</v>
      </c>
      <c r="E294" s="367">
        <f t="shared" ref="E294:Q294" si="213">IF((+$B$294*E292)&lt;0,"0",(+$B$294*E292))</f>
        <v>67321.233133736445</v>
      </c>
      <c r="F294" s="367">
        <f t="shared" si="213"/>
        <v>69207.770215510158</v>
      </c>
      <c r="G294" s="367">
        <f t="shared" si="213"/>
        <v>71144.866491075387</v>
      </c>
      <c r="H294" s="367">
        <f t="shared" si="213"/>
        <v>73133.876946825781</v>
      </c>
      <c r="I294" s="367">
        <f t="shared" si="213"/>
        <v>75176.192882790288</v>
      </c>
      <c r="J294" s="367">
        <f t="shared" si="213"/>
        <v>77273.242885838627</v>
      </c>
      <c r="K294" s="367">
        <f t="shared" si="213"/>
        <v>79426.493828968669</v>
      </c>
      <c r="L294" s="367">
        <f t="shared" si="213"/>
        <v>81637.451897374616</v>
      </c>
      <c r="M294" s="367">
        <f t="shared" si="213"/>
        <v>86979.605201326296</v>
      </c>
      <c r="N294" s="367">
        <f t="shared" si="213"/>
        <v>89310.658620721835</v>
      </c>
      <c r="O294" s="367">
        <f t="shared" si="213"/>
        <v>91704.184271757171</v>
      </c>
      <c r="P294" s="367">
        <f t="shared" si="213"/>
        <v>94161.856410240274</v>
      </c>
      <c r="Q294" s="367">
        <f t="shared" si="213"/>
        <v>96685.394162034703</v>
      </c>
    </row>
    <row r="295" spans="1:17" ht="14.4">
      <c r="A295" s="364" t="s">
        <v>303</v>
      </c>
      <c r="B295" s="378">
        <f>+SUM(C295:Q295)</f>
        <v>1182341.3550854702</v>
      </c>
      <c r="C295" s="367">
        <f>SUM(C294:C294)</f>
        <v>63694.592512078452</v>
      </c>
      <c r="D295" s="367">
        <f t="shared" ref="D295" si="214">SUM(D294:D294)</f>
        <v>65483.935625191742</v>
      </c>
      <c r="E295" s="367">
        <f t="shared" ref="E295" si="215">SUM(E294:E294)</f>
        <v>67321.233133736445</v>
      </c>
      <c r="F295" s="367">
        <f t="shared" ref="F295" si="216">SUM(F294:F294)</f>
        <v>69207.770215510158</v>
      </c>
      <c r="G295" s="367">
        <f t="shared" ref="G295" si="217">SUM(G294:G294)</f>
        <v>71144.866491075387</v>
      </c>
      <c r="H295" s="367">
        <f t="shared" ref="H295" si="218">SUM(H294:H294)</f>
        <v>73133.876946825781</v>
      </c>
      <c r="I295" s="367">
        <f t="shared" ref="I295" si="219">SUM(I294:I294)</f>
        <v>75176.192882790288</v>
      </c>
      <c r="J295" s="367">
        <f t="shared" ref="J295" si="220">SUM(J294:J294)</f>
        <v>77273.242885838627</v>
      </c>
      <c r="K295" s="367">
        <f t="shared" ref="K295" si="221">SUM(K294:K294)</f>
        <v>79426.493828968669</v>
      </c>
      <c r="L295" s="367">
        <f t="shared" ref="L295" si="222">SUM(L294:L294)</f>
        <v>81637.451897374616</v>
      </c>
      <c r="M295" s="367">
        <f t="shared" ref="M295" si="223">SUM(M294:M294)</f>
        <v>86979.605201326296</v>
      </c>
      <c r="N295" s="367">
        <f t="shared" ref="N295" si="224">SUM(N294:N294)</f>
        <v>89310.658620721835</v>
      </c>
      <c r="O295" s="367">
        <f t="shared" ref="O295" si="225">SUM(O294:O294)</f>
        <v>91704.184271757171</v>
      </c>
      <c r="P295" s="367">
        <f t="shared" ref="P295" si="226">SUM(P294:P294)</f>
        <v>94161.856410240274</v>
      </c>
      <c r="Q295" s="367">
        <f t="shared" ref="Q295" si="227">SUM(Q294:Q294)</f>
        <v>96685.394162034703</v>
      </c>
    </row>
    <row r="296" spans="1:17" ht="14.4">
      <c r="A296" s="369"/>
    </row>
    <row r="297" spans="1:17" ht="14.4">
      <c r="A297" s="364" t="s">
        <v>304</v>
      </c>
      <c r="B297" s="378">
        <f t="shared" ref="B297:B299" si="228">+SUM(C297:Q297)</f>
        <v>506717.72360805899</v>
      </c>
      <c r="C297" s="367">
        <f>C292-C295</f>
        <v>27297.68250517649</v>
      </c>
      <c r="D297" s="367">
        <f t="shared" ref="D297:Q297" si="229">D292-D295</f>
        <v>28064.5438393679</v>
      </c>
      <c r="E297" s="367">
        <f t="shared" si="229"/>
        <v>28851.957057315623</v>
      </c>
      <c r="F297" s="367">
        <f t="shared" si="229"/>
        <v>29660.472949504358</v>
      </c>
      <c r="G297" s="367">
        <f t="shared" si="229"/>
        <v>30490.657067603737</v>
      </c>
      <c r="H297" s="367">
        <f t="shared" si="229"/>
        <v>31343.090120068198</v>
      </c>
      <c r="I297" s="367">
        <f t="shared" si="229"/>
        <v>32218.36837833871</v>
      </c>
      <c r="J297" s="367">
        <f t="shared" si="229"/>
        <v>33117.104093930844</v>
      </c>
      <c r="K297" s="367">
        <f t="shared" si="229"/>
        <v>34039.925926700875</v>
      </c>
      <c r="L297" s="367">
        <f t="shared" si="229"/>
        <v>34987.479384589125</v>
      </c>
      <c r="M297" s="367">
        <f t="shared" si="229"/>
        <v>37276.973657711278</v>
      </c>
      <c r="N297" s="367">
        <f t="shared" si="229"/>
        <v>38275.996551737946</v>
      </c>
      <c r="O297" s="367">
        <f t="shared" si="229"/>
        <v>39301.79325932452</v>
      </c>
      <c r="P297" s="367">
        <f t="shared" si="229"/>
        <v>40355.08131867442</v>
      </c>
      <c r="Q297" s="367">
        <f t="shared" si="229"/>
        <v>41436.597498014889</v>
      </c>
    </row>
    <row r="298" spans="1:17" ht="14.4">
      <c r="A298" s="364" t="s">
        <v>305</v>
      </c>
      <c r="B298" s="378">
        <f t="shared" si="228"/>
        <v>43884.879418749995</v>
      </c>
      <c r="C298" s="367">
        <f>+C287</f>
        <v>4388.4879418749997</v>
      </c>
      <c r="D298" s="367">
        <f t="shared" ref="D298:Q298" si="230">+D287</f>
        <v>4388.4879418749997</v>
      </c>
      <c r="E298" s="367">
        <f t="shared" si="230"/>
        <v>4388.4879418749997</v>
      </c>
      <c r="F298" s="367">
        <f t="shared" si="230"/>
        <v>4388.4879418749997</v>
      </c>
      <c r="G298" s="367">
        <f t="shared" si="230"/>
        <v>4388.4879418749997</v>
      </c>
      <c r="H298" s="367">
        <f t="shared" si="230"/>
        <v>4388.4879418749997</v>
      </c>
      <c r="I298" s="367">
        <f t="shared" si="230"/>
        <v>4388.4879418749997</v>
      </c>
      <c r="J298" s="367">
        <f t="shared" si="230"/>
        <v>4388.4879418749997</v>
      </c>
      <c r="K298" s="367">
        <f t="shared" si="230"/>
        <v>4388.4879418749997</v>
      </c>
      <c r="L298" s="367">
        <f t="shared" si="230"/>
        <v>4388.4879418749997</v>
      </c>
      <c r="M298" s="367">
        <f t="shared" si="230"/>
        <v>0</v>
      </c>
      <c r="N298" s="367">
        <f t="shared" si="230"/>
        <v>0</v>
      </c>
      <c r="O298" s="367">
        <f t="shared" si="230"/>
        <v>0</v>
      </c>
      <c r="P298" s="367">
        <f t="shared" si="230"/>
        <v>0</v>
      </c>
      <c r="Q298" s="367">
        <f t="shared" si="230"/>
        <v>0</v>
      </c>
    </row>
    <row r="299" spans="1:17" ht="14.4">
      <c r="A299" s="364" t="s">
        <v>306</v>
      </c>
      <c r="B299" s="378">
        <f t="shared" si="228"/>
        <v>0</v>
      </c>
      <c r="C299" s="367">
        <f>+'WHRS_Project Scenario'!D272</f>
        <v>0</v>
      </c>
      <c r="D299" s="367">
        <f>+'WHRS_Project Scenario'!E272</f>
        <v>0</v>
      </c>
      <c r="E299" s="367">
        <f>+'WHRS_Project Scenario'!F272</f>
        <v>0</v>
      </c>
      <c r="F299" s="367">
        <f>+'WHRS_Project Scenario'!G272</f>
        <v>0</v>
      </c>
      <c r="G299" s="367">
        <f>+'WHRS_Project Scenario'!H272</f>
        <v>0</v>
      </c>
      <c r="H299" s="367">
        <f>+'WHRS_Project Scenario'!I272</f>
        <v>0</v>
      </c>
      <c r="I299" s="367">
        <f>+'WHRS_Project Scenario'!J272</f>
        <v>0</v>
      </c>
      <c r="J299" s="367">
        <f>+'WHRS_Project Scenario'!K272</f>
        <v>0</v>
      </c>
      <c r="K299" s="367">
        <f>+'WHRS_Project Scenario'!L272</f>
        <v>0</v>
      </c>
      <c r="L299" s="367">
        <f>+'WHRS_Project Scenario'!M272</f>
        <v>0</v>
      </c>
      <c r="M299" s="367">
        <f>+'WHRS_Project Scenario'!N272</f>
        <v>0</v>
      </c>
      <c r="N299" s="367">
        <f>+'WHRS_Project Scenario'!O272</f>
        <v>0</v>
      </c>
      <c r="O299" s="367">
        <f>+'WHRS_Project Scenario'!P272</f>
        <v>0</v>
      </c>
      <c r="P299" s="367">
        <f>+'WHRS_Project Scenario'!Q272</f>
        <v>0</v>
      </c>
      <c r="Q299" s="367">
        <f>+'WHRS_Project Scenario'!R272</f>
        <v>0</v>
      </c>
    </row>
    <row r="300" spans="1:17" ht="14.4">
      <c r="A300" s="364"/>
    </row>
    <row r="301" spans="1:17" ht="14.4">
      <c r="A301" s="364" t="s">
        <v>110</v>
      </c>
      <c r="B301" s="378">
        <f>-'WHRS_Project Scenario'!C8</f>
        <v>-43884.879418749995</v>
      </c>
      <c r="C301" s="367">
        <f>C297+C298+C299</f>
        <v>31686.170447051489</v>
      </c>
      <c r="D301" s="367">
        <f t="shared" ref="D301:Q301" si="231">D297+D298+D299</f>
        <v>32453.031781242898</v>
      </c>
      <c r="E301" s="367">
        <f t="shared" si="231"/>
        <v>33240.444999190622</v>
      </c>
      <c r="F301" s="367">
        <f t="shared" si="231"/>
        <v>34048.960891379356</v>
      </c>
      <c r="G301" s="367">
        <f t="shared" si="231"/>
        <v>34879.145009478736</v>
      </c>
      <c r="H301" s="367">
        <f t="shared" si="231"/>
        <v>35731.578061943197</v>
      </c>
      <c r="I301" s="367">
        <f t="shared" si="231"/>
        <v>36606.856320213708</v>
      </c>
      <c r="J301" s="367">
        <f t="shared" si="231"/>
        <v>37505.592035805843</v>
      </c>
      <c r="K301" s="367">
        <f t="shared" si="231"/>
        <v>38428.413868575873</v>
      </c>
      <c r="L301" s="367">
        <f t="shared" si="231"/>
        <v>39375.967326464124</v>
      </c>
      <c r="M301" s="367">
        <f t="shared" si="231"/>
        <v>37276.973657711278</v>
      </c>
      <c r="N301" s="367">
        <f t="shared" si="231"/>
        <v>38275.996551737946</v>
      </c>
      <c r="O301" s="367">
        <f t="shared" si="231"/>
        <v>39301.79325932452</v>
      </c>
      <c r="P301" s="367">
        <f t="shared" si="231"/>
        <v>40355.08131867442</v>
      </c>
      <c r="Q301" s="367">
        <f t="shared" si="231"/>
        <v>41436.597498014889</v>
      </c>
    </row>
    <row r="302" spans="1:17" ht="15.6">
      <c r="A302" s="364" t="s">
        <v>51</v>
      </c>
      <c r="B302" s="132">
        <f>IRR(B301:Q301)</f>
        <v>0.7458302016267061</v>
      </c>
    </row>
    <row r="303" spans="1:17" ht="15.6">
      <c r="A303" s="364" t="s">
        <v>267</v>
      </c>
      <c r="B303" s="303">
        <f>NPV('Initial Data'!C21/100,B301:Q301)</f>
        <v>175971.88436254562</v>
      </c>
    </row>
    <row r="305" spans="1:17" ht="14.4">
      <c r="A305" s="508" t="s">
        <v>310</v>
      </c>
      <c r="B305" s="509"/>
      <c r="C305" s="509"/>
      <c r="D305" s="509"/>
      <c r="E305" s="509"/>
      <c r="F305" s="509"/>
      <c r="G305" s="509"/>
      <c r="H305" s="509"/>
      <c r="I305" s="509"/>
      <c r="J305" s="509"/>
      <c r="K305" s="509"/>
      <c r="L305" s="509"/>
      <c r="M305" s="509"/>
      <c r="N305" s="509"/>
      <c r="O305" s="509"/>
      <c r="P305" s="509"/>
      <c r="Q305" s="509"/>
    </row>
    <row r="306" spans="1:17" ht="14.4">
      <c r="A306" s="371" t="s">
        <v>314</v>
      </c>
      <c r="B306" s="372"/>
      <c r="C306" s="372"/>
      <c r="D306" s="372"/>
      <c r="E306" s="372"/>
      <c r="F306" s="372"/>
      <c r="G306" s="372"/>
      <c r="H306" s="372"/>
      <c r="I306" s="372"/>
      <c r="J306" s="372"/>
      <c r="K306" s="372"/>
      <c r="L306" s="372"/>
      <c r="M306" s="372"/>
      <c r="N306" s="372"/>
      <c r="O306" s="372"/>
      <c r="P306" s="372"/>
      <c r="Q306" s="372"/>
    </row>
    <row r="307" spans="1:17" ht="27">
      <c r="A307" s="376"/>
      <c r="B307" s="304" t="s">
        <v>35</v>
      </c>
      <c r="C307" s="352" t="s">
        <v>407</v>
      </c>
      <c r="D307" s="352" t="s">
        <v>408</v>
      </c>
      <c r="E307" s="352" t="s">
        <v>409</v>
      </c>
      <c r="F307" s="352" t="s">
        <v>410</v>
      </c>
      <c r="G307" s="352" t="s">
        <v>411</v>
      </c>
      <c r="H307" s="352" t="s">
        <v>412</v>
      </c>
      <c r="I307" s="352" t="s">
        <v>413</v>
      </c>
      <c r="J307" s="352" t="s">
        <v>414</v>
      </c>
      <c r="K307" s="352" t="s">
        <v>415</v>
      </c>
      <c r="L307" s="352" t="s">
        <v>416</v>
      </c>
      <c r="M307" s="352" t="s">
        <v>417</v>
      </c>
      <c r="N307" s="352" t="s">
        <v>418</v>
      </c>
      <c r="O307" s="352" t="s">
        <v>419</v>
      </c>
      <c r="P307" s="352" t="s">
        <v>420</v>
      </c>
      <c r="Q307" s="352" t="s">
        <v>421</v>
      </c>
    </row>
    <row r="308" spans="1:17" ht="14.4">
      <c r="A308" s="363" t="s">
        <v>290</v>
      </c>
      <c r="B308" s="365"/>
      <c r="C308" s="367">
        <f>+'WHRS_Project Scenario'!D15</f>
        <v>215214.92335078961</v>
      </c>
      <c r="D308" s="367">
        <f>+'WHRS_Project Scenario'!E15</f>
        <v>215214.92335078961</v>
      </c>
      <c r="E308" s="367">
        <f>+'WHRS_Project Scenario'!F15</f>
        <v>215214.92335078961</v>
      </c>
      <c r="F308" s="367">
        <f>+'WHRS_Project Scenario'!G15</f>
        <v>215214.92335078961</v>
      </c>
      <c r="G308" s="367">
        <f>+'WHRS_Project Scenario'!H15</f>
        <v>215214.92335078961</v>
      </c>
      <c r="H308" s="367">
        <f>+'WHRS_Project Scenario'!I15</f>
        <v>215214.92335078961</v>
      </c>
      <c r="I308" s="367">
        <f>+'WHRS_Project Scenario'!J15</f>
        <v>215214.92335078961</v>
      </c>
      <c r="J308" s="367">
        <f>+'WHRS_Project Scenario'!K15</f>
        <v>215214.92335078961</v>
      </c>
      <c r="K308" s="367">
        <f>+'WHRS_Project Scenario'!L15</f>
        <v>215214.92335078961</v>
      </c>
      <c r="L308" s="367">
        <f>+'WHRS_Project Scenario'!M15</f>
        <v>215214.92335078961</v>
      </c>
      <c r="M308" s="367">
        <f>+'WHRS_Project Scenario'!N15</f>
        <v>215214.92335078961</v>
      </c>
      <c r="N308" s="367">
        <f>+'WHRS_Project Scenario'!O15</f>
        <v>215214.92335078961</v>
      </c>
      <c r="O308" s="367">
        <f>+'WHRS_Project Scenario'!P15</f>
        <v>215214.92335078961</v>
      </c>
      <c r="P308" s="367">
        <f>+'WHRS_Project Scenario'!Q15</f>
        <v>215214.92335078961</v>
      </c>
      <c r="Q308" s="367">
        <f>+'WHRS_Project Scenario'!R15</f>
        <v>215214.92335078961</v>
      </c>
    </row>
    <row r="309" spans="1:17" ht="14.4">
      <c r="A309" s="364" t="s">
        <v>291</v>
      </c>
      <c r="B309" s="365"/>
      <c r="C309" s="367">
        <f>+'WHRS_Project Scenario'!D16</f>
        <v>70</v>
      </c>
      <c r="D309" s="367">
        <f>+'WHRS_Project Scenario'!E16</f>
        <v>70</v>
      </c>
      <c r="E309" s="367">
        <f>+'WHRS_Project Scenario'!F16</f>
        <v>70</v>
      </c>
      <c r="F309" s="367">
        <f>+'WHRS_Project Scenario'!G16</f>
        <v>70</v>
      </c>
      <c r="G309" s="367">
        <f>+'WHRS_Project Scenario'!H16</f>
        <v>70</v>
      </c>
      <c r="H309" s="367">
        <f>+'WHRS_Project Scenario'!I16</f>
        <v>70</v>
      </c>
      <c r="I309" s="367">
        <f>+'WHRS_Project Scenario'!J16</f>
        <v>70</v>
      </c>
      <c r="J309" s="367">
        <f>+'WHRS_Project Scenario'!K16</f>
        <v>70</v>
      </c>
      <c r="K309" s="367">
        <f>+'WHRS_Project Scenario'!L16</f>
        <v>70</v>
      </c>
      <c r="L309" s="367">
        <f>+'WHRS_Project Scenario'!M16</f>
        <v>70</v>
      </c>
      <c r="M309" s="367">
        <f>+'WHRS_Project Scenario'!N16</f>
        <v>70</v>
      </c>
      <c r="N309" s="367">
        <f>+'WHRS_Project Scenario'!O16</f>
        <v>70</v>
      </c>
      <c r="O309" s="367">
        <f>+'WHRS_Project Scenario'!P16</f>
        <v>70</v>
      </c>
      <c r="P309" s="367">
        <f>+'WHRS_Project Scenario'!Q16</f>
        <v>70</v>
      </c>
      <c r="Q309" s="367">
        <f>+'WHRS_Project Scenario'!R16</f>
        <v>70</v>
      </c>
    </row>
    <row r="310" spans="1:17" ht="14.4">
      <c r="A310" s="366" t="s">
        <v>292</v>
      </c>
      <c r="B310" s="365"/>
      <c r="C310" s="375">
        <f>+'WHRS_Project Scenario'!D17</f>
        <v>6.4285714285714288</v>
      </c>
      <c r="D310" s="375">
        <f>+'WHRS_Project Scenario'!E17</f>
        <v>6.6008571428571425</v>
      </c>
      <c r="E310" s="375">
        <f>+'WHRS_Project Scenario'!F17</f>
        <v>6.7777601142857131</v>
      </c>
      <c r="F310" s="375">
        <f>+'WHRS_Project Scenario'!G17</f>
        <v>6.9594040853485701</v>
      </c>
      <c r="G310" s="375">
        <f>+'WHRS_Project Scenario'!H17</f>
        <v>7.1459161148359112</v>
      </c>
      <c r="H310" s="375">
        <f>+'WHRS_Project Scenario'!I17</f>
        <v>7.3374266667135135</v>
      </c>
      <c r="I310" s="375">
        <f>+'WHRS_Project Scenario'!J17</f>
        <v>7.5340697013814353</v>
      </c>
      <c r="J310" s="375">
        <f>+'WHRS_Project Scenario'!K17</f>
        <v>7.7359827693784569</v>
      </c>
      <c r="K310" s="375">
        <f>+'WHRS_Project Scenario'!L17</f>
        <v>7.943307107597799</v>
      </c>
      <c r="L310" s="375">
        <f>+'WHRS_Project Scenario'!M17</f>
        <v>8.1561877380814192</v>
      </c>
      <c r="M310" s="375">
        <f>+'WHRS_Project Scenario'!N17</f>
        <v>8.3747735694620005</v>
      </c>
      <c r="N310" s="375">
        <f>+'WHRS_Project Scenario'!O17</f>
        <v>8.5992175011235812</v>
      </c>
      <c r="O310" s="375">
        <f>+'WHRS_Project Scenario'!P17</f>
        <v>8.8296765301536926</v>
      </c>
      <c r="P310" s="375">
        <f>+'WHRS_Project Scenario'!Q17</f>
        <v>9.066311861161811</v>
      </c>
      <c r="Q310" s="375">
        <f>+'WHRS_Project Scenario'!R17</f>
        <v>9.3092890190409463</v>
      </c>
    </row>
    <row r="311" spans="1:17" ht="14.4">
      <c r="A311" s="366" t="s">
        <v>293</v>
      </c>
      <c r="B311" s="365"/>
      <c r="C311" s="367">
        <f>+'WHRS_Project Scenario'!D18</f>
        <v>450</v>
      </c>
      <c r="D311" s="367">
        <f>+'WHRS_Project Scenario'!E18</f>
        <v>462.06</v>
      </c>
      <c r="E311" s="367">
        <f>+'WHRS_Project Scenario'!F18</f>
        <v>474.44320799999991</v>
      </c>
      <c r="F311" s="367">
        <f>+'WHRS_Project Scenario'!G18</f>
        <v>487.15828597439992</v>
      </c>
      <c r="G311" s="367">
        <f>+'WHRS_Project Scenario'!H18</f>
        <v>500.21412803851376</v>
      </c>
      <c r="H311" s="367">
        <f>+'WHRS_Project Scenario'!I18</f>
        <v>513.61986666994596</v>
      </c>
      <c r="I311" s="367">
        <f>+'WHRS_Project Scenario'!J18</f>
        <v>527.3848790967005</v>
      </c>
      <c r="J311" s="367">
        <f>+'WHRS_Project Scenario'!K18</f>
        <v>541.51879385649192</v>
      </c>
      <c r="K311" s="367">
        <f>+'WHRS_Project Scenario'!L18</f>
        <v>556.03149753184596</v>
      </c>
      <c r="L311" s="367">
        <f>+'WHRS_Project Scenario'!M18</f>
        <v>570.9331416656994</v>
      </c>
      <c r="M311" s="367">
        <f>+'WHRS_Project Scenario'!N18</f>
        <v>586.23414986234002</v>
      </c>
      <c r="N311" s="367">
        <f>+'WHRS_Project Scenario'!O18</f>
        <v>601.94522507865065</v>
      </c>
      <c r="O311" s="367">
        <f>+'WHRS_Project Scenario'!P18</f>
        <v>618.0773571107585</v>
      </c>
      <c r="P311" s="367">
        <f>+'WHRS_Project Scenario'!Q18</f>
        <v>634.64183028132675</v>
      </c>
      <c r="Q311" s="367">
        <f>+'WHRS_Project Scenario'!R18</f>
        <v>651.65023133286627</v>
      </c>
    </row>
    <row r="312" spans="1:17" ht="14.4">
      <c r="A312" s="370"/>
      <c r="B312" s="373"/>
      <c r="C312" s="373"/>
      <c r="D312" s="373"/>
      <c r="E312" s="373"/>
      <c r="F312" s="373"/>
      <c r="G312" s="373"/>
      <c r="H312" s="373"/>
      <c r="I312" s="373"/>
      <c r="J312" s="373"/>
      <c r="K312" s="373"/>
      <c r="L312" s="373"/>
      <c r="M312" s="373"/>
      <c r="N312" s="373"/>
      <c r="O312" s="373"/>
      <c r="P312" s="373"/>
      <c r="Q312" s="373"/>
    </row>
    <row r="313" spans="1:17" ht="14.4">
      <c r="A313" s="366" t="s">
        <v>294</v>
      </c>
      <c r="B313" s="378">
        <f>+SUM(C313:Q313)</f>
        <v>1759578.4023479735</v>
      </c>
      <c r="C313" s="367">
        <f>+'WHRS_Project Scenario'!D20</f>
        <v>96846.715507855319</v>
      </c>
      <c r="D313" s="367">
        <f>+'WHRS_Project Scenario'!E20</f>
        <v>99442.207483465856</v>
      </c>
      <c r="E313" s="367">
        <f>+'WHRS_Project Scenario'!F20</f>
        <v>102107.25864402272</v>
      </c>
      <c r="F313" s="367">
        <f>+'WHRS_Project Scenario'!G20</f>
        <v>104843.73317568253</v>
      </c>
      <c r="G313" s="367">
        <f>+'WHRS_Project Scenario'!H20</f>
        <v>107653.5452247908</v>
      </c>
      <c r="H313" s="367">
        <f>+'WHRS_Project Scenario'!I20</f>
        <v>110538.66023681519</v>
      </c>
      <c r="I313" s="367">
        <f>+'WHRS_Project Scenario'!J20</f>
        <v>113501.09633116184</v>
      </c>
      <c r="J313" s="367">
        <f>+'WHRS_Project Scenario'!K20</f>
        <v>116542.92571283695</v>
      </c>
      <c r="K313" s="367">
        <f>+'WHRS_Project Scenario'!L20</f>
        <v>119666.27612194099</v>
      </c>
      <c r="L313" s="367">
        <f>+'WHRS_Project Scenario'!M20</f>
        <v>122873.332322009</v>
      </c>
      <c r="M313" s="367">
        <f>+'WHRS_Project Scenario'!N20</f>
        <v>126166.33762823881</v>
      </c>
      <c r="N313" s="367">
        <f>+'WHRS_Project Scenario'!O20</f>
        <v>129547.5954766756</v>
      </c>
      <c r="O313" s="367">
        <f>+'WHRS_Project Scenario'!P20</f>
        <v>133019.47103545049</v>
      </c>
      <c r="P313" s="367">
        <f>+'WHRS_Project Scenario'!Q20</f>
        <v>136584.39285920057</v>
      </c>
      <c r="Q313" s="367">
        <f>+'WHRS_Project Scenario'!R20</f>
        <v>140244.85458782714</v>
      </c>
    </row>
    <row r="314" spans="1:17" ht="14.4">
      <c r="A314" s="370"/>
      <c r="B314" s="373"/>
      <c r="C314" s="373"/>
      <c r="D314" s="373"/>
      <c r="E314" s="373"/>
      <c r="F314" s="373"/>
      <c r="G314" s="373"/>
      <c r="H314" s="373"/>
      <c r="I314" s="373"/>
      <c r="J314" s="373"/>
      <c r="K314" s="373"/>
      <c r="L314" s="373"/>
      <c r="M314" s="373"/>
      <c r="N314" s="373"/>
      <c r="O314" s="373"/>
      <c r="P314" s="373"/>
      <c r="Q314" s="373"/>
    </row>
    <row r="315" spans="1:17" ht="14.4">
      <c r="A315" s="366" t="s">
        <v>295</v>
      </c>
      <c r="B315" s="378">
        <f>+SUM(C315:Q315)</f>
        <v>1759578.4023479735</v>
      </c>
      <c r="C315" s="367">
        <f>+'WHRS_Project Scenario'!D22</f>
        <v>96846.715507855319</v>
      </c>
      <c r="D315" s="367">
        <f>+'WHRS_Project Scenario'!E22</f>
        <v>99442.207483465856</v>
      </c>
      <c r="E315" s="367">
        <f>+'WHRS_Project Scenario'!F22</f>
        <v>102107.25864402272</v>
      </c>
      <c r="F315" s="367">
        <f>+'WHRS_Project Scenario'!G22</f>
        <v>104843.73317568253</v>
      </c>
      <c r="G315" s="367">
        <f>+'WHRS_Project Scenario'!H22</f>
        <v>107653.5452247908</v>
      </c>
      <c r="H315" s="367">
        <f>+'WHRS_Project Scenario'!I22</f>
        <v>110538.66023681519</v>
      </c>
      <c r="I315" s="367">
        <f>+'WHRS_Project Scenario'!J22</f>
        <v>113501.09633116184</v>
      </c>
      <c r="J315" s="367">
        <f>+'WHRS_Project Scenario'!K22</f>
        <v>116542.92571283695</v>
      </c>
      <c r="K315" s="367">
        <f>+'WHRS_Project Scenario'!L22</f>
        <v>119666.27612194099</v>
      </c>
      <c r="L315" s="367">
        <f>+'WHRS_Project Scenario'!M22</f>
        <v>122873.332322009</v>
      </c>
      <c r="M315" s="367">
        <f>+'WHRS_Project Scenario'!N22</f>
        <v>126166.33762823881</v>
      </c>
      <c r="N315" s="367">
        <f>+'WHRS_Project Scenario'!O22</f>
        <v>129547.5954766756</v>
      </c>
      <c r="O315" s="367">
        <f>+'WHRS_Project Scenario'!P22</f>
        <v>133019.47103545049</v>
      </c>
      <c r="P315" s="367">
        <f>+'WHRS_Project Scenario'!Q22</f>
        <v>136584.39285920057</v>
      </c>
      <c r="Q315" s="367">
        <f>+'WHRS_Project Scenario'!R22</f>
        <v>140244.85458782714</v>
      </c>
    </row>
    <row r="316" spans="1:17" ht="14.4">
      <c r="A316" s="370"/>
      <c r="B316" s="374"/>
      <c r="C316" s="374"/>
      <c r="D316" s="374"/>
      <c r="E316" s="374"/>
      <c r="F316" s="374"/>
      <c r="G316" s="374"/>
      <c r="H316" s="374"/>
      <c r="I316" s="374"/>
      <c r="J316" s="374"/>
      <c r="K316" s="374"/>
      <c r="L316" s="374"/>
      <c r="M316" s="374"/>
      <c r="N316" s="374"/>
      <c r="O316" s="374"/>
      <c r="P316" s="374"/>
      <c r="Q316" s="374"/>
    </row>
    <row r="317" spans="1:17" ht="14.4">
      <c r="A317" s="366" t="s">
        <v>68</v>
      </c>
      <c r="B317" s="368"/>
      <c r="C317" s="368"/>
      <c r="D317" s="368"/>
      <c r="E317" s="368"/>
      <c r="F317" s="368"/>
      <c r="G317" s="368"/>
      <c r="H317" s="368"/>
      <c r="I317" s="368"/>
      <c r="J317" s="368"/>
      <c r="K317" s="368"/>
      <c r="L317" s="368"/>
      <c r="M317" s="368"/>
      <c r="N317" s="368"/>
      <c r="O317" s="368"/>
      <c r="P317" s="368"/>
      <c r="Q317" s="368"/>
    </row>
    <row r="318" spans="1:17" ht="14.4">
      <c r="A318" s="366" t="s">
        <v>296</v>
      </c>
      <c r="B318" s="381">
        <f>+SUM(C318:Q318)</f>
        <v>12682.307320942429</v>
      </c>
      <c r="C318" s="381">
        <f>SUM('Initial Data'!$C$77:$C$80)/'Initial Data'!$C$14/1000*(1+$F$6)</f>
        <v>698.03073705357156</v>
      </c>
      <c r="D318" s="381">
        <f>C318*(1+'Initial Data'!$C$20/100)</f>
        <v>716.73796080660725</v>
      </c>
      <c r="E318" s="381">
        <f>D318*(1+'Initial Data'!$C$20/100)</f>
        <v>735.94653815622428</v>
      </c>
      <c r="F318" s="381">
        <f>E318*(1+'Initial Data'!$C$20/100)</f>
        <v>755.66990537881099</v>
      </c>
      <c r="G318" s="381">
        <f>F318*(1+'Initial Data'!$C$20/100)</f>
        <v>775.92185884296305</v>
      </c>
      <c r="H318" s="381">
        <f>G318*(1+'Initial Data'!$C$20/100)</f>
        <v>796.71656465995443</v>
      </c>
      <c r="I318" s="381">
        <f>H318*(1+'Initial Data'!$C$20/100)</f>
        <v>818.06856859284119</v>
      </c>
      <c r="J318" s="381">
        <f>I318*(1+'Initial Data'!$C$20/100)</f>
        <v>839.99280623112929</v>
      </c>
      <c r="K318" s="381">
        <f>J318*(1+'Initial Data'!$C$20/100)</f>
        <v>862.50461343812356</v>
      </c>
      <c r="L318" s="381">
        <f>K318*(1+'Initial Data'!$C$20/100)</f>
        <v>885.61973707826519</v>
      </c>
      <c r="M318" s="381">
        <f>L318*(1+'Initial Data'!$C$20/100)</f>
        <v>909.35434603196268</v>
      </c>
      <c r="N318" s="381">
        <f>M318*(1+'Initial Data'!$C$20/100)</f>
        <v>933.72504250561917</v>
      </c>
      <c r="O318" s="381">
        <f>N318*(1+'Initial Data'!$C$20/100)</f>
        <v>958.74887364476967</v>
      </c>
      <c r="P318" s="381">
        <f>O318*(1+'Initial Data'!$C$20/100)</f>
        <v>984.44334345844948</v>
      </c>
      <c r="Q318" s="381">
        <f>P318*(1+'Initial Data'!$C$20/100)</f>
        <v>1010.8264250631358</v>
      </c>
    </row>
    <row r="319" spans="1:17" ht="14.4">
      <c r="A319" s="366" t="s">
        <v>297</v>
      </c>
      <c r="B319" s="381">
        <f>+SUM(C319:Q319)</f>
        <v>15220.443783118408</v>
      </c>
      <c r="C319" s="381">
        <f>('Initial Data'!$C$82/1000+('Initial Data'!$C$83*'Initial Data'!$C$15/'Initial Data'!$C$14)/1000+'Initial Data'!$C$84/'Initial Data'!$C$14/1000)*(1+$F$6)</f>
        <v>837.72907589682154</v>
      </c>
      <c r="D319" s="381">
        <f>C319*(1+'Initial Data'!$C$20/100)</f>
        <v>860.18021513085625</v>
      </c>
      <c r="E319" s="381">
        <f>D319*(1+'Initial Data'!$C$20/100)</f>
        <v>883.23304489636314</v>
      </c>
      <c r="F319" s="381">
        <f>E319*(1+'Initial Data'!$C$20/100)</f>
        <v>906.90369049958565</v>
      </c>
      <c r="G319" s="381">
        <f>F319*(1+'Initial Data'!$C$20/100)</f>
        <v>931.20870940497446</v>
      </c>
      <c r="H319" s="381">
        <f>G319*(1+'Initial Data'!$C$20/100)</f>
        <v>956.16510281702767</v>
      </c>
      <c r="I319" s="381">
        <f>H319*(1+'Initial Data'!$C$20/100)</f>
        <v>981.79032757252401</v>
      </c>
      <c r="J319" s="381">
        <f>I319*(1+'Initial Data'!$C$20/100)</f>
        <v>1008.1023083514676</v>
      </c>
      <c r="K319" s="381">
        <f>J319*(1+'Initial Data'!$C$20/100)</f>
        <v>1035.1194502152869</v>
      </c>
      <c r="L319" s="381">
        <f>K319*(1+'Initial Data'!$C$20/100)</f>
        <v>1062.8606514810565</v>
      </c>
      <c r="M319" s="381">
        <f>L319*(1+'Initial Data'!$C$20/100)</f>
        <v>1091.3453169407487</v>
      </c>
      <c r="N319" s="381">
        <f>M319*(1+'Initial Data'!$C$20/100)</f>
        <v>1120.5933714347607</v>
      </c>
      <c r="O319" s="381">
        <f>N319*(1+'Initial Data'!$C$20/100)</f>
        <v>1150.6252737892121</v>
      </c>
      <c r="P319" s="381">
        <f>O319*(1+'Initial Data'!$C$20/100)</f>
        <v>1181.4620311267629</v>
      </c>
      <c r="Q319" s="381">
        <f>P319*(1+'Initial Data'!$C$20/100)</f>
        <v>1213.12521356096</v>
      </c>
    </row>
    <row r="320" spans="1:17" ht="14.4">
      <c r="A320" s="370"/>
      <c r="B320" s="369"/>
      <c r="C320" s="382"/>
      <c r="D320" s="369"/>
      <c r="E320" s="369"/>
      <c r="F320" s="369"/>
      <c r="G320" s="369"/>
      <c r="H320" s="369"/>
      <c r="I320" s="369"/>
      <c r="J320" s="369"/>
      <c r="K320" s="369"/>
      <c r="L320" s="369"/>
      <c r="M320" s="369"/>
      <c r="N320" s="369"/>
      <c r="O320" s="369"/>
      <c r="P320" s="369"/>
      <c r="Q320" s="369"/>
    </row>
    <row r="321" spans="1:17" ht="14.4">
      <c r="A321" s="366" t="s">
        <v>71</v>
      </c>
      <c r="B321" s="379"/>
      <c r="C321" s="379"/>
      <c r="D321" s="379"/>
      <c r="E321" s="379"/>
      <c r="F321" s="379"/>
      <c r="G321" s="379"/>
      <c r="H321" s="379"/>
      <c r="I321" s="379"/>
      <c r="J321" s="379"/>
      <c r="K321" s="379"/>
      <c r="L321" s="379"/>
      <c r="M321" s="379"/>
      <c r="N321" s="379"/>
      <c r="O321" s="379"/>
      <c r="P321" s="379"/>
      <c r="Q321" s="379"/>
    </row>
    <row r="322" spans="1:17" ht="14.4">
      <c r="A322" s="370"/>
      <c r="B322" s="379"/>
      <c r="C322" s="379"/>
      <c r="D322" s="379"/>
      <c r="E322" s="379"/>
      <c r="F322" s="379"/>
      <c r="G322" s="379"/>
      <c r="H322" s="379"/>
      <c r="I322" s="379"/>
      <c r="J322" s="379"/>
      <c r="K322" s="379"/>
      <c r="L322" s="379"/>
      <c r="M322" s="379"/>
      <c r="N322" s="379"/>
      <c r="O322" s="379"/>
      <c r="P322" s="379"/>
      <c r="Q322" s="379"/>
    </row>
    <row r="323" spans="1:17" ht="14.4">
      <c r="A323" s="366" t="s">
        <v>298</v>
      </c>
      <c r="B323" s="378">
        <f>+SUM(C323:Q323)</f>
        <v>27902.75110406083</v>
      </c>
      <c r="C323" s="367">
        <f>SUM(C318:C319)</f>
        <v>1535.7598129503931</v>
      </c>
      <c r="D323" s="367">
        <f>SUM(D318:D319)</f>
        <v>1576.9181759374635</v>
      </c>
      <c r="E323" s="367">
        <f t="shared" ref="E323:Q323" si="232">SUM(E318:E319)</f>
        <v>1619.1795830525875</v>
      </c>
      <c r="F323" s="367">
        <f t="shared" si="232"/>
        <v>1662.5735958783966</v>
      </c>
      <c r="G323" s="367">
        <f t="shared" si="232"/>
        <v>1707.1305682479374</v>
      </c>
      <c r="H323" s="367">
        <f t="shared" si="232"/>
        <v>1752.8816674769821</v>
      </c>
      <c r="I323" s="367">
        <f t="shared" si="232"/>
        <v>1799.8588961653652</v>
      </c>
      <c r="J323" s="367">
        <f t="shared" si="232"/>
        <v>1848.095114582597</v>
      </c>
      <c r="K323" s="367">
        <f t="shared" si="232"/>
        <v>1897.6240636534103</v>
      </c>
      <c r="L323" s="367">
        <f t="shared" si="232"/>
        <v>1948.4803885593217</v>
      </c>
      <c r="M323" s="367">
        <f t="shared" si="232"/>
        <v>2000.6996629727114</v>
      </c>
      <c r="N323" s="367">
        <f t="shared" si="232"/>
        <v>2054.3184139403797</v>
      </c>
      <c r="O323" s="367">
        <f t="shared" si="232"/>
        <v>2109.3741474339818</v>
      </c>
      <c r="P323" s="367">
        <f t="shared" si="232"/>
        <v>2165.9053745852125</v>
      </c>
      <c r="Q323" s="367">
        <f t="shared" si="232"/>
        <v>2223.9516386240957</v>
      </c>
    </row>
    <row r="324" spans="1:17" ht="14.4">
      <c r="A324" s="370"/>
      <c r="B324" s="379"/>
      <c r="C324" s="379"/>
      <c r="D324" s="379"/>
      <c r="E324" s="379"/>
      <c r="F324" s="379"/>
      <c r="G324" s="379"/>
      <c r="H324" s="379"/>
      <c r="I324" s="379"/>
      <c r="J324" s="379"/>
      <c r="K324" s="379"/>
      <c r="L324" s="379"/>
      <c r="M324" s="379"/>
      <c r="N324" s="379"/>
      <c r="O324" s="379"/>
      <c r="P324" s="379"/>
      <c r="Q324" s="379"/>
    </row>
    <row r="325" spans="1:17" ht="14.4">
      <c r="A325" s="366" t="s">
        <v>299</v>
      </c>
      <c r="B325" s="378">
        <f t="shared" ref="B325:B326" si="233">+SUM(C325:Q325)</f>
        <v>43884.879418749995</v>
      </c>
      <c r="C325" s="367">
        <f>'WHRS_Project Scenario'!$C$8/'Initial Data'!$C$19</f>
        <v>4388.4879418749997</v>
      </c>
      <c r="D325" s="367">
        <f>'WHRS_Project Scenario'!$C$8/'Initial Data'!$C$19</f>
        <v>4388.4879418749997</v>
      </c>
      <c r="E325" s="367">
        <f>'WHRS_Project Scenario'!$C$8/'Initial Data'!$C$19</f>
        <v>4388.4879418749997</v>
      </c>
      <c r="F325" s="367">
        <f>'WHRS_Project Scenario'!$C$8/'Initial Data'!$C$19</f>
        <v>4388.4879418749997</v>
      </c>
      <c r="G325" s="367">
        <f>'WHRS_Project Scenario'!$C$8/'Initial Data'!$C$19</f>
        <v>4388.4879418749997</v>
      </c>
      <c r="H325" s="367">
        <f>'WHRS_Project Scenario'!$C$8/'Initial Data'!$C$19</f>
        <v>4388.4879418749997</v>
      </c>
      <c r="I325" s="367">
        <f>'WHRS_Project Scenario'!$C$8/'Initial Data'!$C$19</f>
        <v>4388.4879418749997</v>
      </c>
      <c r="J325" s="367">
        <f>'WHRS_Project Scenario'!$C$8/'Initial Data'!$C$19</f>
        <v>4388.4879418749997</v>
      </c>
      <c r="K325" s="367">
        <f>'WHRS_Project Scenario'!$C$8/'Initial Data'!$C$19</f>
        <v>4388.4879418749997</v>
      </c>
      <c r="L325" s="367">
        <f>'WHRS_Project Scenario'!$C$8/'Initial Data'!$C$19</f>
        <v>4388.4879418749997</v>
      </c>
      <c r="M325" s="367">
        <v>0</v>
      </c>
      <c r="N325" s="367">
        <v>0</v>
      </c>
      <c r="O325" s="367">
        <v>0</v>
      </c>
      <c r="P325" s="367">
        <v>0</v>
      </c>
      <c r="Q325" s="367">
        <v>0</v>
      </c>
    </row>
    <row r="326" spans="1:17" ht="14.4">
      <c r="A326" s="366" t="s">
        <v>300</v>
      </c>
      <c r="B326" s="378">
        <f t="shared" si="233"/>
        <v>43884.879418749995</v>
      </c>
      <c r="C326" s="367">
        <f>SUM(C325:C325)</f>
        <v>4388.4879418749997</v>
      </c>
      <c r="D326" s="367">
        <f t="shared" ref="D326" si="234">SUM(D325:D325)</f>
        <v>4388.4879418749997</v>
      </c>
      <c r="E326" s="367">
        <f t="shared" ref="E326" si="235">SUM(E325:E325)</f>
        <v>4388.4879418749997</v>
      </c>
      <c r="F326" s="367">
        <f t="shared" ref="F326" si="236">SUM(F325:F325)</f>
        <v>4388.4879418749997</v>
      </c>
      <c r="G326" s="367">
        <f t="shared" ref="G326" si="237">SUM(G325:G325)</f>
        <v>4388.4879418749997</v>
      </c>
      <c r="H326" s="367">
        <f t="shared" ref="H326" si="238">SUM(H325:H325)</f>
        <v>4388.4879418749997</v>
      </c>
      <c r="I326" s="367">
        <f t="shared" ref="I326" si="239">SUM(I325:I325)</f>
        <v>4388.4879418749997</v>
      </c>
      <c r="J326" s="367">
        <f t="shared" ref="J326" si="240">SUM(J325:J325)</f>
        <v>4388.4879418749997</v>
      </c>
      <c r="K326" s="367">
        <f t="shared" ref="K326" si="241">SUM(K325:K325)</f>
        <v>4388.4879418749997</v>
      </c>
      <c r="L326" s="367">
        <f t="shared" ref="L326" si="242">SUM(L325:L325)</f>
        <v>4388.4879418749997</v>
      </c>
      <c r="M326" s="367">
        <f t="shared" ref="M326" si="243">SUM(M325:M325)</f>
        <v>0</v>
      </c>
      <c r="N326" s="367">
        <f t="shared" ref="N326" si="244">SUM(N325:N325)</f>
        <v>0</v>
      </c>
      <c r="O326" s="367">
        <f t="shared" ref="O326" si="245">SUM(O325:O325)</f>
        <v>0</v>
      </c>
      <c r="P326" s="367">
        <f t="shared" ref="P326" si="246">SUM(P325:P325)</f>
        <v>0</v>
      </c>
      <c r="Q326" s="367">
        <f t="shared" ref="Q326" si="247">SUM(Q325:Q325)</f>
        <v>0</v>
      </c>
    </row>
    <row r="327" spans="1:17" ht="14.4">
      <c r="A327" s="370"/>
      <c r="B327" s="379"/>
      <c r="C327" s="379"/>
      <c r="D327" s="379"/>
      <c r="E327" s="379"/>
      <c r="F327" s="379"/>
      <c r="G327" s="379"/>
      <c r="H327" s="379"/>
      <c r="I327" s="379"/>
      <c r="J327" s="379"/>
      <c r="K327" s="379"/>
      <c r="L327" s="379"/>
      <c r="M327" s="379"/>
      <c r="N327" s="379"/>
      <c r="O327" s="379"/>
      <c r="P327" s="379"/>
      <c r="Q327" s="379"/>
    </row>
    <row r="328" spans="1:17" ht="14.4">
      <c r="A328" s="366" t="s">
        <v>301</v>
      </c>
      <c r="B328" s="378">
        <f>+SUM(C328:Q328)</f>
        <v>71787.630522810839</v>
      </c>
      <c r="C328" s="367">
        <f>+C323+C326</f>
        <v>5924.2477548253928</v>
      </c>
      <c r="D328" s="367">
        <f>+D323+D326</f>
        <v>5965.406117812463</v>
      </c>
      <c r="E328" s="367">
        <f t="shared" ref="E328:Q328" si="248">+E323+E326</f>
        <v>6007.6675249275868</v>
      </c>
      <c r="F328" s="367">
        <f t="shared" si="248"/>
        <v>6051.0615377533959</v>
      </c>
      <c r="G328" s="367">
        <f t="shared" si="248"/>
        <v>6095.6185101229366</v>
      </c>
      <c r="H328" s="367">
        <f t="shared" si="248"/>
        <v>6141.369609351982</v>
      </c>
      <c r="I328" s="367">
        <f t="shared" si="248"/>
        <v>6188.3468380403647</v>
      </c>
      <c r="J328" s="367">
        <f t="shared" si="248"/>
        <v>6236.5830564575972</v>
      </c>
      <c r="K328" s="367">
        <f t="shared" si="248"/>
        <v>6286.11200552841</v>
      </c>
      <c r="L328" s="367">
        <f t="shared" si="248"/>
        <v>6336.9683304343216</v>
      </c>
      <c r="M328" s="367">
        <f t="shared" si="248"/>
        <v>2000.6996629727114</v>
      </c>
      <c r="N328" s="367">
        <f t="shared" si="248"/>
        <v>2054.3184139403797</v>
      </c>
      <c r="O328" s="367">
        <f t="shared" si="248"/>
        <v>2109.3741474339818</v>
      </c>
      <c r="P328" s="367">
        <f t="shared" si="248"/>
        <v>2165.9053745852125</v>
      </c>
      <c r="Q328" s="367">
        <f t="shared" si="248"/>
        <v>2223.9516386240957</v>
      </c>
    </row>
    <row r="329" spans="1:17" ht="14.4">
      <c r="A329" s="370"/>
      <c r="B329" s="379"/>
      <c r="C329" s="379"/>
      <c r="D329" s="379"/>
      <c r="E329" s="379"/>
      <c r="F329" s="379"/>
      <c r="G329" s="379"/>
      <c r="H329" s="379"/>
      <c r="I329" s="379"/>
      <c r="J329" s="379"/>
      <c r="K329" s="379"/>
      <c r="L329" s="379"/>
      <c r="M329" s="379"/>
      <c r="N329" s="379"/>
      <c r="O329" s="379"/>
      <c r="P329" s="379"/>
      <c r="Q329" s="379"/>
    </row>
    <row r="330" spans="1:17" ht="14.4">
      <c r="A330" s="364" t="s">
        <v>302</v>
      </c>
      <c r="B330" s="378">
        <f>+SUM(C330:Q330)</f>
        <v>1687790.7718251629</v>
      </c>
      <c r="C330" s="367">
        <f>+C315-C328</f>
        <v>90922.467753029923</v>
      </c>
      <c r="D330" s="367">
        <f t="shared" ref="D330:Q330" si="249">+D315-D328</f>
        <v>93476.801365653388</v>
      </c>
      <c r="E330" s="367">
        <f t="shared" si="249"/>
        <v>96099.59111909513</v>
      </c>
      <c r="F330" s="367">
        <f t="shared" si="249"/>
        <v>98792.671637929132</v>
      </c>
      <c r="G330" s="367">
        <f t="shared" si="249"/>
        <v>101557.92671466786</v>
      </c>
      <c r="H330" s="367">
        <f t="shared" si="249"/>
        <v>104397.29062746321</v>
      </c>
      <c r="I330" s="367">
        <f t="shared" si="249"/>
        <v>107312.74949312148</v>
      </c>
      <c r="J330" s="367">
        <f t="shared" si="249"/>
        <v>110306.34265637935</v>
      </c>
      <c r="K330" s="367">
        <f t="shared" si="249"/>
        <v>113380.16411641258</v>
      </c>
      <c r="L330" s="367">
        <f t="shared" si="249"/>
        <v>116536.36399157468</v>
      </c>
      <c r="M330" s="367">
        <f t="shared" si="249"/>
        <v>124165.6379652661</v>
      </c>
      <c r="N330" s="367">
        <f t="shared" si="249"/>
        <v>127493.27706273523</v>
      </c>
      <c r="O330" s="367">
        <f t="shared" si="249"/>
        <v>130910.09688801652</v>
      </c>
      <c r="P330" s="367">
        <f t="shared" si="249"/>
        <v>134418.48748461535</v>
      </c>
      <c r="Q330" s="367">
        <f t="shared" si="249"/>
        <v>138020.90294920304</v>
      </c>
    </row>
    <row r="331" spans="1:17" ht="14.4">
      <c r="A331" s="364"/>
    </row>
    <row r="332" spans="1:17" ht="14.4">
      <c r="A332" s="364" t="s">
        <v>222</v>
      </c>
      <c r="B332" s="380">
        <f>+'WHRS_Project Scenario'!C39</f>
        <v>0.7</v>
      </c>
      <c r="C332" s="367">
        <f>IF((+$B$332*C330)&lt;0,"0",(+$B$332*C330))</f>
        <v>63645.727427120939</v>
      </c>
      <c r="D332" s="367">
        <f>IF((+$B$332*D330)&lt;0,"0",(+$B$332*D330))</f>
        <v>65433.760955957368</v>
      </c>
      <c r="E332" s="367">
        <f t="shared" ref="E332:Q332" si="250">IF((+$B$332*E330)&lt;0,"0",(+$B$332*E330))</f>
        <v>67269.713783366591</v>
      </c>
      <c r="F332" s="367">
        <f t="shared" si="250"/>
        <v>69154.870146550384</v>
      </c>
      <c r="G332" s="367">
        <f t="shared" si="250"/>
        <v>71090.548700267493</v>
      </c>
      <c r="H332" s="367">
        <f t="shared" si="250"/>
        <v>73078.103439224244</v>
      </c>
      <c r="I332" s="367">
        <f t="shared" si="250"/>
        <v>75118.924645185034</v>
      </c>
      <c r="J332" s="367">
        <f t="shared" si="250"/>
        <v>77214.439859465536</v>
      </c>
      <c r="K332" s="367">
        <f t="shared" si="250"/>
        <v>79366.1148814888</v>
      </c>
      <c r="L332" s="367">
        <f t="shared" si="250"/>
        <v>81575.454794102261</v>
      </c>
      <c r="M332" s="367">
        <f t="shared" si="250"/>
        <v>86915.946575686263</v>
      </c>
      <c r="N332" s="367">
        <f t="shared" si="250"/>
        <v>89245.293943914658</v>
      </c>
      <c r="O332" s="367">
        <f t="shared" si="250"/>
        <v>91637.067821611563</v>
      </c>
      <c r="P332" s="367">
        <f t="shared" si="250"/>
        <v>94092.941239230742</v>
      </c>
      <c r="Q332" s="367">
        <f t="shared" si="250"/>
        <v>96614.632064442121</v>
      </c>
    </row>
    <row r="333" spans="1:17" ht="14.4">
      <c r="A333" s="364" t="s">
        <v>303</v>
      </c>
      <c r="B333" s="378">
        <f>+SUM(C333:Q333)</f>
        <v>1181453.540277614</v>
      </c>
      <c r="C333" s="367">
        <f>SUM(C332:C332)</f>
        <v>63645.727427120939</v>
      </c>
      <c r="D333" s="367">
        <f t="shared" ref="D333" si="251">SUM(D332:D332)</f>
        <v>65433.760955957368</v>
      </c>
      <c r="E333" s="367">
        <f t="shared" ref="E333" si="252">SUM(E332:E332)</f>
        <v>67269.713783366591</v>
      </c>
      <c r="F333" s="367">
        <f t="shared" ref="F333" si="253">SUM(F332:F332)</f>
        <v>69154.870146550384</v>
      </c>
      <c r="G333" s="367">
        <f t="shared" ref="G333" si="254">SUM(G332:G332)</f>
        <v>71090.548700267493</v>
      </c>
      <c r="H333" s="367">
        <f t="shared" ref="H333" si="255">SUM(H332:H332)</f>
        <v>73078.103439224244</v>
      </c>
      <c r="I333" s="367">
        <f t="shared" ref="I333" si="256">SUM(I332:I332)</f>
        <v>75118.924645185034</v>
      </c>
      <c r="J333" s="367">
        <f t="shared" ref="J333" si="257">SUM(J332:J332)</f>
        <v>77214.439859465536</v>
      </c>
      <c r="K333" s="367">
        <f t="shared" ref="K333" si="258">SUM(K332:K332)</f>
        <v>79366.1148814888</v>
      </c>
      <c r="L333" s="367">
        <f t="shared" ref="L333" si="259">SUM(L332:L332)</f>
        <v>81575.454794102261</v>
      </c>
      <c r="M333" s="367">
        <f t="shared" ref="M333" si="260">SUM(M332:M332)</f>
        <v>86915.946575686263</v>
      </c>
      <c r="N333" s="367">
        <f t="shared" ref="N333" si="261">SUM(N332:N332)</f>
        <v>89245.293943914658</v>
      </c>
      <c r="O333" s="367">
        <f t="shared" ref="O333" si="262">SUM(O332:O332)</f>
        <v>91637.067821611563</v>
      </c>
      <c r="P333" s="367">
        <f t="shared" ref="P333" si="263">SUM(P332:P332)</f>
        <v>94092.941239230742</v>
      </c>
      <c r="Q333" s="367">
        <f t="shared" ref="Q333" si="264">SUM(Q332:Q332)</f>
        <v>96614.632064442121</v>
      </c>
    </row>
    <row r="334" spans="1:17" ht="14.4">
      <c r="A334" s="369"/>
    </row>
    <row r="335" spans="1:17" ht="14.4">
      <c r="A335" s="364" t="s">
        <v>304</v>
      </c>
      <c r="B335" s="378">
        <f t="shared" ref="B335:B337" si="265">+SUM(C335:Q335)</f>
        <v>506337.23154754902</v>
      </c>
      <c r="C335" s="367">
        <f>C330-C333</f>
        <v>27276.740325908984</v>
      </c>
      <c r="D335" s="367">
        <f t="shared" ref="D335:Q335" si="266">D330-D333</f>
        <v>28043.040409696019</v>
      </c>
      <c r="E335" s="367">
        <f t="shared" si="266"/>
        <v>28829.877335728539</v>
      </c>
      <c r="F335" s="367">
        <f t="shared" si="266"/>
        <v>29637.801491378748</v>
      </c>
      <c r="G335" s="367">
        <f t="shared" si="266"/>
        <v>30467.378014400369</v>
      </c>
      <c r="H335" s="367">
        <f t="shared" si="266"/>
        <v>31319.187188238968</v>
      </c>
      <c r="I335" s="367">
        <f t="shared" si="266"/>
        <v>32193.824847936441</v>
      </c>
      <c r="J335" s="367">
        <f t="shared" si="266"/>
        <v>33091.902796913811</v>
      </c>
      <c r="K335" s="367">
        <f t="shared" si="266"/>
        <v>34014.049234923776</v>
      </c>
      <c r="L335" s="367">
        <f t="shared" si="266"/>
        <v>34960.909197472414</v>
      </c>
      <c r="M335" s="367">
        <f t="shared" si="266"/>
        <v>37249.691389579835</v>
      </c>
      <c r="N335" s="367">
        <f t="shared" si="266"/>
        <v>38247.983118820572</v>
      </c>
      <c r="O335" s="367">
        <f t="shared" si="266"/>
        <v>39273.029066404953</v>
      </c>
      <c r="P335" s="367">
        <f t="shared" si="266"/>
        <v>40325.546245384612</v>
      </c>
      <c r="Q335" s="367">
        <f t="shared" si="266"/>
        <v>41406.270884760917</v>
      </c>
    </row>
    <row r="336" spans="1:17" ht="14.4">
      <c r="A336" s="364" t="s">
        <v>305</v>
      </c>
      <c r="B336" s="378">
        <f t="shared" si="265"/>
        <v>43884.879418749995</v>
      </c>
      <c r="C336" s="367">
        <f>+C325</f>
        <v>4388.4879418749997</v>
      </c>
      <c r="D336" s="367">
        <f t="shared" ref="D336:Q336" si="267">+D325</f>
        <v>4388.4879418749997</v>
      </c>
      <c r="E336" s="367">
        <f t="shared" si="267"/>
        <v>4388.4879418749997</v>
      </c>
      <c r="F336" s="367">
        <f t="shared" si="267"/>
        <v>4388.4879418749997</v>
      </c>
      <c r="G336" s="367">
        <f t="shared" si="267"/>
        <v>4388.4879418749997</v>
      </c>
      <c r="H336" s="367">
        <f t="shared" si="267"/>
        <v>4388.4879418749997</v>
      </c>
      <c r="I336" s="367">
        <f t="shared" si="267"/>
        <v>4388.4879418749997</v>
      </c>
      <c r="J336" s="367">
        <f t="shared" si="267"/>
        <v>4388.4879418749997</v>
      </c>
      <c r="K336" s="367">
        <f t="shared" si="267"/>
        <v>4388.4879418749997</v>
      </c>
      <c r="L336" s="367">
        <f t="shared" si="267"/>
        <v>4388.4879418749997</v>
      </c>
      <c r="M336" s="367">
        <f t="shared" si="267"/>
        <v>0</v>
      </c>
      <c r="N336" s="367">
        <f t="shared" si="267"/>
        <v>0</v>
      </c>
      <c r="O336" s="367">
        <f t="shared" si="267"/>
        <v>0</v>
      </c>
      <c r="P336" s="367">
        <f t="shared" si="267"/>
        <v>0</v>
      </c>
      <c r="Q336" s="367">
        <f t="shared" si="267"/>
        <v>0</v>
      </c>
    </row>
    <row r="337" spans="1:17" ht="14.4">
      <c r="A337" s="364" t="s">
        <v>306</v>
      </c>
      <c r="B337" s="378">
        <f t="shared" si="265"/>
        <v>0</v>
      </c>
      <c r="C337" s="367">
        <f>+'WHRS_Project Scenario'!D310</f>
        <v>0</v>
      </c>
      <c r="D337" s="367">
        <f>+'WHRS_Project Scenario'!E310</f>
        <v>0</v>
      </c>
      <c r="E337" s="367">
        <f>+'WHRS_Project Scenario'!F310</f>
        <v>0</v>
      </c>
      <c r="F337" s="367">
        <f>+'WHRS_Project Scenario'!G310</f>
        <v>0</v>
      </c>
      <c r="G337" s="367">
        <f>+'WHRS_Project Scenario'!H310</f>
        <v>0</v>
      </c>
      <c r="H337" s="367">
        <f>+'WHRS_Project Scenario'!I310</f>
        <v>0</v>
      </c>
      <c r="I337" s="367">
        <f>+'WHRS_Project Scenario'!J310</f>
        <v>0</v>
      </c>
      <c r="J337" s="367">
        <f>+'WHRS_Project Scenario'!K310</f>
        <v>0</v>
      </c>
      <c r="K337" s="367">
        <f>+'WHRS_Project Scenario'!L310</f>
        <v>0</v>
      </c>
      <c r="L337" s="367">
        <f>+'WHRS_Project Scenario'!M310</f>
        <v>0</v>
      </c>
      <c r="M337" s="367">
        <f>+'WHRS_Project Scenario'!N310</f>
        <v>0</v>
      </c>
      <c r="N337" s="367">
        <f>+'WHRS_Project Scenario'!O310</f>
        <v>0</v>
      </c>
      <c r="O337" s="367">
        <f>+'WHRS_Project Scenario'!P310</f>
        <v>0</v>
      </c>
      <c r="P337" s="367">
        <f>+'WHRS_Project Scenario'!Q310</f>
        <v>0</v>
      </c>
      <c r="Q337" s="367">
        <f>+'WHRS_Project Scenario'!R310</f>
        <v>0</v>
      </c>
    </row>
    <row r="338" spans="1:17" ht="14.4">
      <c r="A338" s="364"/>
    </row>
    <row r="339" spans="1:17" ht="14.4">
      <c r="A339" s="364" t="s">
        <v>110</v>
      </c>
      <c r="B339" s="378">
        <f>-'WHRS_Project Scenario'!C8</f>
        <v>-43884.879418749995</v>
      </c>
      <c r="C339" s="367">
        <f>C335+C336+C337</f>
        <v>31665.228267783983</v>
      </c>
      <c r="D339" s="367">
        <f t="shared" ref="D339:Q339" si="268">D335+D336+D337</f>
        <v>32431.528351571018</v>
      </c>
      <c r="E339" s="367">
        <f t="shared" si="268"/>
        <v>33218.365277603538</v>
      </c>
      <c r="F339" s="367">
        <f t="shared" si="268"/>
        <v>34026.289433253747</v>
      </c>
      <c r="G339" s="367">
        <f t="shared" si="268"/>
        <v>34855.865956275367</v>
      </c>
      <c r="H339" s="367">
        <f t="shared" si="268"/>
        <v>35707.675130113967</v>
      </c>
      <c r="I339" s="367">
        <f t="shared" si="268"/>
        <v>36582.31278981144</v>
      </c>
      <c r="J339" s="367">
        <f t="shared" si="268"/>
        <v>37480.39073878881</v>
      </c>
      <c r="K339" s="367">
        <f t="shared" si="268"/>
        <v>38402.537176798774</v>
      </c>
      <c r="L339" s="367">
        <f t="shared" si="268"/>
        <v>39349.397139347413</v>
      </c>
      <c r="M339" s="367">
        <f t="shared" si="268"/>
        <v>37249.691389579835</v>
      </c>
      <c r="N339" s="367">
        <f t="shared" si="268"/>
        <v>38247.983118820572</v>
      </c>
      <c r="O339" s="367">
        <f t="shared" si="268"/>
        <v>39273.029066404953</v>
      </c>
      <c r="P339" s="367">
        <f t="shared" si="268"/>
        <v>40325.546245384612</v>
      </c>
      <c r="Q339" s="367">
        <f t="shared" si="268"/>
        <v>41406.270884760917</v>
      </c>
    </row>
    <row r="340" spans="1:17" ht="15.6">
      <c r="A340" s="364" t="s">
        <v>51</v>
      </c>
      <c r="B340" s="132">
        <f>IRR(B339:Q339)</f>
        <v>0.74534989998235779</v>
      </c>
    </row>
    <row r="341" spans="1:17" ht="15.6">
      <c r="A341" s="364" t="s">
        <v>267</v>
      </c>
      <c r="B341" s="303">
        <f>NPV('Initial Data'!C21/100,B339:Q339)</f>
        <v>175825.75915722875</v>
      </c>
    </row>
    <row r="343" spans="1:17" ht="14.4">
      <c r="A343" s="508" t="s">
        <v>315</v>
      </c>
      <c r="B343" s="509"/>
      <c r="C343" s="509"/>
      <c r="D343" s="509"/>
      <c r="E343" s="509"/>
      <c r="F343" s="509"/>
      <c r="G343" s="509"/>
      <c r="H343" s="509"/>
      <c r="I343" s="509"/>
      <c r="J343" s="509"/>
      <c r="K343" s="509"/>
      <c r="L343" s="509"/>
      <c r="M343" s="509"/>
      <c r="N343" s="509"/>
      <c r="O343" s="509"/>
      <c r="P343" s="509"/>
      <c r="Q343" s="509"/>
    </row>
    <row r="344" spans="1:17" ht="14.4">
      <c r="A344" s="371" t="s">
        <v>316</v>
      </c>
      <c r="B344" s="372"/>
      <c r="C344" s="372"/>
      <c r="D344" s="372"/>
      <c r="E344" s="372"/>
      <c r="F344" s="372"/>
      <c r="G344" s="372"/>
      <c r="H344" s="372"/>
      <c r="I344" s="372"/>
      <c r="J344" s="372"/>
      <c r="K344" s="372"/>
      <c r="L344" s="372"/>
      <c r="M344" s="372"/>
      <c r="N344" s="372"/>
      <c r="O344" s="372"/>
      <c r="P344" s="372"/>
      <c r="Q344" s="372"/>
    </row>
    <row r="345" spans="1:17" ht="27">
      <c r="A345" s="376"/>
      <c r="B345" s="304" t="s">
        <v>35</v>
      </c>
      <c r="C345" s="352" t="s">
        <v>407</v>
      </c>
      <c r="D345" s="352" t="s">
        <v>408</v>
      </c>
      <c r="E345" s="352" t="s">
        <v>409</v>
      </c>
      <c r="F345" s="352" t="s">
        <v>410</v>
      </c>
      <c r="G345" s="352" t="s">
        <v>411</v>
      </c>
      <c r="H345" s="352" t="s">
        <v>412</v>
      </c>
      <c r="I345" s="352" t="s">
        <v>413</v>
      </c>
      <c r="J345" s="352" t="s">
        <v>414</v>
      </c>
      <c r="K345" s="352" t="s">
        <v>415</v>
      </c>
      <c r="L345" s="352" t="s">
        <v>416</v>
      </c>
      <c r="M345" s="352" t="s">
        <v>417</v>
      </c>
      <c r="N345" s="352" t="s">
        <v>418</v>
      </c>
      <c r="O345" s="352" t="s">
        <v>419</v>
      </c>
      <c r="P345" s="352" t="s">
        <v>420</v>
      </c>
      <c r="Q345" s="352" t="s">
        <v>421</v>
      </c>
    </row>
    <row r="346" spans="1:17" ht="14.4">
      <c r="A346" s="363" t="s">
        <v>290</v>
      </c>
      <c r="B346" s="365"/>
      <c r="C346" s="377">
        <f>+'WHRS_Project Scenario'!D15</f>
        <v>215214.92335078961</v>
      </c>
      <c r="D346" s="377">
        <f>+'WHRS_Project Scenario'!E15</f>
        <v>215214.92335078961</v>
      </c>
      <c r="E346" s="377">
        <f>+'WHRS_Project Scenario'!F15</f>
        <v>215214.92335078961</v>
      </c>
      <c r="F346" s="377">
        <f>+'WHRS_Project Scenario'!G15</f>
        <v>215214.92335078961</v>
      </c>
      <c r="G346" s="377">
        <f>+'WHRS_Project Scenario'!H15</f>
        <v>215214.92335078961</v>
      </c>
      <c r="H346" s="377">
        <f>+'WHRS_Project Scenario'!I15</f>
        <v>215214.92335078961</v>
      </c>
      <c r="I346" s="377">
        <f>+'WHRS_Project Scenario'!J15</f>
        <v>215214.92335078961</v>
      </c>
      <c r="J346" s="377">
        <f>+'WHRS_Project Scenario'!K15</f>
        <v>215214.92335078961</v>
      </c>
      <c r="K346" s="377">
        <f>+'WHRS_Project Scenario'!L15</f>
        <v>215214.92335078961</v>
      </c>
      <c r="L346" s="377">
        <f>+'WHRS_Project Scenario'!M15</f>
        <v>215214.92335078961</v>
      </c>
      <c r="M346" s="377">
        <f>+'WHRS_Project Scenario'!N15</f>
        <v>215214.92335078961</v>
      </c>
      <c r="N346" s="377">
        <f>+'WHRS_Project Scenario'!O15</f>
        <v>215214.92335078961</v>
      </c>
      <c r="O346" s="377">
        <f>+'WHRS_Project Scenario'!P15</f>
        <v>215214.92335078961</v>
      </c>
      <c r="P346" s="377">
        <f>+'WHRS_Project Scenario'!Q15</f>
        <v>215214.92335078961</v>
      </c>
      <c r="Q346" s="377">
        <f>+'WHRS_Project Scenario'!R15</f>
        <v>215214.92335078961</v>
      </c>
    </row>
    <row r="347" spans="1:17" ht="14.4">
      <c r="A347" s="364" t="s">
        <v>291</v>
      </c>
      <c r="B347" s="365"/>
      <c r="C347" s="367">
        <f>+'WHRS_Project Scenario'!D16</f>
        <v>70</v>
      </c>
      <c r="D347" s="367">
        <f>+'WHRS_Project Scenario'!E16</f>
        <v>70</v>
      </c>
      <c r="E347" s="367">
        <f>+'WHRS_Project Scenario'!F16</f>
        <v>70</v>
      </c>
      <c r="F347" s="367">
        <f>+'WHRS_Project Scenario'!G16</f>
        <v>70</v>
      </c>
      <c r="G347" s="367">
        <f>+'WHRS_Project Scenario'!H16</f>
        <v>70</v>
      </c>
      <c r="H347" s="367">
        <f>+'WHRS_Project Scenario'!I16</f>
        <v>70</v>
      </c>
      <c r="I347" s="367">
        <f>+'WHRS_Project Scenario'!J16</f>
        <v>70</v>
      </c>
      <c r="J347" s="367">
        <f>+'WHRS_Project Scenario'!K16</f>
        <v>70</v>
      </c>
      <c r="K347" s="367">
        <f>+'WHRS_Project Scenario'!L16</f>
        <v>70</v>
      </c>
      <c r="L347" s="367">
        <f>+'WHRS_Project Scenario'!M16</f>
        <v>70</v>
      </c>
      <c r="M347" s="367">
        <f>+'WHRS_Project Scenario'!N16</f>
        <v>70</v>
      </c>
      <c r="N347" s="367">
        <f>+'WHRS_Project Scenario'!O16</f>
        <v>70</v>
      </c>
      <c r="O347" s="367">
        <f>+'WHRS_Project Scenario'!P16</f>
        <v>70</v>
      </c>
      <c r="P347" s="367">
        <f>+'WHRS_Project Scenario'!Q16</f>
        <v>70</v>
      </c>
      <c r="Q347" s="367">
        <f>+'WHRS_Project Scenario'!R16</f>
        <v>70</v>
      </c>
    </row>
    <row r="348" spans="1:17" ht="14.4">
      <c r="A348" s="366" t="s">
        <v>292</v>
      </c>
      <c r="B348" s="365"/>
      <c r="C348" s="383">
        <f>'WHRS_Project Scenario'!D17*(1+$B$6)</f>
        <v>5.7857142857142865</v>
      </c>
      <c r="D348" s="383">
        <f>+C348*(1+'Initial Data'!$C$20/100)</f>
        <v>5.9407714285714288</v>
      </c>
      <c r="E348" s="383">
        <f>+D348*(1+'Initial Data'!$C$20/100)</f>
        <v>6.0999841028571424</v>
      </c>
      <c r="F348" s="383">
        <f>+E348*(1+'Initial Data'!$C$20/100)</f>
        <v>6.2634636768137133</v>
      </c>
      <c r="G348" s="383">
        <f>+F348*(1+'Initial Data'!$C$20/100)</f>
        <v>6.4313245033523208</v>
      </c>
      <c r="H348" s="383">
        <f>+G348*(1+'Initial Data'!$C$20/100)</f>
        <v>6.6036840000421622</v>
      </c>
      <c r="I348" s="383">
        <f>+H348*(1+'Initial Data'!$C$20/100)</f>
        <v>6.7806627312432921</v>
      </c>
      <c r="J348" s="383">
        <f>+I348*(1+'Initial Data'!$C$20/100)</f>
        <v>6.962384492440612</v>
      </c>
      <c r="K348" s="383">
        <f>+J348*(1+'Initial Data'!$C$20/100)</f>
        <v>7.1489763968380196</v>
      </c>
      <c r="L348" s="383">
        <f>+K348*(1+'Initial Data'!$C$20/100)</f>
        <v>7.3405689642732783</v>
      </c>
      <c r="M348" s="383">
        <f>+L348*(1+'Initial Data'!$C$20/100)</f>
        <v>7.5372962125158018</v>
      </c>
      <c r="N348" s="383">
        <f>+M348*(1+'Initial Data'!$C$20/100)</f>
        <v>7.739295751011225</v>
      </c>
      <c r="O348" s="383">
        <f>+N348*(1+'Initial Data'!$C$20/100)</f>
        <v>7.9467088771383256</v>
      </c>
      <c r="P348" s="383">
        <f>+O348*(1+'Initial Data'!$C$20/100)</f>
        <v>8.1596806750456317</v>
      </c>
      <c r="Q348" s="383">
        <f>+P348*(1+'Initial Data'!$C$20/100)</f>
        <v>8.3783601171368538</v>
      </c>
    </row>
    <row r="349" spans="1:17" ht="14.4">
      <c r="A349" s="366" t="s">
        <v>293</v>
      </c>
      <c r="B349" s="365"/>
      <c r="C349" s="381">
        <f>+C347*C348</f>
        <v>405.00000000000006</v>
      </c>
      <c r="D349" s="381">
        <f>+D347*D348</f>
        <v>415.85400000000004</v>
      </c>
      <c r="E349" s="381">
        <f t="shared" ref="E349:Q349" si="269">+E347*E348</f>
        <v>426.99888719999996</v>
      </c>
      <c r="F349" s="381">
        <f t="shared" si="269"/>
        <v>438.44245737695991</v>
      </c>
      <c r="G349" s="381">
        <f t="shared" si="269"/>
        <v>450.19271523466244</v>
      </c>
      <c r="H349" s="381">
        <f t="shared" si="269"/>
        <v>462.25788000295137</v>
      </c>
      <c r="I349" s="381">
        <f t="shared" si="269"/>
        <v>474.64639118703047</v>
      </c>
      <c r="J349" s="381">
        <f t="shared" si="269"/>
        <v>487.36691447084286</v>
      </c>
      <c r="K349" s="381">
        <f t="shared" si="269"/>
        <v>500.42834777866136</v>
      </c>
      <c r="L349" s="381">
        <f t="shared" si="269"/>
        <v>513.83982749912946</v>
      </c>
      <c r="M349" s="381">
        <f t="shared" si="269"/>
        <v>527.61073487610611</v>
      </c>
      <c r="N349" s="381">
        <f t="shared" si="269"/>
        <v>541.75070257078573</v>
      </c>
      <c r="O349" s="381">
        <f t="shared" si="269"/>
        <v>556.26962139968282</v>
      </c>
      <c r="P349" s="381">
        <f t="shared" si="269"/>
        <v>571.17764725319421</v>
      </c>
      <c r="Q349" s="381">
        <f t="shared" si="269"/>
        <v>586.4852081995798</v>
      </c>
    </row>
    <row r="350" spans="1:17" ht="14.4">
      <c r="A350" s="370"/>
      <c r="B350" s="373"/>
      <c r="C350" s="373"/>
      <c r="D350" s="373"/>
      <c r="E350" s="373"/>
      <c r="F350" s="373"/>
      <c r="G350" s="373"/>
      <c r="H350" s="373"/>
      <c r="I350" s="373"/>
      <c r="J350" s="373"/>
      <c r="K350" s="373"/>
      <c r="L350" s="373"/>
      <c r="M350" s="373"/>
      <c r="N350" s="373"/>
      <c r="O350" s="373"/>
      <c r="P350" s="373"/>
      <c r="Q350" s="373"/>
    </row>
    <row r="351" spans="1:17" ht="14.4">
      <c r="A351" s="366" t="s">
        <v>294</v>
      </c>
      <c r="B351" s="381">
        <f>+SUM(C351:Q351)</f>
        <v>1583620.5621131763</v>
      </c>
      <c r="C351" s="381">
        <f>C346*C349/1000*'Initial Data'!$C$34/'Initial Data'!$C$33</f>
        <v>87162.043957069793</v>
      </c>
      <c r="D351" s="381">
        <f>D346*D349/1000*'Initial Data'!$C$34/'Initial Data'!$C$33</f>
        <v>89497.986735119266</v>
      </c>
      <c r="E351" s="381">
        <f>E346*E349/1000*'Initial Data'!$C$34/'Initial Data'!$C$33</f>
        <v>91896.532779620451</v>
      </c>
      <c r="F351" s="381">
        <f>F346*F349/1000*'Initial Data'!$C$34/'Initial Data'!$C$33</f>
        <v>94359.359858114272</v>
      </c>
      <c r="G351" s="381">
        <f>G346*G349/1000*'Initial Data'!$C$34/'Initial Data'!$C$33</f>
        <v>96888.190702311738</v>
      </c>
      <c r="H351" s="381">
        <f>H346*H349/1000*'Initial Data'!$C$34/'Initial Data'!$C$33</f>
        <v>99484.794213133675</v>
      </c>
      <c r="I351" s="381">
        <f>I346*I349/1000*'Initial Data'!$C$34/'Initial Data'!$C$33</f>
        <v>102150.98669804567</v>
      </c>
      <c r="J351" s="381">
        <f>J346*J349/1000*'Initial Data'!$C$34/'Initial Data'!$C$33</f>
        <v>104888.63314155328</v>
      </c>
      <c r="K351" s="381">
        <f>K346*K349/1000*'Initial Data'!$C$34/'Initial Data'!$C$33</f>
        <v>107699.6485097469</v>
      </c>
      <c r="L351" s="381">
        <f>L346*L349/1000*'Initial Data'!$C$34/'Initial Data'!$C$33</f>
        <v>110585.9990898081</v>
      </c>
      <c r="M351" s="381">
        <f>M346*M349/1000*'Initial Data'!$C$34/'Initial Data'!$C$33</f>
        <v>113549.70386541497</v>
      </c>
      <c r="N351" s="381">
        <f>N346*N349/1000*'Initial Data'!$C$34/'Initial Data'!$C$33</f>
        <v>116592.83592900807</v>
      </c>
      <c r="O351" s="381">
        <f>O346*O349/1000*'Initial Data'!$C$34/'Initial Data'!$C$33</f>
        <v>119717.5239319055</v>
      </c>
      <c r="P351" s="381">
        <f>P346*P349/1000*'Initial Data'!$C$34/'Initial Data'!$C$33</f>
        <v>122925.95357328055</v>
      </c>
      <c r="Q351" s="381">
        <f>Q346*Q349/1000*'Initial Data'!$C$34/'Initial Data'!$C$33</f>
        <v>126220.36912904444</v>
      </c>
    </row>
    <row r="352" spans="1:17" ht="14.4">
      <c r="A352" s="370"/>
      <c r="B352" s="373"/>
      <c r="C352" s="373"/>
      <c r="D352" s="373"/>
      <c r="E352" s="373"/>
      <c r="F352" s="373"/>
      <c r="G352" s="373"/>
      <c r="H352" s="373"/>
      <c r="I352" s="373"/>
      <c r="J352" s="373"/>
      <c r="K352" s="373"/>
      <c r="L352" s="373"/>
      <c r="M352" s="373"/>
      <c r="N352" s="373"/>
      <c r="O352" s="373"/>
      <c r="P352" s="373"/>
      <c r="Q352" s="373"/>
    </row>
    <row r="353" spans="1:17" ht="14.4">
      <c r="A353" s="366" t="s">
        <v>295</v>
      </c>
      <c r="B353" s="381">
        <f>+SUM(C353:Q353)</f>
        <v>1583620.5621131763</v>
      </c>
      <c r="C353" s="381">
        <f>+C351</f>
        <v>87162.043957069793</v>
      </c>
      <c r="D353" s="381">
        <f t="shared" ref="D353:Q353" si="270">+D351</f>
        <v>89497.986735119266</v>
      </c>
      <c r="E353" s="381">
        <f t="shared" si="270"/>
        <v>91896.532779620451</v>
      </c>
      <c r="F353" s="381">
        <f t="shared" si="270"/>
        <v>94359.359858114272</v>
      </c>
      <c r="G353" s="381">
        <f t="shared" si="270"/>
        <v>96888.190702311738</v>
      </c>
      <c r="H353" s="381">
        <f t="shared" si="270"/>
        <v>99484.794213133675</v>
      </c>
      <c r="I353" s="381">
        <f t="shared" si="270"/>
        <v>102150.98669804567</v>
      </c>
      <c r="J353" s="381">
        <f t="shared" si="270"/>
        <v>104888.63314155328</v>
      </c>
      <c r="K353" s="381">
        <f t="shared" si="270"/>
        <v>107699.6485097469</v>
      </c>
      <c r="L353" s="381">
        <f t="shared" si="270"/>
        <v>110585.9990898081</v>
      </c>
      <c r="M353" s="381">
        <f t="shared" si="270"/>
        <v>113549.70386541497</v>
      </c>
      <c r="N353" s="381">
        <f t="shared" si="270"/>
        <v>116592.83592900807</v>
      </c>
      <c r="O353" s="381">
        <f t="shared" si="270"/>
        <v>119717.5239319055</v>
      </c>
      <c r="P353" s="381">
        <f t="shared" si="270"/>
        <v>122925.95357328055</v>
      </c>
      <c r="Q353" s="381">
        <f t="shared" si="270"/>
        <v>126220.36912904444</v>
      </c>
    </row>
    <row r="354" spans="1:17" ht="14.4">
      <c r="A354" s="370"/>
      <c r="B354" s="374"/>
      <c r="C354" s="374"/>
      <c r="D354" s="374"/>
      <c r="E354" s="374"/>
      <c r="F354" s="374"/>
      <c r="G354" s="374"/>
      <c r="H354" s="374"/>
      <c r="I354" s="374"/>
      <c r="J354" s="374"/>
      <c r="K354" s="374"/>
      <c r="L354" s="374"/>
      <c r="M354" s="374"/>
      <c r="N354" s="374"/>
      <c r="O354" s="374"/>
      <c r="P354" s="374"/>
      <c r="Q354" s="374"/>
    </row>
    <row r="355" spans="1:17" ht="14.4">
      <c r="A355" s="366" t="s">
        <v>68</v>
      </c>
      <c r="B355" s="368"/>
      <c r="C355" s="368"/>
      <c r="D355" s="368"/>
      <c r="E355" s="368"/>
      <c r="F355" s="368"/>
      <c r="G355" s="368"/>
      <c r="H355" s="368"/>
      <c r="I355" s="368"/>
      <c r="J355" s="368"/>
      <c r="K355" s="368"/>
      <c r="L355" s="368"/>
      <c r="M355" s="368"/>
      <c r="N355" s="368"/>
      <c r="O355" s="368"/>
      <c r="P355" s="368"/>
      <c r="Q355" s="368"/>
    </row>
    <row r="356" spans="1:17" ht="14.4">
      <c r="A356" s="366" t="s">
        <v>296</v>
      </c>
      <c r="B356" s="378">
        <f>+SUM(C356:Q356)</f>
        <v>11529.370291765843</v>
      </c>
      <c r="C356" s="367">
        <f>SUM('Initial Data'!$C$77:$C$80)/'Initial Data'!$C$14/1000</f>
        <v>634.57339732142862</v>
      </c>
      <c r="D356" s="367">
        <f>+C356*(1+'Initial Data'!$C$20/100)</f>
        <v>651.57996436964288</v>
      </c>
      <c r="E356" s="367">
        <f>+D356*(1+'Initial Data'!$C$20/100)</f>
        <v>669.0423074147493</v>
      </c>
      <c r="F356" s="367">
        <f>+E356*(1+'Initial Data'!$C$20/100)</f>
        <v>686.97264125346453</v>
      </c>
      <c r="G356" s="367">
        <f>+F356*(1+'Initial Data'!$C$20/100)</f>
        <v>705.38350803905735</v>
      </c>
      <c r="H356" s="367">
        <f>+G356*(1+'Initial Data'!$C$20/100)</f>
        <v>724.28778605450407</v>
      </c>
      <c r="I356" s="367">
        <f>+H356*(1+'Initial Data'!$C$20/100)</f>
        <v>743.6986987207647</v>
      </c>
      <c r="J356" s="367">
        <f>+I356*(1+'Initial Data'!$C$20/100)</f>
        <v>763.62982384648114</v>
      </c>
      <c r="K356" s="367">
        <f>+J356*(1+'Initial Data'!$C$20/100)</f>
        <v>784.09510312556677</v>
      </c>
      <c r="L356" s="367">
        <f>+K356*(1+'Initial Data'!$C$20/100)</f>
        <v>805.10885188933196</v>
      </c>
      <c r="M356" s="367">
        <f>+L356*(1+'Initial Data'!$C$20/100)</f>
        <v>826.68576911996604</v>
      </c>
      <c r="N356" s="367">
        <f>+M356*(1+'Initial Data'!$C$20/100)</f>
        <v>848.8409477323811</v>
      </c>
      <c r="O356" s="367">
        <f>+N356*(1+'Initial Data'!$C$20/100)</f>
        <v>871.58988513160887</v>
      </c>
      <c r="P356" s="367">
        <f>+O356*(1+'Initial Data'!$C$20/100)</f>
        <v>894.94849405313596</v>
      </c>
      <c r="Q356" s="367">
        <f>+P356*(1+'Initial Data'!$C$20/100)</f>
        <v>918.93311369375999</v>
      </c>
    </row>
    <row r="357" spans="1:17" ht="14.4">
      <c r="A357" s="366" t="s">
        <v>297</v>
      </c>
      <c r="B357" s="378">
        <f>+SUM(C357:Q357)</f>
        <v>13836.767075562186</v>
      </c>
      <c r="C357" s="367">
        <f>('Initial Data'!$C$82/1000+('Initial Data'!$C$83*'Initial Data'!$C$15/'Initial Data'!$C$14)/1000+'Initial Data'!$C$84/'Initial Data'!$C$14/1000)</f>
        <v>761.57188717892859</v>
      </c>
      <c r="D357" s="367">
        <f>+C357*(1+'Initial Data'!$C$20/100)</f>
        <v>781.98201375532381</v>
      </c>
      <c r="E357" s="367">
        <f>+D357*(1+'Initial Data'!$C$20/100)</f>
        <v>802.9391317239664</v>
      </c>
      <c r="F357" s="367">
        <f>+E357*(1+'Initial Data'!$C$20/100)</f>
        <v>824.45790045416868</v>
      </c>
      <c r="G357" s="367">
        <f>+F357*(1+'Initial Data'!$C$20/100)</f>
        <v>846.55337218634031</v>
      </c>
      <c r="H357" s="367">
        <f>+G357*(1+'Initial Data'!$C$20/100)</f>
        <v>869.24100256093413</v>
      </c>
      <c r="I357" s="367">
        <f>+H357*(1+'Initial Data'!$C$20/100)</f>
        <v>892.53666142956706</v>
      </c>
      <c r="J357" s="367">
        <f>+I357*(1+'Initial Data'!$C$20/100)</f>
        <v>916.45664395587937</v>
      </c>
      <c r="K357" s="367">
        <f>+J357*(1+'Initial Data'!$C$20/100)</f>
        <v>941.01768201389689</v>
      </c>
      <c r="L357" s="367">
        <f>+K357*(1+'Initial Data'!$C$20/100)</f>
        <v>966.23695589186923</v>
      </c>
      <c r="M357" s="367">
        <f>+L357*(1+'Initial Data'!$C$20/100)</f>
        <v>992.1321063097713</v>
      </c>
      <c r="N357" s="367">
        <f>+M357*(1+'Initial Data'!$C$20/100)</f>
        <v>1018.7212467588731</v>
      </c>
      <c r="O357" s="367">
        <f>+N357*(1+'Initial Data'!$C$20/100)</f>
        <v>1046.0229761720109</v>
      </c>
      <c r="P357" s="367">
        <f>+O357*(1+'Initial Data'!$C$20/100)</f>
        <v>1074.0563919334206</v>
      </c>
      <c r="Q357" s="367">
        <f>+P357*(1+'Initial Data'!$C$20/100)</f>
        <v>1102.8411032372362</v>
      </c>
    </row>
    <row r="358" spans="1:17" ht="14.4">
      <c r="A358" s="370"/>
      <c r="B358" s="369"/>
      <c r="C358" s="382"/>
      <c r="D358" s="369"/>
      <c r="E358" s="369"/>
      <c r="F358" s="369"/>
      <c r="G358" s="369"/>
      <c r="H358" s="369"/>
      <c r="I358" s="369"/>
      <c r="J358" s="369"/>
      <c r="K358" s="369"/>
      <c r="L358" s="369"/>
      <c r="M358" s="369"/>
      <c r="N358" s="369"/>
      <c r="O358" s="369"/>
      <c r="P358" s="369"/>
      <c r="Q358" s="369"/>
    </row>
    <row r="359" spans="1:17" ht="14.4">
      <c r="A359" s="366" t="s">
        <v>71</v>
      </c>
      <c r="B359" s="379"/>
      <c r="C359" s="379"/>
      <c r="D359" s="379"/>
      <c r="E359" s="379"/>
      <c r="F359" s="379"/>
      <c r="G359" s="379"/>
      <c r="H359" s="379"/>
      <c r="I359" s="379"/>
      <c r="J359" s="379"/>
      <c r="K359" s="379"/>
      <c r="L359" s="379"/>
      <c r="M359" s="379"/>
      <c r="N359" s="379"/>
      <c r="O359" s="379"/>
      <c r="P359" s="379"/>
      <c r="Q359" s="379"/>
    </row>
    <row r="360" spans="1:17" ht="14.4">
      <c r="A360" s="370"/>
      <c r="B360" s="379"/>
      <c r="C360" s="379"/>
      <c r="D360" s="379"/>
      <c r="E360" s="379"/>
      <c r="F360" s="379"/>
      <c r="G360" s="379"/>
      <c r="H360" s="379"/>
      <c r="I360" s="379"/>
      <c r="J360" s="379"/>
      <c r="K360" s="379"/>
      <c r="L360" s="379"/>
      <c r="M360" s="379"/>
      <c r="N360" s="379"/>
      <c r="O360" s="379"/>
      <c r="P360" s="379"/>
      <c r="Q360" s="379"/>
    </row>
    <row r="361" spans="1:17" ht="14.4">
      <c r="A361" s="366" t="s">
        <v>298</v>
      </c>
      <c r="B361" s="378">
        <f>+SUM(C361:Q361)</f>
        <v>25366.137367328029</v>
      </c>
      <c r="C361" s="367">
        <f>SUM(C356:C357)</f>
        <v>1396.1452845003573</v>
      </c>
      <c r="D361" s="367">
        <f>SUM(D356:D357)</f>
        <v>1433.5619781249666</v>
      </c>
      <c r="E361" s="367">
        <f t="shared" ref="E361:Q361" si="271">SUM(E356:E357)</f>
        <v>1471.9814391387158</v>
      </c>
      <c r="F361" s="367">
        <f t="shared" si="271"/>
        <v>1511.4305417076332</v>
      </c>
      <c r="G361" s="367">
        <f t="shared" si="271"/>
        <v>1551.9368802253975</v>
      </c>
      <c r="H361" s="367">
        <f t="shared" si="271"/>
        <v>1593.5287886154383</v>
      </c>
      <c r="I361" s="367">
        <f t="shared" si="271"/>
        <v>1636.2353601503319</v>
      </c>
      <c r="J361" s="367">
        <f t="shared" si="271"/>
        <v>1680.0864678023604</v>
      </c>
      <c r="K361" s="367">
        <f t="shared" si="271"/>
        <v>1725.1127851394635</v>
      </c>
      <c r="L361" s="367">
        <f t="shared" si="271"/>
        <v>1771.3458077812011</v>
      </c>
      <c r="M361" s="367">
        <f t="shared" si="271"/>
        <v>1818.8178754297373</v>
      </c>
      <c r="N361" s="367">
        <f t="shared" si="271"/>
        <v>1867.5621944912541</v>
      </c>
      <c r="O361" s="367">
        <f t="shared" si="271"/>
        <v>1917.6128613036199</v>
      </c>
      <c r="P361" s="367">
        <f t="shared" si="271"/>
        <v>1969.0048859865565</v>
      </c>
      <c r="Q361" s="367">
        <f t="shared" si="271"/>
        <v>2021.7742169309963</v>
      </c>
    </row>
    <row r="362" spans="1:17" ht="14.4">
      <c r="A362" s="370"/>
      <c r="B362" s="379"/>
      <c r="C362" s="379"/>
      <c r="D362" s="379"/>
      <c r="E362" s="379"/>
      <c r="F362" s="379"/>
      <c r="G362" s="379"/>
      <c r="H362" s="379"/>
      <c r="I362" s="379"/>
      <c r="J362" s="379"/>
      <c r="K362" s="379"/>
      <c r="L362" s="379"/>
      <c r="M362" s="379"/>
      <c r="N362" s="379"/>
      <c r="O362" s="379"/>
      <c r="P362" s="379"/>
      <c r="Q362" s="379"/>
    </row>
    <row r="363" spans="1:17" ht="14.4">
      <c r="A363" s="366" t="s">
        <v>299</v>
      </c>
      <c r="B363" s="378">
        <f t="shared" ref="B363:B364" si="272">+SUM(C363:Q363)</f>
        <v>43884.879418749995</v>
      </c>
      <c r="C363" s="367">
        <f>'WHRS_Project Scenario'!$C$8/'Initial Data'!$C$19</f>
        <v>4388.4879418749997</v>
      </c>
      <c r="D363" s="367">
        <f>'WHRS_Project Scenario'!$C$8/'Initial Data'!$C$19</f>
        <v>4388.4879418749997</v>
      </c>
      <c r="E363" s="367">
        <f>'WHRS_Project Scenario'!$C$8/'Initial Data'!$C$19</f>
        <v>4388.4879418749997</v>
      </c>
      <c r="F363" s="367">
        <f>'WHRS_Project Scenario'!$C$8/'Initial Data'!$C$19</f>
        <v>4388.4879418749997</v>
      </c>
      <c r="G363" s="367">
        <f>'WHRS_Project Scenario'!$C$8/'Initial Data'!$C$19</f>
        <v>4388.4879418749997</v>
      </c>
      <c r="H363" s="367">
        <f>'WHRS_Project Scenario'!$C$8/'Initial Data'!$C$19</f>
        <v>4388.4879418749997</v>
      </c>
      <c r="I363" s="367">
        <f>'WHRS_Project Scenario'!$C$8/'Initial Data'!$C$19</f>
        <v>4388.4879418749997</v>
      </c>
      <c r="J363" s="367">
        <f>'WHRS_Project Scenario'!$C$8/'Initial Data'!$C$19</f>
        <v>4388.4879418749997</v>
      </c>
      <c r="K363" s="367">
        <f>'WHRS_Project Scenario'!$C$8/'Initial Data'!$C$19</f>
        <v>4388.4879418749997</v>
      </c>
      <c r="L363" s="367">
        <f>'WHRS_Project Scenario'!$C$8/'Initial Data'!$C$19</f>
        <v>4388.4879418749997</v>
      </c>
      <c r="M363" s="367">
        <v>0</v>
      </c>
      <c r="N363" s="367">
        <v>0</v>
      </c>
      <c r="O363" s="367">
        <v>0</v>
      </c>
      <c r="P363" s="367">
        <v>0</v>
      </c>
      <c r="Q363" s="367">
        <v>0</v>
      </c>
    </row>
    <row r="364" spans="1:17" ht="14.4">
      <c r="A364" s="366" t="s">
        <v>300</v>
      </c>
      <c r="B364" s="378">
        <f t="shared" si="272"/>
        <v>43884.879418749995</v>
      </c>
      <c r="C364" s="367">
        <f>SUM(C363:C363)</f>
        <v>4388.4879418749997</v>
      </c>
      <c r="D364" s="367">
        <f t="shared" ref="D364" si="273">SUM(D363:D363)</f>
        <v>4388.4879418749997</v>
      </c>
      <c r="E364" s="367">
        <f t="shared" ref="E364" si="274">SUM(E363:E363)</f>
        <v>4388.4879418749997</v>
      </c>
      <c r="F364" s="367">
        <f t="shared" ref="F364" si="275">SUM(F363:F363)</f>
        <v>4388.4879418749997</v>
      </c>
      <c r="G364" s="367">
        <f t="shared" ref="G364" si="276">SUM(G363:G363)</f>
        <v>4388.4879418749997</v>
      </c>
      <c r="H364" s="367">
        <f t="shared" ref="H364" si="277">SUM(H363:H363)</f>
        <v>4388.4879418749997</v>
      </c>
      <c r="I364" s="367">
        <f t="shared" ref="I364" si="278">SUM(I363:I363)</f>
        <v>4388.4879418749997</v>
      </c>
      <c r="J364" s="367">
        <f t="shared" ref="J364" si="279">SUM(J363:J363)</f>
        <v>4388.4879418749997</v>
      </c>
      <c r="K364" s="367">
        <f t="shared" ref="K364" si="280">SUM(K363:K363)</f>
        <v>4388.4879418749997</v>
      </c>
      <c r="L364" s="367">
        <f t="shared" ref="L364" si="281">SUM(L363:L363)</f>
        <v>4388.4879418749997</v>
      </c>
      <c r="M364" s="367">
        <f t="shared" ref="M364" si="282">SUM(M363:M363)</f>
        <v>0</v>
      </c>
      <c r="N364" s="367">
        <f t="shared" ref="N364" si="283">SUM(N363:N363)</f>
        <v>0</v>
      </c>
      <c r="O364" s="367">
        <f t="shared" ref="O364" si="284">SUM(O363:O363)</f>
        <v>0</v>
      </c>
      <c r="P364" s="367">
        <f t="shared" ref="P364" si="285">SUM(P363:P363)</f>
        <v>0</v>
      </c>
      <c r="Q364" s="367">
        <f t="shared" ref="Q364" si="286">SUM(Q363:Q363)</f>
        <v>0</v>
      </c>
    </row>
    <row r="365" spans="1:17" ht="14.4">
      <c r="A365" s="370"/>
      <c r="B365" s="379"/>
      <c r="C365" s="379"/>
      <c r="D365" s="379"/>
      <c r="E365" s="379"/>
      <c r="F365" s="379"/>
      <c r="G365" s="379"/>
      <c r="H365" s="379"/>
      <c r="I365" s="379"/>
      <c r="J365" s="379"/>
      <c r="K365" s="379"/>
      <c r="L365" s="379"/>
      <c r="M365" s="379"/>
      <c r="N365" s="379"/>
      <c r="O365" s="379"/>
      <c r="P365" s="379"/>
      <c r="Q365" s="379"/>
    </row>
    <row r="366" spans="1:17" ht="14.4">
      <c r="A366" s="366" t="s">
        <v>301</v>
      </c>
      <c r="B366" s="378">
        <f>+SUM(C366:Q366)</f>
        <v>69251.016786078035</v>
      </c>
      <c r="C366" s="367">
        <f>+C361+C364</f>
        <v>5784.6332263753575</v>
      </c>
      <c r="D366" s="367">
        <f>+D361+D364</f>
        <v>5822.0499199999667</v>
      </c>
      <c r="E366" s="367">
        <f t="shared" ref="E366:Q366" si="287">+E361+E364</f>
        <v>5860.469381013716</v>
      </c>
      <c r="F366" s="367">
        <f t="shared" si="287"/>
        <v>5899.9184835826327</v>
      </c>
      <c r="G366" s="367">
        <f t="shared" si="287"/>
        <v>5940.4248221003973</v>
      </c>
      <c r="H366" s="367">
        <f t="shared" si="287"/>
        <v>5982.016730490438</v>
      </c>
      <c r="I366" s="367">
        <f t="shared" si="287"/>
        <v>6024.7233020253316</v>
      </c>
      <c r="J366" s="367">
        <f t="shared" si="287"/>
        <v>6068.5744096773597</v>
      </c>
      <c r="K366" s="367">
        <f t="shared" si="287"/>
        <v>6113.6007270144637</v>
      </c>
      <c r="L366" s="367">
        <f t="shared" si="287"/>
        <v>6159.8337496562008</v>
      </c>
      <c r="M366" s="367">
        <f t="shared" si="287"/>
        <v>1818.8178754297373</v>
      </c>
      <c r="N366" s="367">
        <f t="shared" si="287"/>
        <v>1867.5621944912541</v>
      </c>
      <c r="O366" s="367">
        <f t="shared" si="287"/>
        <v>1917.6128613036199</v>
      </c>
      <c r="P366" s="367">
        <f t="shared" si="287"/>
        <v>1969.0048859865565</v>
      </c>
      <c r="Q366" s="367">
        <f t="shared" si="287"/>
        <v>2021.7742169309963</v>
      </c>
    </row>
    <row r="367" spans="1:17" ht="14.4">
      <c r="A367" s="370"/>
      <c r="B367" s="379"/>
      <c r="C367" s="379"/>
      <c r="D367" s="379"/>
      <c r="E367" s="379"/>
      <c r="F367" s="379"/>
      <c r="G367" s="379"/>
      <c r="H367" s="379"/>
      <c r="I367" s="379"/>
      <c r="J367" s="379"/>
      <c r="K367" s="379"/>
      <c r="L367" s="379"/>
      <c r="M367" s="379"/>
      <c r="N367" s="379"/>
      <c r="O367" s="379"/>
      <c r="P367" s="379"/>
      <c r="Q367" s="379"/>
    </row>
    <row r="368" spans="1:17" ht="14.4">
      <c r="A368" s="364" t="s">
        <v>302</v>
      </c>
      <c r="B368" s="378">
        <f>+SUM(C368:Q368)</f>
        <v>1514369.5453270986</v>
      </c>
      <c r="C368" s="367">
        <f>+C353-C366</f>
        <v>81377.410730694435</v>
      </c>
      <c r="D368" s="367">
        <f>+D353-D366</f>
        <v>83675.936815119305</v>
      </c>
      <c r="E368" s="367">
        <f t="shared" ref="E368:Q368" si="288">+E353-E366</f>
        <v>86036.063398606741</v>
      </c>
      <c r="F368" s="367">
        <f t="shared" si="288"/>
        <v>88459.441374531641</v>
      </c>
      <c r="G368" s="367">
        <f t="shared" si="288"/>
        <v>90947.765880211344</v>
      </c>
      <c r="H368" s="367">
        <f t="shared" si="288"/>
        <v>93502.777482643243</v>
      </c>
      <c r="I368" s="367">
        <f t="shared" si="288"/>
        <v>96126.263396020338</v>
      </c>
      <c r="J368" s="367">
        <f t="shared" si="288"/>
        <v>98820.058731875921</v>
      </c>
      <c r="K368" s="367">
        <f t="shared" si="288"/>
        <v>101586.04778273244</v>
      </c>
      <c r="L368" s="367">
        <f t="shared" si="288"/>
        <v>104426.1653401519</v>
      </c>
      <c r="M368" s="367">
        <f t="shared" si="288"/>
        <v>111730.88598998523</v>
      </c>
      <c r="N368" s="367">
        <f t="shared" si="288"/>
        <v>114725.27373451681</v>
      </c>
      <c r="O368" s="367">
        <f t="shared" si="288"/>
        <v>117799.91107060187</v>
      </c>
      <c r="P368" s="367">
        <f t="shared" si="288"/>
        <v>120956.948687294</v>
      </c>
      <c r="Q368" s="367">
        <f t="shared" si="288"/>
        <v>124198.59491211345</v>
      </c>
    </row>
    <row r="369" spans="1:17" ht="14.4">
      <c r="A369" s="364"/>
    </row>
    <row r="370" spans="1:17" ht="14.4">
      <c r="A370" s="364" t="s">
        <v>222</v>
      </c>
      <c r="B370" s="380">
        <f>+'WHRS_Project Scenario'!C39</f>
        <v>0.7</v>
      </c>
      <c r="C370" s="367">
        <f>IF((+$B$370*C368)&lt;0,"0",(+$B$370*C368))</f>
        <v>56964.187511486103</v>
      </c>
      <c r="D370" s="367">
        <f t="shared" ref="D370:Q370" si="289">IF((+$B$370*D368)&lt;0,"0",(+$B$370*D368))</f>
        <v>58573.155770583508</v>
      </c>
      <c r="E370" s="367">
        <f t="shared" si="289"/>
        <v>60225.244379024713</v>
      </c>
      <c r="F370" s="367">
        <f t="shared" si="289"/>
        <v>61921.608962172148</v>
      </c>
      <c r="G370" s="367">
        <f t="shared" si="289"/>
        <v>63663.436116147939</v>
      </c>
      <c r="H370" s="367">
        <f t="shared" si="289"/>
        <v>65451.944237850264</v>
      </c>
      <c r="I370" s="367">
        <f t="shared" si="289"/>
        <v>67288.384377214228</v>
      </c>
      <c r="J370" s="367">
        <f t="shared" si="289"/>
        <v>69174.041112313134</v>
      </c>
      <c r="K370" s="367">
        <f t="shared" si="289"/>
        <v>71110.233447912702</v>
      </c>
      <c r="L370" s="367">
        <f t="shared" si="289"/>
        <v>73098.315738106321</v>
      </c>
      <c r="M370" s="367">
        <f t="shared" si="289"/>
        <v>78211.620192989649</v>
      </c>
      <c r="N370" s="367">
        <f t="shared" si="289"/>
        <v>80307.691614161769</v>
      </c>
      <c r="O370" s="367">
        <f t="shared" si="289"/>
        <v>82459.937749421297</v>
      </c>
      <c r="P370" s="367">
        <f t="shared" si="289"/>
        <v>84669.864081105799</v>
      </c>
      <c r="Q370" s="367">
        <f t="shared" si="289"/>
        <v>86939.016438479404</v>
      </c>
    </row>
    <row r="371" spans="1:17" ht="14.4">
      <c r="A371" s="364" t="s">
        <v>303</v>
      </c>
      <c r="B371" s="378">
        <f>+SUM(C371:Q371)</f>
        <v>1060058.6817289689</v>
      </c>
      <c r="C371" s="367">
        <f>SUM(C370:C370)</f>
        <v>56964.187511486103</v>
      </c>
      <c r="D371" s="367">
        <f t="shared" ref="D371" si="290">SUM(D370:D370)</f>
        <v>58573.155770583508</v>
      </c>
      <c r="E371" s="367">
        <f t="shared" ref="E371" si="291">SUM(E370:E370)</f>
        <v>60225.244379024713</v>
      </c>
      <c r="F371" s="367">
        <f t="shared" ref="F371" si="292">SUM(F370:F370)</f>
        <v>61921.608962172148</v>
      </c>
      <c r="G371" s="367">
        <f t="shared" ref="G371" si="293">SUM(G370:G370)</f>
        <v>63663.436116147939</v>
      </c>
      <c r="H371" s="367">
        <f t="shared" ref="H371" si="294">SUM(H370:H370)</f>
        <v>65451.944237850264</v>
      </c>
      <c r="I371" s="367">
        <f t="shared" ref="I371" si="295">SUM(I370:I370)</f>
        <v>67288.384377214228</v>
      </c>
      <c r="J371" s="367">
        <f t="shared" ref="J371" si="296">SUM(J370:J370)</f>
        <v>69174.041112313134</v>
      </c>
      <c r="K371" s="367">
        <f t="shared" ref="K371" si="297">SUM(K370:K370)</f>
        <v>71110.233447912702</v>
      </c>
      <c r="L371" s="367">
        <f t="shared" ref="L371" si="298">SUM(L370:L370)</f>
        <v>73098.315738106321</v>
      </c>
      <c r="M371" s="367">
        <f t="shared" ref="M371" si="299">SUM(M370:M370)</f>
        <v>78211.620192989649</v>
      </c>
      <c r="N371" s="367">
        <f t="shared" ref="N371" si="300">SUM(N370:N370)</f>
        <v>80307.691614161769</v>
      </c>
      <c r="O371" s="367">
        <f t="shared" ref="O371" si="301">SUM(O370:O370)</f>
        <v>82459.937749421297</v>
      </c>
      <c r="P371" s="367">
        <f t="shared" ref="P371" si="302">SUM(P370:P370)</f>
        <v>84669.864081105799</v>
      </c>
      <c r="Q371" s="367">
        <f t="shared" ref="Q371" si="303">SUM(Q370:Q370)</f>
        <v>86939.016438479404</v>
      </c>
    </row>
    <row r="372" spans="1:17" ht="14.4">
      <c r="A372" s="369"/>
    </row>
    <row r="373" spans="1:17" ht="14.4">
      <c r="A373" s="364" t="s">
        <v>304</v>
      </c>
      <c r="B373" s="378">
        <f t="shared" ref="B373:B375" si="304">+SUM(C373:Q373)</f>
        <v>454310.86359812965</v>
      </c>
      <c r="C373" s="367">
        <f>C368-C371</f>
        <v>24413.223219208332</v>
      </c>
      <c r="D373" s="367">
        <f t="shared" ref="D373:Q373" si="305">D368-D371</f>
        <v>25102.781044535797</v>
      </c>
      <c r="E373" s="367">
        <f t="shared" si="305"/>
        <v>25810.819019582028</v>
      </c>
      <c r="F373" s="367">
        <f t="shared" si="305"/>
        <v>26537.832412359494</v>
      </c>
      <c r="G373" s="367">
        <f t="shared" si="305"/>
        <v>27284.329764063405</v>
      </c>
      <c r="H373" s="367">
        <f t="shared" si="305"/>
        <v>28050.833244792979</v>
      </c>
      <c r="I373" s="367">
        <f t="shared" si="305"/>
        <v>28837.87901880611</v>
      </c>
      <c r="J373" s="367">
        <f t="shared" si="305"/>
        <v>29646.017619562786</v>
      </c>
      <c r="K373" s="367">
        <f t="shared" si="305"/>
        <v>30475.814334819734</v>
      </c>
      <c r="L373" s="367">
        <f t="shared" si="305"/>
        <v>31327.849602045579</v>
      </c>
      <c r="M373" s="367">
        <f t="shared" si="305"/>
        <v>33519.265796995576</v>
      </c>
      <c r="N373" s="367">
        <f t="shared" si="305"/>
        <v>34417.582120355044</v>
      </c>
      <c r="O373" s="367">
        <f t="shared" si="305"/>
        <v>35339.973321180572</v>
      </c>
      <c r="P373" s="367">
        <f t="shared" si="305"/>
        <v>36287.084606188204</v>
      </c>
      <c r="Q373" s="367">
        <f t="shared" si="305"/>
        <v>37259.578473634043</v>
      </c>
    </row>
    <row r="374" spans="1:17" ht="14.4">
      <c r="A374" s="364" t="s">
        <v>305</v>
      </c>
      <c r="B374" s="378">
        <f t="shared" si="304"/>
        <v>43884.879418749995</v>
      </c>
      <c r="C374" s="367">
        <f>+C363</f>
        <v>4388.4879418749997</v>
      </c>
      <c r="D374" s="367">
        <f t="shared" ref="D374:Q374" si="306">+D363</f>
        <v>4388.4879418749997</v>
      </c>
      <c r="E374" s="367">
        <f t="shared" si="306"/>
        <v>4388.4879418749997</v>
      </c>
      <c r="F374" s="367">
        <f t="shared" si="306"/>
        <v>4388.4879418749997</v>
      </c>
      <c r="G374" s="367">
        <f t="shared" si="306"/>
        <v>4388.4879418749997</v>
      </c>
      <c r="H374" s="367">
        <f t="shared" si="306"/>
        <v>4388.4879418749997</v>
      </c>
      <c r="I374" s="367">
        <f t="shared" si="306"/>
        <v>4388.4879418749997</v>
      </c>
      <c r="J374" s="367">
        <f t="shared" si="306"/>
        <v>4388.4879418749997</v>
      </c>
      <c r="K374" s="367">
        <f t="shared" si="306"/>
        <v>4388.4879418749997</v>
      </c>
      <c r="L374" s="367">
        <f t="shared" si="306"/>
        <v>4388.4879418749997</v>
      </c>
      <c r="M374" s="367">
        <f t="shared" si="306"/>
        <v>0</v>
      </c>
      <c r="N374" s="367">
        <f t="shared" si="306"/>
        <v>0</v>
      </c>
      <c r="O374" s="367">
        <f t="shared" si="306"/>
        <v>0</v>
      </c>
      <c r="P374" s="367">
        <f t="shared" si="306"/>
        <v>0</v>
      </c>
      <c r="Q374" s="367">
        <f t="shared" si="306"/>
        <v>0</v>
      </c>
    </row>
    <row r="375" spans="1:17" ht="14.4">
      <c r="A375" s="364" t="s">
        <v>306</v>
      </c>
      <c r="B375" s="378">
        <f t="shared" si="304"/>
        <v>0</v>
      </c>
      <c r="C375" s="367">
        <f>+'WHRS_Project Scenario'!D348</f>
        <v>0</v>
      </c>
      <c r="D375" s="367">
        <f>+'WHRS_Project Scenario'!E348</f>
        <v>0</v>
      </c>
      <c r="E375" s="367">
        <f>+'WHRS_Project Scenario'!F348</f>
        <v>0</v>
      </c>
      <c r="F375" s="367">
        <f>+'WHRS_Project Scenario'!G348</f>
        <v>0</v>
      </c>
      <c r="G375" s="367">
        <f>+'WHRS_Project Scenario'!H348</f>
        <v>0</v>
      </c>
      <c r="H375" s="367">
        <f>+'WHRS_Project Scenario'!I348</f>
        <v>0</v>
      </c>
      <c r="I375" s="367">
        <f>+'WHRS_Project Scenario'!J348</f>
        <v>0</v>
      </c>
      <c r="J375" s="367">
        <f>+'WHRS_Project Scenario'!K348</f>
        <v>0</v>
      </c>
      <c r="K375" s="367">
        <f>+'WHRS_Project Scenario'!L348</f>
        <v>0</v>
      </c>
      <c r="L375" s="367">
        <f>+'WHRS_Project Scenario'!M348</f>
        <v>0</v>
      </c>
      <c r="M375" s="367">
        <f>+'WHRS_Project Scenario'!N348</f>
        <v>0</v>
      </c>
      <c r="N375" s="367">
        <f>+'WHRS_Project Scenario'!O348</f>
        <v>0</v>
      </c>
      <c r="O375" s="367">
        <f>+'WHRS_Project Scenario'!P348</f>
        <v>0</v>
      </c>
      <c r="P375" s="367">
        <f>+'WHRS_Project Scenario'!Q348</f>
        <v>0</v>
      </c>
      <c r="Q375" s="367">
        <f>+'WHRS_Project Scenario'!R348</f>
        <v>0</v>
      </c>
    </row>
    <row r="376" spans="1:17" ht="14.4">
      <c r="A376" s="364"/>
    </row>
    <row r="377" spans="1:17" ht="14.4">
      <c r="A377" s="364" t="s">
        <v>110</v>
      </c>
      <c r="B377" s="378">
        <f>-'WHRS_Project Scenario'!C8</f>
        <v>-43884.879418749995</v>
      </c>
      <c r="C377" s="367">
        <f>C373+C374+C375</f>
        <v>28801.711161083331</v>
      </c>
      <c r="D377" s="367">
        <f t="shared" ref="D377:Q377" si="307">D373+D374+D375</f>
        <v>29491.268986410796</v>
      </c>
      <c r="E377" s="367">
        <f t="shared" si="307"/>
        <v>30199.306961457027</v>
      </c>
      <c r="F377" s="367">
        <f t="shared" si="307"/>
        <v>30926.320354234493</v>
      </c>
      <c r="G377" s="367">
        <f t="shared" si="307"/>
        <v>31672.817705938403</v>
      </c>
      <c r="H377" s="367">
        <f t="shared" si="307"/>
        <v>32439.321186667978</v>
      </c>
      <c r="I377" s="367">
        <f t="shared" si="307"/>
        <v>33226.366960681109</v>
      </c>
      <c r="J377" s="367">
        <f t="shared" si="307"/>
        <v>34034.505561437785</v>
      </c>
      <c r="K377" s="367">
        <f t="shared" si="307"/>
        <v>34864.302276694732</v>
      </c>
      <c r="L377" s="367">
        <f t="shared" si="307"/>
        <v>35716.337543920577</v>
      </c>
      <c r="M377" s="367">
        <f t="shared" si="307"/>
        <v>33519.265796995576</v>
      </c>
      <c r="N377" s="367">
        <f t="shared" si="307"/>
        <v>34417.582120355044</v>
      </c>
      <c r="O377" s="367">
        <f t="shared" si="307"/>
        <v>35339.973321180572</v>
      </c>
      <c r="P377" s="367">
        <f t="shared" si="307"/>
        <v>36287.084606188204</v>
      </c>
      <c r="Q377" s="367">
        <f t="shared" si="307"/>
        <v>37259.578473634043</v>
      </c>
    </row>
    <row r="378" spans="1:17" ht="15.6">
      <c r="A378" s="364" t="s">
        <v>51</v>
      </c>
      <c r="B378" s="132">
        <f>IRR(B377:Q377)</f>
        <v>0.6795996748989418</v>
      </c>
    </row>
    <row r="379" spans="1:17" ht="15.6">
      <c r="A379" s="364" t="s">
        <v>267</v>
      </c>
      <c r="B379" s="303">
        <f>NPV('Initial Data'!C21/100,B377:Q377)</f>
        <v>155845.41137201487</v>
      </c>
    </row>
    <row r="381" spans="1:17" ht="14.4">
      <c r="A381" s="508" t="s">
        <v>315</v>
      </c>
      <c r="B381" s="509"/>
      <c r="C381" s="509"/>
      <c r="D381" s="509"/>
      <c r="E381" s="509"/>
      <c r="F381" s="509"/>
      <c r="G381" s="509"/>
      <c r="H381" s="509"/>
      <c r="I381" s="509"/>
      <c r="J381" s="509"/>
      <c r="K381" s="509"/>
      <c r="L381" s="509"/>
      <c r="M381" s="509"/>
      <c r="N381" s="509"/>
      <c r="O381" s="509"/>
      <c r="P381" s="509"/>
      <c r="Q381" s="509"/>
    </row>
    <row r="382" spans="1:17" ht="14.4">
      <c r="A382" s="371" t="s">
        <v>317</v>
      </c>
      <c r="B382" s="372"/>
      <c r="C382" s="372"/>
      <c r="D382" s="372"/>
      <c r="E382" s="372"/>
      <c r="F382" s="372"/>
      <c r="G382" s="372"/>
      <c r="H382" s="372"/>
      <c r="I382" s="372"/>
      <c r="J382" s="372"/>
      <c r="K382" s="372"/>
      <c r="L382" s="372"/>
      <c r="M382" s="372"/>
      <c r="N382" s="372"/>
      <c r="O382" s="372"/>
      <c r="P382" s="372"/>
      <c r="Q382" s="372"/>
    </row>
    <row r="383" spans="1:17" ht="27">
      <c r="A383" s="376"/>
      <c r="B383" s="304" t="s">
        <v>35</v>
      </c>
      <c r="C383" s="352" t="s">
        <v>407</v>
      </c>
      <c r="D383" s="352" t="s">
        <v>408</v>
      </c>
      <c r="E383" s="352" t="s">
        <v>409</v>
      </c>
      <c r="F383" s="352" t="s">
        <v>410</v>
      </c>
      <c r="G383" s="352" t="s">
        <v>411</v>
      </c>
      <c r="H383" s="352" t="s">
        <v>412</v>
      </c>
      <c r="I383" s="352" t="s">
        <v>413</v>
      </c>
      <c r="J383" s="352" t="s">
        <v>414</v>
      </c>
      <c r="K383" s="352" t="s">
        <v>415</v>
      </c>
      <c r="L383" s="352" t="s">
        <v>416</v>
      </c>
      <c r="M383" s="352" t="s">
        <v>417</v>
      </c>
      <c r="N383" s="352" t="s">
        <v>418</v>
      </c>
      <c r="O383" s="352" t="s">
        <v>419</v>
      </c>
      <c r="P383" s="352" t="s">
        <v>420</v>
      </c>
      <c r="Q383" s="352" t="s">
        <v>421</v>
      </c>
    </row>
    <row r="384" spans="1:17" ht="14.4">
      <c r="A384" s="363" t="s">
        <v>290</v>
      </c>
      <c r="B384" s="365"/>
      <c r="C384" s="377">
        <f>+'WHRS_Project Scenario'!D15</f>
        <v>215214.92335078961</v>
      </c>
      <c r="D384" s="377">
        <f>+'WHRS_Project Scenario'!E15</f>
        <v>215214.92335078961</v>
      </c>
      <c r="E384" s="377">
        <f>+'WHRS_Project Scenario'!F15</f>
        <v>215214.92335078961</v>
      </c>
      <c r="F384" s="377">
        <f>+'WHRS_Project Scenario'!G15</f>
        <v>215214.92335078961</v>
      </c>
      <c r="G384" s="377">
        <f>+'WHRS_Project Scenario'!H15</f>
        <v>215214.92335078961</v>
      </c>
      <c r="H384" s="377">
        <f>+'WHRS_Project Scenario'!I15</f>
        <v>215214.92335078961</v>
      </c>
      <c r="I384" s="377">
        <f>+'WHRS_Project Scenario'!J15</f>
        <v>215214.92335078961</v>
      </c>
      <c r="J384" s="377">
        <f>+'WHRS_Project Scenario'!K15</f>
        <v>215214.92335078961</v>
      </c>
      <c r="K384" s="377">
        <f>+'WHRS_Project Scenario'!L15</f>
        <v>215214.92335078961</v>
      </c>
      <c r="L384" s="377">
        <f>+'WHRS_Project Scenario'!M15</f>
        <v>215214.92335078961</v>
      </c>
      <c r="M384" s="377">
        <f>+'WHRS_Project Scenario'!N15</f>
        <v>215214.92335078961</v>
      </c>
      <c r="N384" s="377">
        <f>+'WHRS_Project Scenario'!O15</f>
        <v>215214.92335078961</v>
      </c>
      <c r="O384" s="377">
        <f>+'WHRS_Project Scenario'!P15</f>
        <v>215214.92335078961</v>
      </c>
      <c r="P384" s="377">
        <f>+'WHRS_Project Scenario'!Q15</f>
        <v>215214.92335078961</v>
      </c>
      <c r="Q384" s="377">
        <f>+'WHRS_Project Scenario'!R15</f>
        <v>215214.92335078961</v>
      </c>
    </row>
    <row r="385" spans="1:17" ht="14.4">
      <c r="A385" s="364" t="s">
        <v>291</v>
      </c>
      <c r="B385" s="365"/>
      <c r="C385" s="377">
        <f>+'WHRS_Project Scenario'!D16</f>
        <v>70</v>
      </c>
      <c r="D385" s="377">
        <f>+'WHRS_Project Scenario'!E16</f>
        <v>70</v>
      </c>
      <c r="E385" s="377">
        <f>+'WHRS_Project Scenario'!F16</f>
        <v>70</v>
      </c>
      <c r="F385" s="377">
        <f>+'WHRS_Project Scenario'!G16</f>
        <v>70</v>
      </c>
      <c r="G385" s="377">
        <f>+'WHRS_Project Scenario'!H16</f>
        <v>70</v>
      </c>
      <c r="H385" s="377">
        <f>+'WHRS_Project Scenario'!I16</f>
        <v>70</v>
      </c>
      <c r="I385" s="377">
        <f>+'WHRS_Project Scenario'!J16</f>
        <v>70</v>
      </c>
      <c r="J385" s="377">
        <f>+'WHRS_Project Scenario'!K16</f>
        <v>70</v>
      </c>
      <c r="K385" s="377">
        <f>+'WHRS_Project Scenario'!L16</f>
        <v>70</v>
      </c>
      <c r="L385" s="377">
        <f>+'WHRS_Project Scenario'!M16</f>
        <v>70</v>
      </c>
      <c r="M385" s="377">
        <f>+'WHRS_Project Scenario'!N16</f>
        <v>70</v>
      </c>
      <c r="N385" s="377">
        <f>+'WHRS_Project Scenario'!O16</f>
        <v>70</v>
      </c>
      <c r="O385" s="377">
        <f>+'WHRS_Project Scenario'!P16</f>
        <v>70</v>
      </c>
      <c r="P385" s="377">
        <f>+'WHRS_Project Scenario'!Q16</f>
        <v>70</v>
      </c>
      <c r="Q385" s="377">
        <f>+'WHRS_Project Scenario'!R16</f>
        <v>70</v>
      </c>
    </row>
    <row r="386" spans="1:17" ht="14.4">
      <c r="A386" s="366" t="s">
        <v>292</v>
      </c>
      <c r="B386" s="365"/>
      <c r="C386" s="383">
        <f>'WHRS_Project Scenario'!D17*(1+$C$6)</f>
        <v>6.1071428571428568</v>
      </c>
      <c r="D386" s="383">
        <f>'WHRS_Project Scenario'!E17*(1+$C$6)</f>
        <v>6.2708142857142848</v>
      </c>
      <c r="E386" s="383">
        <f>'WHRS_Project Scenario'!F17*(1+$C$6)</f>
        <v>6.4388721085714273</v>
      </c>
      <c r="F386" s="383">
        <f>'WHRS_Project Scenario'!G17*(1+$C$6)</f>
        <v>6.6114338810811413</v>
      </c>
      <c r="G386" s="383">
        <f>'WHRS_Project Scenario'!H17*(1+$C$6)</f>
        <v>6.7886203090941155</v>
      </c>
      <c r="H386" s="383">
        <f>'WHRS_Project Scenario'!I17*(1+$C$6)</f>
        <v>6.9705553333778374</v>
      </c>
      <c r="I386" s="383">
        <f>'WHRS_Project Scenario'!J17*(1+$C$6)</f>
        <v>7.1573662163123632</v>
      </c>
      <c r="J386" s="383">
        <f>'WHRS_Project Scenario'!K17*(1+$C$6)</f>
        <v>7.3491836309095335</v>
      </c>
      <c r="K386" s="383">
        <f>'WHRS_Project Scenario'!L17*(1+$C$6)</f>
        <v>7.5461417522179088</v>
      </c>
      <c r="L386" s="383">
        <f>'WHRS_Project Scenario'!M17*(1+$C$6)</f>
        <v>7.7483783511773474</v>
      </c>
      <c r="M386" s="383">
        <f>'WHRS_Project Scenario'!N17*(1+$C$6)</f>
        <v>7.9560348909889003</v>
      </c>
      <c r="N386" s="383">
        <f>'WHRS_Project Scenario'!O17*(1+$C$6)</f>
        <v>8.1692566260674013</v>
      </c>
      <c r="O386" s="383">
        <f>'WHRS_Project Scenario'!P17*(1+$C$6)</f>
        <v>8.3881927036460073</v>
      </c>
      <c r="P386" s="383">
        <f>'WHRS_Project Scenario'!Q17*(1+$C$6)</f>
        <v>8.6129962681037195</v>
      </c>
      <c r="Q386" s="383">
        <f>'WHRS_Project Scenario'!R17*(1+$C$6)</f>
        <v>8.8438245680888983</v>
      </c>
    </row>
    <row r="387" spans="1:17" ht="14.4">
      <c r="A387" s="366" t="s">
        <v>293</v>
      </c>
      <c r="B387" s="365"/>
      <c r="C387" s="381">
        <f>+C385*C386</f>
        <v>427.5</v>
      </c>
      <c r="D387" s="381">
        <f t="shared" ref="D387:Q387" si="308">+D385*D386</f>
        <v>438.95699999999994</v>
      </c>
      <c r="E387" s="381">
        <f t="shared" si="308"/>
        <v>450.72104759999991</v>
      </c>
      <c r="F387" s="381">
        <f t="shared" si="308"/>
        <v>462.80037167567991</v>
      </c>
      <c r="G387" s="381">
        <f t="shared" si="308"/>
        <v>475.20342163658808</v>
      </c>
      <c r="H387" s="381">
        <f t="shared" si="308"/>
        <v>487.93887333644864</v>
      </c>
      <c r="I387" s="381">
        <f t="shared" si="308"/>
        <v>501.0156351418654</v>
      </c>
      <c r="J387" s="381">
        <f t="shared" si="308"/>
        <v>514.44285416366733</v>
      </c>
      <c r="K387" s="381">
        <f t="shared" si="308"/>
        <v>528.22992265525363</v>
      </c>
      <c r="L387" s="381">
        <f t="shared" si="308"/>
        <v>542.38648458241437</v>
      </c>
      <c r="M387" s="381">
        <f t="shared" si="308"/>
        <v>556.92244236922306</v>
      </c>
      <c r="N387" s="381">
        <f t="shared" si="308"/>
        <v>571.84796382471814</v>
      </c>
      <c r="O387" s="381">
        <f t="shared" si="308"/>
        <v>587.17348925522049</v>
      </c>
      <c r="P387" s="381">
        <f t="shared" si="308"/>
        <v>602.90973876726036</v>
      </c>
      <c r="Q387" s="381">
        <f t="shared" si="308"/>
        <v>619.06771976622292</v>
      </c>
    </row>
    <row r="388" spans="1:17" ht="14.4">
      <c r="A388" s="370"/>
      <c r="B388" s="373"/>
      <c r="C388" s="373"/>
      <c r="D388" s="373"/>
      <c r="E388" s="373"/>
      <c r="F388" s="373"/>
      <c r="G388" s="373"/>
      <c r="H388" s="373"/>
      <c r="I388" s="373"/>
      <c r="J388" s="373"/>
      <c r="K388" s="373"/>
      <c r="L388" s="373"/>
      <c r="M388" s="373"/>
      <c r="N388" s="373"/>
      <c r="O388" s="373"/>
      <c r="P388" s="373"/>
      <c r="Q388" s="373"/>
    </row>
    <row r="389" spans="1:17" ht="14.4">
      <c r="A389" s="366" t="s">
        <v>294</v>
      </c>
      <c r="B389" s="381">
        <f>+SUM(C389:Q389)</f>
        <v>1671599.4822305748</v>
      </c>
      <c r="C389" s="381">
        <f>C384*C387/1000*'Initial Data'!$C$34/'Initial Data'!$C$33</f>
        <v>92004.379732462548</v>
      </c>
      <c r="D389" s="381">
        <f>D384*D387/1000*'Initial Data'!$C$34/'Initial Data'!$C$33</f>
        <v>94470.097109292532</v>
      </c>
      <c r="E389" s="381">
        <f>E384*E387/1000*'Initial Data'!$C$34/'Initial Data'!$C$33</f>
        <v>97001.895711821577</v>
      </c>
      <c r="F389" s="381">
        <f>F384*F387/1000*'Initial Data'!$C$34/'Initial Data'!$C$33</f>
        <v>99601.546516898394</v>
      </c>
      <c r="G389" s="381">
        <f>G384*G387/1000*'Initial Data'!$C$34/'Initial Data'!$C$33</f>
        <v>102270.86796355127</v>
      </c>
      <c r="H389" s="381">
        <f>H384*H387/1000*'Initial Data'!$C$34/'Initial Data'!$C$33</f>
        <v>105011.72722497444</v>
      </c>
      <c r="I389" s="381">
        <f>I384*I387/1000*'Initial Data'!$C$34/'Initial Data'!$C$33</f>
        <v>107826.04151460374</v>
      </c>
      <c r="J389" s="381">
        <f>J384*J387/1000*'Initial Data'!$C$34/'Initial Data'!$C$33</f>
        <v>110715.7794271951</v>
      </c>
      <c r="K389" s="381">
        <f>K384*K387/1000*'Initial Data'!$C$34/'Initial Data'!$C$33</f>
        <v>113682.96231584394</v>
      </c>
      <c r="L389" s="381">
        <f>L384*L387/1000*'Initial Data'!$C$34/'Initial Data'!$C$33</f>
        <v>116729.66570590854</v>
      </c>
      <c r="M389" s="381">
        <f>M384*M387/1000*'Initial Data'!$C$34/'Initial Data'!$C$33</f>
        <v>119858.02074682689</v>
      </c>
      <c r="N389" s="381">
        <f>N384*N387/1000*'Initial Data'!$C$34/'Initial Data'!$C$33</f>
        <v>123070.21570284182</v>
      </c>
      <c r="O389" s="381">
        <f>O384*O387/1000*'Initial Data'!$C$34/'Initial Data'!$C$33</f>
        <v>126368.49748367797</v>
      </c>
      <c r="P389" s="381">
        <f>P384*P387/1000*'Initial Data'!$C$34/'Initial Data'!$C$33</f>
        <v>129755.17321624054</v>
      </c>
      <c r="Q389" s="381">
        <f>Q384*Q387/1000*'Initial Data'!$C$34/'Initial Data'!$C$33</f>
        <v>133232.61185843576</v>
      </c>
    </row>
    <row r="390" spans="1:17" ht="14.4">
      <c r="A390" s="370"/>
      <c r="B390" s="373"/>
      <c r="C390" s="373"/>
      <c r="D390" s="373"/>
      <c r="E390" s="373"/>
      <c r="F390" s="373"/>
      <c r="G390" s="373"/>
      <c r="H390" s="373"/>
      <c r="I390" s="373"/>
      <c r="J390" s="373"/>
      <c r="K390" s="373"/>
      <c r="L390" s="373"/>
      <c r="M390" s="373"/>
      <c r="N390" s="373"/>
      <c r="O390" s="373"/>
      <c r="P390" s="373"/>
      <c r="Q390" s="373"/>
    </row>
    <row r="391" spans="1:17" ht="14.4">
      <c r="A391" s="366" t="s">
        <v>295</v>
      </c>
      <c r="B391" s="381">
        <f>+SUM(C391:Q391)</f>
        <v>1671599.4822305748</v>
      </c>
      <c r="C391" s="381">
        <f>+C389</f>
        <v>92004.379732462548</v>
      </c>
      <c r="D391" s="381">
        <f t="shared" ref="D391:Q391" si="309">+D389</f>
        <v>94470.097109292532</v>
      </c>
      <c r="E391" s="381">
        <f t="shared" si="309"/>
        <v>97001.895711821577</v>
      </c>
      <c r="F391" s="381">
        <f t="shared" si="309"/>
        <v>99601.546516898394</v>
      </c>
      <c r="G391" s="381">
        <f t="shared" si="309"/>
        <v>102270.86796355127</v>
      </c>
      <c r="H391" s="381">
        <f t="shared" si="309"/>
        <v>105011.72722497444</v>
      </c>
      <c r="I391" s="381">
        <f t="shared" si="309"/>
        <v>107826.04151460374</v>
      </c>
      <c r="J391" s="381">
        <f t="shared" si="309"/>
        <v>110715.7794271951</v>
      </c>
      <c r="K391" s="381">
        <f t="shared" si="309"/>
        <v>113682.96231584394</v>
      </c>
      <c r="L391" s="381">
        <f t="shared" si="309"/>
        <v>116729.66570590854</v>
      </c>
      <c r="M391" s="381">
        <f t="shared" si="309"/>
        <v>119858.02074682689</v>
      </c>
      <c r="N391" s="381">
        <f t="shared" si="309"/>
        <v>123070.21570284182</v>
      </c>
      <c r="O391" s="381">
        <f t="shared" si="309"/>
        <v>126368.49748367797</v>
      </c>
      <c r="P391" s="381">
        <f t="shared" si="309"/>
        <v>129755.17321624054</v>
      </c>
      <c r="Q391" s="381">
        <f t="shared" si="309"/>
        <v>133232.61185843576</v>
      </c>
    </row>
    <row r="392" spans="1:17" ht="14.4">
      <c r="A392" s="370"/>
      <c r="B392" s="374"/>
      <c r="C392" s="374"/>
      <c r="D392" s="374"/>
      <c r="E392" s="374"/>
      <c r="F392" s="374"/>
      <c r="G392" s="374"/>
      <c r="H392" s="374"/>
      <c r="I392" s="374"/>
      <c r="J392" s="374"/>
      <c r="K392" s="374"/>
      <c r="L392" s="374"/>
      <c r="M392" s="374"/>
      <c r="N392" s="374"/>
      <c r="O392" s="374"/>
      <c r="P392" s="374"/>
      <c r="Q392" s="374"/>
    </row>
    <row r="393" spans="1:17" ht="14.4">
      <c r="A393" s="366" t="s">
        <v>68</v>
      </c>
      <c r="B393" s="368"/>
      <c r="C393" s="368"/>
      <c r="D393" s="368"/>
      <c r="E393" s="368"/>
      <c r="F393" s="368"/>
      <c r="G393" s="368"/>
      <c r="H393" s="368"/>
      <c r="I393" s="368"/>
      <c r="J393" s="368"/>
      <c r="K393" s="368"/>
      <c r="L393" s="368"/>
      <c r="M393" s="368"/>
      <c r="N393" s="368"/>
      <c r="O393" s="368"/>
      <c r="P393" s="368"/>
      <c r="Q393" s="368"/>
    </row>
    <row r="394" spans="1:17" ht="14.4">
      <c r="A394" s="366" t="s">
        <v>296</v>
      </c>
      <c r="B394" s="378">
        <f>+SUM(C394:Q394)</f>
        <v>11529.370291765843</v>
      </c>
      <c r="C394" s="367">
        <f>SUM('Initial Data'!$C$77:$C$80)/'Initial Data'!$C$14/1000</f>
        <v>634.57339732142862</v>
      </c>
      <c r="D394" s="367">
        <f>+C394*(1+'Initial Data'!$C$20/100)</f>
        <v>651.57996436964288</v>
      </c>
      <c r="E394" s="367">
        <f>+D394*(1+'Initial Data'!$C$20/100)</f>
        <v>669.0423074147493</v>
      </c>
      <c r="F394" s="367">
        <f>+E394*(1+'Initial Data'!$C$20/100)</f>
        <v>686.97264125346453</v>
      </c>
      <c r="G394" s="367">
        <f>+F394*(1+'Initial Data'!$C$20/100)</f>
        <v>705.38350803905735</v>
      </c>
      <c r="H394" s="367">
        <f>+G394*(1+'Initial Data'!$C$20/100)</f>
        <v>724.28778605450407</v>
      </c>
      <c r="I394" s="367">
        <f>+H394*(1+'Initial Data'!$C$20/100)</f>
        <v>743.6986987207647</v>
      </c>
      <c r="J394" s="367">
        <f>+I394*(1+'Initial Data'!$C$20/100)</f>
        <v>763.62982384648114</v>
      </c>
      <c r="K394" s="367">
        <f>+J394*(1+'Initial Data'!$C$20/100)</f>
        <v>784.09510312556677</v>
      </c>
      <c r="L394" s="367">
        <f>+K394*(1+'Initial Data'!$C$20/100)</f>
        <v>805.10885188933196</v>
      </c>
      <c r="M394" s="367">
        <f>+L394*(1+'Initial Data'!$C$20/100)</f>
        <v>826.68576911996604</v>
      </c>
      <c r="N394" s="367">
        <f>+M394*(1+'Initial Data'!$C$20/100)</f>
        <v>848.8409477323811</v>
      </c>
      <c r="O394" s="367">
        <f>+N394*(1+'Initial Data'!$C$20/100)</f>
        <v>871.58988513160887</v>
      </c>
      <c r="P394" s="367">
        <f>+O394*(1+'Initial Data'!$C$20/100)</f>
        <v>894.94849405313596</v>
      </c>
      <c r="Q394" s="367">
        <f>+P394*(1+'Initial Data'!$C$20/100)</f>
        <v>918.93311369375999</v>
      </c>
    </row>
    <row r="395" spans="1:17" ht="14.4">
      <c r="A395" s="366" t="s">
        <v>297</v>
      </c>
      <c r="B395" s="378">
        <f>+SUM(C395:Q395)</f>
        <v>13836.767075562186</v>
      </c>
      <c r="C395" s="367">
        <f>('Initial Data'!$C$82/1000+('Initial Data'!$C$83*'Initial Data'!$C$15/'Initial Data'!$C$14)/1000+'Initial Data'!$C$84/'Initial Data'!$C$14/1000)</f>
        <v>761.57188717892859</v>
      </c>
      <c r="D395" s="367">
        <f>+C395*(1+'Initial Data'!$C$20/100)</f>
        <v>781.98201375532381</v>
      </c>
      <c r="E395" s="367">
        <f>+D395*(1+'Initial Data'!$C$20/100)</f>
        <v>802.9391317239664</v>
      </c>
      <c r="F395" s="367">
        <f>+E395*(1+'Initial Data'!$C$20/100)</f>
        <v>824.45790045416868</v>
      </c>
      <c r="G395" s="367">
        <f>+F395*(1+'Initial Data'!$C$20/100)</f>
        <v>846.55337218634031</v>
      </c>
      <c r="H395" s="367">
        <f>+G395*(1+'Initial Data'!$C$20/100)</f>
        <v>869.24100256093413</v>
      </c>
      <c r="I395" s="367">
        <f>+H395*(1+'Initial Data'!$C$20/100)</f>
        <v>892.53666142956706</v>
      </c>
      <c r="J395" s="367">
        <f>+I395*(1+'Initial Data'!$C$20/100)</f>
        <v>916.45664395587937</v>
      </c>
      <c r="K395" s="367">
        <f>+J395*(1+'Initial Data'!$C$20/100)</f>
        <v>941.01768201389689</v>
      </c>
      <c r="L395" s="367">
        <f>+K395*(1+'Initial Data'!$C$20/100)</f>
        <v>966.23695589186923</v>
      </c>
      <c r="M395" s="367">
        <f>+L395*(1+'Initial Data'!$C$20/100)</f>
        <v>992.1321063097713</v>
      </c>
      <c r="N395" s="367">
        <f>+M395*(1+'Initial Data'!$C$20/100)</f>
        <v>1018.7212467588731</v>
      </c>
      <c r="O395" s="367">
        <f>+N395*(1+'Initial Data'!$C$20/100)</f>
        <v>1046.0229761720109</v>
      </c>
      <c r="P395" s="367">
        <f>+O395*(1+'Initial Data'!$C$20/100)</f>
        <v>1074.0563919334206</v>
      </c>
      <c r="Q395" s="367">
        <f>+P395*(1+'Initial Data'!$C$20/100)</f>
        <v>1102.8411032372362</v>
      </c>
    </row>
    <row r="396" spans="1:17" ht="14.4">
      <c r="A396" s="370"/>
      <c r="B396" s="369"/>
      <c r="C396" s="382"/>
      <c r="D396" s="369"/>
      <c r="E396" s="369"/>
      <c r="F396" s="369"/>
      <c r="G396" s="369"/>
      <c r="H396" s="369"/>
      <c r="I396" s="369"/>
      <c r="J396" s="369"/>
      <c r="K396" s="369"/>
      <c r="L396" s="369"/>
      <c r="M396" s="369"/>
      <c r="N396" s="369"/>
      <c r="O396" s="369"/>
      <c r="P396" s="369"/>
      <c r="Q396" s="369"/>
    </row>
    <row r="397" spans="1:17" ht="14.4">
      <c r="A397" s="366" t="s">
        <v>71</v>
      </c>
      <c r="B397" s="379"/>
      <c r="C397" s="379"/>
      <c r="D397" s="379"/>
      <c r="E397" s="379"/>
      <c r="F397" s="379"/>
      <c r="G397" s="379"/>
      <c r="H397" s="379"/>
      <c r="I397" s="379"/>
      <c r="J397" s="379"/>
      <c r="K397" s="379"/>
      <c r="L397" s="379"/>
      <c r="M397" s="379"/>
      <c r="N397" s="379"/>
      <c r="O397" s="379"/>
      <c r="P397" s="379"/>
      <c r="Q397" s="379"/>
    </row>
    <row r="398" spans="1:17" ht="14.4">
      <c r="A398" s="370"/>
      <c r="B398" s="379"/>
      <c r="C398" s="379"/>
      <c r="D398" s="379"/>
      <c r="E398" s="379"/>
      <c r="F398" s="379"/>
      <c r="G398" s="379"/>
      <c r="H398" s="379"/>
      <c r="I398" s="379"/>
      <c r="J398" s="379"/>
      <c r="K398" s="379"/>
      <c r="L398" s="379"/>
      <c r="M398" s="379"/>
      <c r="N398" s="379"/>
      <c r="O398" s="379"/>
      <c r="P398" s="379"/>
      <c r="Q398" s="379"/>
    </row>
    <row r="399" spans="1:17" ht="14.4">
      <c r="A399" s="366" t="s">
        <v>298</v>
      </c>
      <c r="B399" s="378">
        <f>+SUM(C399:Q399)</f>
        <v>25366.137367328029</v>
      </c>
      <c r="C399" s="367">
        <f>SUM(C394:C395)</f>
        <v>1396.1452845003573</v>
      </c>
      <c r="D399" s="367">
        <f>SUM(D394:D395)</f>
        <v>1433.5619781249666</v>
      </c>
      <c r="E399" s="367">
        <f t="shared" ref="E399:Q399" si="310">SUM(E394:E395)</f>
        <v>1471.9814391387158</v>
      </c>
      <c r="F399" s="367">
        <f t="shared" si="310"/>
        <v>1511.4305417076332</v>
      </c>
      <c r="G399" s="367">
        <f t="shared" si="310"/>
        <v>1551.9368802253975</v>
      </c>
      <c r="H399" s="367">
        <f t="shared" si="310"/>
        <v>1593.5287886154383</v>
      </c>
      <c r="I399" s="367">
        <f t="shared" si="310"/>
        <v>1636.2353601503319</v>
      </c>
      <c r="J399" s="367">
        <f t="shared" si="310"/>
        <v>1680.0864678023604</v>
      </c>
      <c r="K399" s="367">
        <f t="shared" si="310"/>
        <v>1725.1127851394635</v>
      </c>
      <c r="L399" s="367">
        <f t="shared" si="310"/>
        <v>1771.3458077812011</v>
      </c>
      <c r="M399" s="367">
        <f t="shared" si="310"/>
        <v>1818.8178754297373</v>
      </c>
      <c r="N399" s="367">
        <f t="shared" si="310"/>
        <v>1867.5621944912541</v>
      </c>
      <c r="O399" s="367">
        <f t="shared" si="310"/>
        <v>1917.6128613036199</v>
      </c>
      <c r="P399" s="367">
        <f t="shared" si="310"/>
        <v>1969.0048859865565</v>
      </c>
      <c r="Q399" s="367">
        <f t="shared" si="310"/>
        <v>2021.7742169309963</v>
      </c>
    </row>
    <row r="400" spans="1:17" ht="14.4">
      <c r="A400" s="370"/>
      <c r="B400" s="379"/>
      <c r="C400" s="379"/>
      <c r="D400" s="379"/>
      <c r="E400" s="379"/>
      <c r="F400" s="379"/>
      <c r="G400" s="379"/>
      <c r="H400" s="379"/>
      <c r="I400" s="379"/>
      <c r="J400" s="379"/>
      <c r="K400" s="379"/>
      <c r="L400" s="379"/>
      <c r="M400" s="379"/>
      <c r="N400" s="379"/>
      <c r="O400" s="379"/>
      <c r="P400" s="379"/>
      <c r="Q400" s="379"/>
    </row>
    <row r="401" spans="1:17" ht="14.4">
      <c r="A401" s="366" t="s">
        <v>299</v>
      </c>
      <c r="B401" s="378">
        <f t="shared" ref="B401:B402" si="311">+SUM(C401:Q401)</f>
        <v>43884.879418749995</v>
      </c>
      <c r="C401" s="367">
        <f>'WHRS_Project Scenario'!$C$8/'Initial Data'!$C$19</f>
        <v>4388.4879418749997</v>
      </c>
      <c r="D401" s="367">
        <f>'WHRS_Project Scenario'!$C$8/'Initial Data'!$C$19</f>
        <v>4388.4879418749997</v>
      </c>
      <c r="E401" s="367">
        <f>'WHRS_Project Scenario'!$C$8/'Initial Data'!$C$19</f>
        <v>4388.4879418749997</v>
      </c>
      <c r="F401" s="367">
        <f>'WHRS_Project Scenario'!$C$8/'Initial Data'!$C$19</f>
        <v>4388.4879418749997</v>
      </c>
      <c r="G401" s="367">
        <f>'WHRS_Project Scenario'!$C$8/'Initial Data'!$C$19</f>
        <v>4388.4879418749997</v>
      </c>
      <c r="H401" s="367">
        <f>'WHRS_Project Scenario'!$C$8/'Initial Data'!$C$19</f>
        <v>4388.4879418749997</v>
      </c>
      <c r="I401" s="367">
        <f>'WHRS_Project Scenario'!$C$8/'Initial Data'!$C$19</f>
        <v>4388.4879418749997</v>
      </c>
      <c r="J401" s="367">
        <f>'WHRS_Project Scenario'!$C$8/'Initial Data'!$C$19</f>
        <v>4388.4879418749997</v>
      </c>
      <c r="K401" s="367">
        <f>'WHRS_Project Scenario'!$C$8/'Initial Data'!$C$19</f>
        <v>4388.4879418749997</v>
      </c>
      <c r="L401" s="367">
        <f>'WHRS_Project Scenario'!$C$8/'Initial Data'!$C$19</f>
        <v>4388.4879418749997</v>
      </c>
      <c r="M401" s="367">
        <v>0</v>
      </c>
      <c r="N401" s="367">
        <v>0</v>
      </c>
      <c r="O401" s="367">
        <v>0</v>
      </c>
      <c r="P401" s="367">
        <v>0</v>
      </c>
      <c r="Q401" s="367">
        <v>0</v>
      </c>
    </row>
    <row r="402" spans="1:17" ht="14.4">
      <c r="A402" s="366" t="s">
        <v>300</v>
      </c>
      <c r="B402" s="378">
        <f t="shared" si="311"/>
        <v>43884.879418749995</v>
      </c>
      <c r="C402" s="367">
        <f>SUM(C401:C401)</f>
        <v>4388.4879418749997</v>
      </c>
      <c r="D402" s="367">
        <f t="shared" ref="D402" si="312">SUM(D401:D401)</f>
        <v>4388.4879418749997</v>
      </c>
      <c r="E402" s="367">
        <f t="shared" ref="E402" si="313">SUM(E401:E401)</f>
        <v>4388.4879418749997</v>
      </c>
      <c r="F402" s="367">
        <f t="shared" ref="F402" si="314">SUM(F401:F401)</f>
        <v>4388.4879418749997</v>
      </c>
      <c r="G402" s="367">
        <f t="shared" ref="G402" si="315">SUM(G401:G401)</f>
        <v>4388.4879418749997</v>
      </c>
      <c r="H402" s="367">
        <f t="shared" ref="H402" si="316">SUM(H401:H401)</f>
        <v>4388.4879418749997</v>
      </c>
      <c r="I402" s="367">
        <f t="shared" ref="I402" si="317">SUM(I401:I401)</f>
        <v>4388.4879418749997</v>
      </c>
      <c r="J402" s="367">
        <f t="shared" ref="J402" si="318">SUM(J401:J401)</f>
        <v>4388.4879418749997</v>
      </c>
      <c r="K402" s="367">
        <f t="shared" ref="K402" si="319">SUM(K401:K401)</f>
        <v>4388.4879418749997</v>
      </c>
      <c r="L402" s="367">
        <f t="shared" ref="L402" si="320">SUM(L401:L401)</f>
        <v>4388.4879418749997</v>
      </c>
      <c r="M402" s="367">
        <f t="shared" ref="M402" si="321">SUM(M401:M401)</f>
        <v>0</v>
      </c>
      <c r="N402" s="367">
        <f t="shared" ref="N402" si="322">SUM(N401:N401)</f>
        <v>0</v>
      </c>
      <c r="O402" s="367">
        <f t="shared" ref="O402" si="323">SUM(O401:O401)</f>
        <v>0</v>
      </c>
      <c r="P402" s="367">
        <f t="shared" ref="P402" si="324">SUM(P401:P401)</f>
        <v>0</v>
      </c>
      <c r="Q402" s="367">
        <f t="shared" ref="Q402" si="325">SUM(Q401:Q401)</f>
        <v>0</v>
      </c>
    </row>
    <row r="403" spans="1:17" ht="14.4">
      <c r="A403" s="370"/>
      <c r="B403" s="379"/>
      <c r="C403" s="379"/>
      <c r="D403" s="379"/>
      <c r="E403" s="379"/>
      <c r="F403" s="379"/>
      <c r="G403" s="379"/>
      <c r="H403" s="379"/>
      <c r="I403" s="379"/>
      <c r="J403" s="379"/>
      <c r="K403" s="379"/>
      <c r="L403" s="379"/>
      <c r="M403" s="379"/>
      <c r="N403" s="379"/>
      <c r="O403" s="379"/>
      <c r="P403" s="379"/>
      <c r="Q403" s="379"/>
    </row>
    <row r="404" spans="1:17" ht="14.4">
      <c r="A404" s="366" t="s">
        <v>301</v>
      </c>
      <c r="B404" s="378">
        <f>+SUM(C404:Q404)</f>
        <v>69251.016786078035</v>
      </c>
      <c r="C404" s="367">
        <f>+C399+C402</f>
        <v>5784.6332263753575</v>
      </c>
      <c r="D404" s="367">
        <f>+D399+D402</f>
        <v>5822.0499199999667</v>
      </c>
      <c r="E404" s="367">
        <f t="shared" ref="E404:Q404" si="326">+E399+E402</f>
        <v>5860.469381013716</v>
      </c>
      <c r="F404" s="367">
        <f t="shared" si="326"/>
        <v>5899.9184835826327</v>
      </c>
      <c r="G404" s="367">
        <f t="shared" si="326"/>
        <v>5940.4248221003973</v>
      </c>
      <c r="H404" s="367">
        <f t="shared" si="326"/>
        <v>5982.016730490438</v>
      </c>
      <c r="I404" s="367">
        <f t="shared" si="326"/>
        <v>6024.7233020253316</v>
      </c>
      <c r="J404" s="367">
        <f t="shared" si="326"/>
        <v>6068.5744096773597</v>
      </c>
      <c r="K404" s="367">
        <f t="shared" si="326"/>
        <v>6113.6007270144637</v>
      </c>
      <c r="L404" s="367">
        <f t="shared" si="326"/>
        <v>6159.8337496562008</v>
      </c>
      <c r="M404" s="367">
        <f t="shared" si="326"/>
        <v>1818.8178754297373</v>
      </c>
      <c r="N404" s="367">
        <f t="shared" si="326"/>
        <v>1867.5621944912541</v>
      </c>
      <c r="O404" s="367">
        <f t="shared" si="326"/>
        <v>1917.6128613036199</v>
      </c>
      <c r="P404" s="367">
        <f t="shared" si="326"/>
        <v>1969.0048859865565</v>
      </c>
      <c r="Q404" s="367">
        <f t="shared" si="326"/>
        <v>2021.7742169309963</v>
      </c>
    </row>
    <row r="405" spans="1:17" ht="14.4">
      <c r="A405" s="370"/>
      <c r="B405" s="379"/>
      <c r="C405" s="379"/>
      <c r="D405" s="379"/>
      <c r="E405" s="379"/>
      <c r="F405" s="379"/>
      <c r="G405" s="379"/>
      <c r="H405" s="379"/>
      <c r="I405" s="379"/>
      <c r="J405" s="379"/>
      <c r="K405" s="379"/>
      <c r="L405" s="379"/>
      <c r="M405" s="379"/>
      <c r="N405" s="379"/>
      <c r="O405" s="379"/>
      <c r="P405" s="379"/>
      <c r="Q405" s="379"/>
    </row>
    <row r="406" spans="1:17" ht="14.4">
      <c r="A406" s="364" t="s">
        <v>302</v>
      </c>
      <c r="B406" s="378">
        <f>+SUM(C406:Q406)</f>
        <v>1602348.4654444971</v>
      </c>
      <c r="C406" s="367">
        <f>+C391-C404</f>
        <v>86219.746506087191</v>
      </c>
      <c r="D406" s="367">
        <f>+D391-D404</f>
        <v>88648.047189292571</v>
      </c>
      <c r="E406" s="367">
        <f t="shared" ref="E406:Q406" si="327">+E391-E404</f>
        <v>91141.426330807866</v>
      </c>
      <c r="F406" s="367">
        <f t="shared" si="327"/>
        <v>93701.628033315763</v>
      </c>
      <c r="G406" s="367">
        <f t="shared" si="327"/>
        <v>96330.443141450873</v>
      </c>
      <c r="H406" s="367">
        <f t="shared" si="327"/>
        <v>99029.71049448401</v>
      </c>
      <c r="I406" s="367">
        <f t="shared" si="327"/>
        <v>101801.31821257841</v>
      </c>
      <c r="J406" s="367">
        <f t="shared" si="327"/>
        <v>104647.20501751774</v>
      </c>
      <c r="K406" s="367">
        <f t="shared" si="327"/>
        <v>107569.36158882947</v>
      </c>
      <c r="L406" s="367">
        <f t="shared" si="327"/>
        <v>110569.83195625234</v>
      </c>
      <c r="M406" s="367">
        <f t="shared" si="327"/>
        <v>118039.20287139715</v>
      </c>
      <c r="N406" s="367">
        <f t="shared" si="327"/>
        <v>121202.65350835056</v>
      </c>
      <c r="O406" s="367">
        <f t="shared" si="327"/>
        <v>124450.88462237435</v>
      </c>
      <c r="P406" s="367">
        <f t="shared" si="327"/>
        <v>127786.16833025398</v>
      </c>
      <c r="Q406" s="367">
        <f t="shared" si="327"/>
        <v>131210.83764150477</v>
      </c>
    </row>
    <row r="407" spans="1:17" ht="14.4">
      <c r="A407" s="364"/>
    </row>
    <row r="408" spans="1:17" ht="14.4">
      <c r="A408" s="364" t="s">
        <v>222</v>
      </c>
      <c r="B408" s="380">
        <f>+'WHRS_Project Scenario'!C39</f>
        <v>0.7</v>
      </c>
      <c r="C408" s="367">
        <f>IF((+$B$408*C406)&lt;0,"0",(+$B$408*C406))</f>
        <v>60353.822554261031</v>
      </c>
      <c r="D408" s="367">
        <f t="shared" ref="D408:Q408" si="328">IF((+$B$370*D406)&lt;0,"0",(+$B$370*D406))</f>
        <v>62053.633032504797</v>
      </c>
      <c r="E408" s="367">
        <f t="shared" si="328"/>
        <v>63798.998431565502</v>
      </c>
      <c r="F408" s="367">
        <f t="shared" si="328"/>
        <v>65591.139623321025</v>
      </c>
      <c r="G408" s="367">
        <f t="shared" si="328"/>
        <v>67431.310199015614</v>
      </c>
      <c r="H408" s="367">
        <f t="shared" si="328"/>
        <v>69320.797346138803</v>
      </c>
      <c r="I408" s="367">
        <f t="shared" si="328"/>
        <v>71260.922748804878</v>
      </c>
      <c r="J408" s="367">
        <f t="shared" si="328"/>
        <v>73253.043512262419</v>
      </c>
      <c r="K408" s="367">
        <f t="shared" si="328"/>
        <v>75298.553112180627</v>
      </c>
      <c r="L408" s="367">
        <f t="shared" si="328"/>
        <v>77398.882369376632</v>
      </c>
      <c r="M408" s="367">
        <f t="shared" si="328"/>
        <v>82627.442009977996</v>
      </c>
      <c r="N408" s="367">
        <f t="shared" si="328"/>
        <v>84841.857455845384</v>
      </c>
      <c r="O408" s="367">
        <f t="shared" si="328"/>
        <v>87115.61923566203</v>
      </c>
      <c r="P408" s="367">
        <f t="shared" si="328"/>
        <v>89450.317831177774</v>
      </c>
      <c r="Q408" s="367">
        <f t="shared" si="328"/>
        <v>91847.586349053337</v>
      </c>
    </row>
    <row r="409" spans="1:17" ht="14.4">
      <c r="A409" s="364" t="s">
        <v>303</v>
      </c>
      <c r="B409" s="378">
        <f>+SUM(C409:Q409)</f>
        <v>1121643.9258111478</v>
      </c>
      <c r="C409" s="367">
        <f>SUM(C408:C408)</f>
        <v>60353.822554261031</v>
      </c>
      <c r="D409" s="367">
        <f t="shared" ref="D409" si="329">SUM(D408:D408)</f>
        <v>62053.633032504797</v>
      </c>
      <c r="E409" s="367">
        <f t="shared" ref="E409" si="330">SUM(E408:E408)</f>
        <v>63798.998431565502</v>
      </c>
      <c r="F409" s="367">
        <f t="shared" ref="F409" si="331">SUM(F408:F408)</f>
        <v>65591.139623321025</v>
      </c>
      <c r="G409" s="367">
        <f t="shared" ref="G409" si="332">SUM(G408:G408)</f>
        <v>67431.310199015614</v>
      </c>
      <c r="H409" s="367">
        <f t="shared" ref="H409" si="333">SUM(H408:H408)</f>
        <v>69320.797346138803</v>
      </c>
      <c r="I409" s="367">
        <f t="shared" ref="I409" si="334">SUM(I408:I408)</f>
        <v>71260.922748804878</v>
      </c>
      <c r="J409" s="367">
        <f t="shared" ref="J409" si="335">SUM(J408:J408)</f>
        <v>73253.043512262419</v>
      </c>
      <c r="K409" s="367">
        <f t="shared" ref="K409" si="336">SUM(K408:K408)</f>
        <v>75298.553112180627</v>
      </c>
      <c r="L409" s="367">
        <f t="shared" ref="L409" si="337">SUM(L408:L408)</f>
        <v>77398.882369376632</v>
      </c>
      <c r="M409" s="367">
        <f t="shared" ref="M409" si="338">SUM(M408:M408)</f>
        <v>82627.442009977996</v>
      </c>
      <c r="N409" s="367">
        <f t="shared" ref="N409" si="339">SUM(N408:N408)</f>
        <v>84841.857455845384</v>
      </c>
      <c r="O409" s="367">
        <f t="shared" ref="O409" si="340">SUM(O408:O408)</f>
        <v>87115.61923566203</v>
      </c>
      <c r="P409" s="367">
        <f t="shared" ref="P409" si="341">SUM(P408:P408)</f>
        <v>89450.317831177774</v>
      </c>
      <c r="Q409" s="367">
        <f t="shared" ref="Q409" si="342">SUM(Q408:Q408)</f>
        <v>91847.586349053337</v>
      </c>
    </row>
    <row r="410" spans="1:17" ht="14.4">
      <c r="A410" s="369"/>
    </row>
    <row r="411" spans="1:17" ht="14.4">
      <c r="A411" s="364" t="s">
        <v>304</v>
      </c>
      <c r="B411" s="378">
        <f t="shared" ref="B411:B413" si="343">+SUM(C411:Q411)</f>
        <v>480704.53963334917</v>
      </c>
      <c r="C411" s="367">
        <f>C406-C409</f>
        <v>25865.92395182616</v>
      </c>
      <c r="D411" s="367">
        <f t="shared" ref="D411:Q411" si="344">D406-D409</f>
        <v>26594.414156787774</v>
      </c>
      <c r="E411" s="367">
        <f t="shared" si="344"/>
        <v>27342.427899242364</v>
      </c>
      <c r="F411" s="367">
        <f t="shared" si="344"/>
        <v>28110.488409994738</v>
      </c>
      <c r="G411" s="367">
        <f t="shared" si="344"/>
        <v>28899.132942435259</v>
      </c>
      <c r="H411" s="367">
        <f t="shared" si="344"/>
        <v>29708.913148345207</v>
      </c>
      <c r="I411" s="367">
        <f t="shared" si="344"/>
        <v>30540.39546377353</v>
      </c>
      <c r="J411" s="367">
        <f t="shared" si="344"/>
        <v>31394.161505255324</v>
      </c>
      <c r="K411" s="367">
        <f t="shared" si="344"/>
        <v>32270.808476648846</v>
      </c>
      <c r="L411" s="367">
        <f t="shared" si="344"/>
        <v>33170.949586875708</v>
      </c>
      <c r="M411" s="367">
        <f t="shared" si="344"/>
        <v>35411.760861419156</v>
      </c>
      <c r="N411" s="367">
        <f t="shared" si="344"/>
        <v>36360.796052505175</v>
      </c>
      <c r="O411" s="367">
        <f t="shared" si="344"/>
        <v>37335.265386712315</v>
      </c>
      <c r="P411" s="367">
        <f t="shared" si="344"/>
        <v>38335.850499076201</v>
      </c>
      <c r="Q411" s="367">
        <f t="shared" si="344"/>
        <v>39363.25129245143</v>
      </c>
    </row>
    <row r="412" spans="1:17" ht="14.4">
      <c r="A412" s="364" t="s">
        <v>305</v>
      </c>
      <c r="B412" s="378">
        <f t="shared" si="343"/>
        <v>43884.879418749995</v>
      </c>
      <c r="C412" s="367">
        <f>+C401</f>
        <v>4388.4879418749997</v>
      </c>
      <c r="D412" s="367">
        <f t="shared" ref="D412:Q412" si="345">+D401</f>
        <v>4388.4879418749997</v>
      </c>
      <c r="E412" s="367">
        <f t="shared" si="345"/>
        <v>4388.4879418749997</v>
      </c>
      <c r="F412" s="367">
        <f t="shared" si="345"/>
        <v>4388.4879418749997</v>
      </c>
      <c r="G412" s="367">
        <f t="shared" si="345"/>
        <v>4388.4879418749997</v>
      </c>
      <c r="H412" s="367">
        <f t="shared" si="345"/>
        <v>4388.4879418749997</v>
      </c>
      <c r="I412" s="367">
        <f t="shared" si="345"/>
        <v>4388.4879418749997</v>
      </c>
      <c r="J412" s="367">
        <f t="shared" si="345"/>
        <v>4388.4879418749997</v>
      </c>
      <c r="K412" s="367">
        <f t="shared" si="345"/>
        <v>4388.4879418749997</v>
      </c>
      <c r="L412" s="367">
        <f t="shared" si="345"/>
        <v>4388.4879418749997</v>
      </c>
      <c r="M412" s="367">
        <f t="shared" si="345"/>
        <v>0</v>
      </c>
      <c r="N412" s="367">
        <f t="shared" si="345"/>
        <v>0</v>
      </c>
      <c r="O412" s="367">
        <f t="shared" si="345"/>
        <v>0</v>
      </c>
      <c r="P412" s="367">
        <f t="shared" si="345"/>
        <v>0</v>
      </c>
      <c r="Q412" s="367">
        <f t="shared" si="345"/>
        <v>0</v>
      </c>
    </row>
    <row r="413" spans="1:17" ht="14.4">
      <c r="A413" s="364" t="s">
        <v>306</v>
      </c>
      <c r="B413" s="378">
        <f t="shared" si="343"/>
        <v>0</v>
      </c>
      <c r="C413" s="367">
        <f>+'WHRS_Project Scenario'!D386</f>
        <v>0</v>
      </c>
      <c r="D413" s="367">
        <f>+'WHRS_Project Scenario'!E386</f>
        <v>0</v>
      </c>
      <c r="E413" s="367">
        <f>+'WHRS_Project Scenario'!F386</f>
        <v>0</v>
      </c>
      <c r="F413" s="367">
        <f>+'WHRS_Project Scenario'!G386</f>
        <v>0</v>
      </c>
      <c r="G413" s="367">
        <f>+'WHRS_Project Scenario'!H386</f>
        <v>0</v>
      </c>
      <c r="H413" s="367">
        <f>+'WHRS_Project Scenario'!I386</f>
        <v>0</v>
      </c>
      <c r="I413" s="367">
        <f>+'WHRS_Project Scenario'!J386</f>
        <v>0</v>
      </c>
      <c r="J413" s="367">
        <f>+'WHRS_Project Scenario'!K386</f>
        <v>0</v>
      </c>
      <c r="K413" s="367">
        <f>+'WHRS_Project Scenario'!L386</f>
        <v>0</v>
      </c>
      <c r="L413" s="367">
        <f>+'WHRS_Project Scenario'!M386</f>
        <v>0</v>
      </c>
      <c r="M413" s="367">
        <f>+'WHRS_Project Scenario'!N386</f>
        <v>0</v>
      </c>
      <c r="N413" s="367">
        <f>+'WHRS_Project Scenario'!O386</f>
        <v>0</v>
      </c>
      <c r="O413" s="367">
        <f>+'WHRS_Project Scenario'!P386</f>
        <v>0</v>
      </c>
      <c r="P413" s="367">
        <f>+'WHRS_Project Scenario'!Q386</f>
        <v>0</v>
      </c>
      <c r="Q413" s="367">
        <f>+'WHRS_Project Scenario'!R386</f>
        <v>0</v>
      </c>
    </row>
    <row r="414" spans="1:17" ht="14.4">
      <c r="A414" s="364"/>
    </row>
    <row r="415" spans="1:17" ht="14.4">
      <c r="A415" s="364" t="s">
        <v>110</v>
      </c>
      <c r="B415" s="378">
        <f>-'WHRS_Project Scenario'!C8</f>
        <v>-43884.879418749995</v>
      </c>
      <c r="C415" s="367">
        <f>C411+C412+C413</f>
        <v>30254.411893701159</v>
      </c>
      <c r="D415" s="367">
        <f t="shared" ref="D415:Q415" si="346">D411+D412+D413</f>
        <v>30982.902098662773</v>
      </c>
      <c r="E415" s="367">
        <f t="shared" si="346"/>
        <v>31730.915841117363</v>
      </c>
      <c r="F415" s="367">
        <f t="shared" si="346"/>
        <v>32498.976351869736</v>
      </c>
      <c r="G415" s="367">
        <f t="shared" si="346"/>
        <v>33287.620884310258</v>
      </c>
      <c r="H415" s="367">
        <f t="shared" si="346"/>
        <v>34097.401090220206</v>
      </c>
      <c r="I415" s="367">
        <f t="shared" si="346"/>
        <v>34928.883405648528</v>
      </c>
      <c r="J415" s="367">
        <f t="shared" si="346"/>
        <v>35782.649447130323</v>
      </c>
      <c r="K415" s="367">
        <f t="shared" si="346"/>
        <v>36659.296418523845</v>
      </c>
      <c r="L415" s="367">
        <f t="shared" si="346"/>
        <v>37559.437528750706</v>
      </c>
      <c r="M415" s="367">
        <f t="shared" si="346"/>
        <v>35411.760861419156</v>
      </c>
      <c r="N415" s="367">
        <f t="shared" si="346"/>
        <v>36360.796052505175</v>
      </c>
      <c r="O415" s="367">
        <f t="shared" si="346"/>
        <v>37335.265386712315</v>
      </c>
      <c r="P415" s="367">
        <f t="shared" si="346"/>
        <v>38335.850499076201</v>
      </c>
      <c r="Q415" s="367">
        <f t="shared" si="346"/>
        <v>39363.25129245143</v>
      </c>
    </row>
    <row r="416" spans="1:17" ht="15.6">
      <c r="A416" s="364" t="s">
        <v>51</v>
      </c>
      <c r="B416" s="132">
        <f>IRR(B415:Q415)</f>
        <v>0.71297600988335852</v>
      </c>
    </row>
    <row r="417" spans="1:17" ht="15.6">
      <c r="A417" s="364" t="s">
        <v>267</v>
      </c>
      <c r="B417" s="303">
        <f>NPV('Initial Data'!C21/100,B415:Q415)</f>
        <v>165981.71046993867</v>
      </c>
    </row>
    <row r="419" spans="1:17" ht="14.4">
      <c r="A419" s="508" t="s">
        <v>315</v>
      </c>
      <c r="B419" s="509"/>
      <c r="C419" s="509"/>
      <c r="D419" s="509"/>
      <c r="E419" s="509"/>
      <c r="F419" s="509"/>
      <c r="G419" s="509"/>
      <c r="H419" s="509"/>
      <c r="I419" s="509"/>
      <c r="J419" s="509"/>
      <c r="K419" s="509"/>
      <c r="L419" s="509"/>
      <c r="M419" s="509"/>
      <c r="N419" s="509"/>
      <c r="O419" s="509"/>
      <c r="P419" s="509"/>
      <c r="Q419" s="509"/>
    </row>
    <row r="420" spans="1:17" ht="14.4">
      <c r="A420" s="371" t="s">
        <v>318</v>
      </c>
      <c r="B420" s="372"/>
      <c r="C420" s="372"/>
      <c r="D420" s="372"/>
      <c r="E420" s="372"/>
      <c r="F420" s="372"/>
      <c r="G420" s="372"/>
      <c r="H420" s="372"/>
      <c r="I420" s="372"/>
      <c r="J420" s="372"/>
      <c r="K420" s="372"/>
      <c r="L420" s="372"/>
      <c r="M420" s="372"/>
      <c r="N420" s="372"/>
      <c r="O420" s="372"/>
      <c r="P420" s="372"/>
      <c r="Q420" s="372"/>
    </row>
    <row r="421" spans="1:17" ht="27">
      <c r="A421" s="376"/>
      <c r="B421" s="304" t="s">
        <v>35</v>
      </c>
      <c r="C421" s="352" t="s">
        <v>407</v>
      </c>
      <c r="D421" s="352" t="s">
        <v>408</v>
      </c>
      <c r="E421" s="352" t="s">
        <v>409</v>
      </c>
      <c r="F421" s="352" t="s">
        <v>410</v>
      </c>
      <c r="G421" s="352" t="s">
        <v>411</v>
      </c>
      <c r="H421" s="352" t="s">
        <v>412</v>
      </c>
      <c r="I421" s="352" t="s">
        <v>413</v>
      </c>
      <c r="J421" s="352" t="s">
        <v>414</v>
      </c>
      <c r="K421" s="352" t="s">
        <v>415</v>
      </c>
      <c r="L421" s="352" t="s">
        <v>416</v>
      </c>
      <c r="M421" s="352" t="s">
        <v>417</v>
      </c>
      <c r="N421" s="352" t="s">
        <v>418</v>
      </c>
      <c r="O421" s="352" t="s">
        <v>419</v>
      </c>
      <c r="P421" s="352" t="s">
        <v>420</v>
      </c>
      <c r="Q421" s="352" t="s">
        <v>421</v>
      </c>
    </row>
    <row r="422" spans="1:17" ht="14.4">
      <c r="A422" s="363" t="s">
        <v>290</v>
      </c>
      <c r="B422" s="365"/>
      <c r="C422" s="377">
        <f>+'WHRS_Project Scenario'!D15</f>
        <v>215214.92335078961</v>
      </c>
      <c r="D422" s="377">
        <f>+'WHRS_Project Scenario'!E15</f>
        <v>215214.92335078961</v>
      </c>
      <c r="E422" s="377">
        <f>+'WHRS_Project Scenario'!F15</f>
        <v>215214.92335078961</v>
      </c>
      <c r="F422" s="377">
        <f>+'WHRS_Project Scenario'!G15</f>
        <v>215214.92335078961</v>
      </c>
      <c r="G422" s="377">
        <f>+'WHRS_Project Scenario'!H15</f>
        <v>215214.92335078961</v>
      </c>
      <c r="H422" s="377">
        <f>+'WHRS_Project Scenario'!I15</f>
        <v>215214.92335078961</v>
      </c>
      <c r="I422" s="377">
        <f>+'WHRS_Project Scenario'!J15</f>
        <v>215214.92335078961</v>
      </c>
      <c r="J422" s="377">
        <f>+'WHRS_Project Scenario'!K15</f>
        <v>215214.92335078961</v>
      </c>
      <c r="K422" s="377">
        <f>+'WHRS_Project Scenario'!L15</f>
        <v>215214.92335078961</v>
      </c>
      <c r="L422" s="377">
        <f>+'WHRS_Project Scenario'!M15</f>
        <v>215214.92335078961</v>
      </c>
      <c r="M422" s="377">
        <f>+'WHRS_Project Scenario'!N15</f>
        <v>215214.92335078961</v>
      </c>
      <c r="N422" s="377">
        <f>+'WHRS_Project Scenario'!O15</f>
        <v>215214.92335078961</v>
      </c>
      <c r="O422" s="377">
        <f>+'WHRS_Project Scenario'!P15</f>
        <v>215214.92335078961</v>
      </c>
      <c r="P422" s="377">
        <f>+'WHRS_Project Scenario'!Q15</f>
        <v>215214.92335078961</v>
      </c>
      <c r="Q422" s="377">
        <f>+'WHRS_Project Scenario'!R15</f>
        <v>215214.92335078961</v>
      </c>
    </row>
    <row r="423" spans="1:17" ht="14.4">
      <c r="A423" s="364" t="s">
        <v>291</v>
      </c>
      <c r="B423" s="365"/>
      <c r="C423" s="377">
        <f>+'WHRS_Project Scenario'!D16</f>
        <v>70</v>
      </c>
      <c r="D423" s="377">
        <f>+'WHRS_Project Scenario'!E16</f>
        <v>70</v>
      </c>
      <c r="E423" s="377">
        <f>+'WHRS_Project Scenario'!F16</f>
        <v>70</v>
      </c>
      <c r="F423" s="377">
        <f>+'WHRS_Project Scenario'!G16</f>
        <v>70</v>
      </c>
      <c r="G423" s="377">
        <f>+'WHRS_Project Scenario'!H16</f>
        <v>70</v>
      </c>
      <c r="H423" s="377">
        <f>+'WHRS_Project Scenario'!I16</f>
        <v>70</v>
      </c>
      <c r="I423" s="377">
        <f>+'WHRS_Project Scenario'!J16</f>
        <v>70</v>
      </c>
      <c r="J423" s="377">
        <f>+'WHRS_Project Scenario'!K16</f>
        <v>70</v>
      </c>
      <c r="K423" s="377">
        <f>+'WHRS_Project Scenario'!L16</f>
        <v>70</v>
      </c>
      <c r="L423" s="377">
        <f>+'WHRS_Project Scenario'!M16</f>
        <v>70</v>
      </c>
      <c r="M423" s="377">
        <f>+'WHRS_Project Scenario'!N16</f>
        <v>70</v>
      </c>
      <c r="N423" s="377">
        <f>+'WHRS_Project Scenario'!O16</f>
        <v>70</v>
      </c>
      <c r="O423" s="377">
        <f>+'WHRS_Project Scenario'!P16</f>
        <v>70</v>
      </c>
      <c r="P423" s="377">
        <f>+'WHRS_Project Scenario'!Q16</f>
        <v>70</v>
      </c>
      <c r="Q423" s="377">
        <f>+'WHRS_Project Scenario'!R16</f>
        <v>70</v>
      </c>
    </row>
    <row r="424" spans="1:17" ht="14.4">
      <c r="A424" s="366" t="s">
        <v>292</v>
      </c>
      <c r="B424" s="365"/>
      <c r="C424" s="383">
        <f>'WHRS_Project Scenario'!D17*(1+$E$6)</f>
        <v>6.7500000000000009</v>
      </c>
      <c r="D424" s="383">
        <f>'WHRS_Project Scenario'!E17*(1+$E$6)</f>
        <v>6.9309000000000003</v>
      </c>
      <c r="E424" s="383">
        <f>'WHRS_Project Scenario'!F17*(1+$E$6)</f>
        <v>7.1166481199999989</v>
      </c>
      <c r="F424" s="383">
        <f>'WHRS_Project Scenario'!G17*(1+$E$6)</f>
        <v>7.307374289615999</v>
      </c>
      <c r="G424" s="383">
        <f>'WHRS_Project Scenario'!H17*(1+$E$6)</f>
        <v>7.5032119205777068</v>
      </c>
      <c r="H424" s="383">
        <f>'WHRS_Project Scenario'!I17*(1+$E$6)</f>
        <v>7.7042980000491896</v>
      </c>
      <c r="I424" s="383">
        <f>'WHRS_Project Scenario'!J17*(1+$E$6)</f>
        <v>7.9107731864505073</v>
      </c>
      <c r="J424" s="383">
        <f>'WHRS_Project Scenario'!K17*(1+$E$6)</f>
        <v>8.1227819078473793</v>
      </c>
      <c r="K424" s="383">
        <f>'WHRS_Project Scenario'!L17*(1+$E$6)</f>
        <v>8.3404724629776901</v>
      </c>
      <c r="L424" s="383">
        <f>'WHRS_Project Scenario'!M17*(1+$E$6)</f>
        <v>8.5639971249854909</v>
      </c>
      <c r="M424" s="383">
        <f>'WHRS_Project Scenario'!N17*(1+$E$6)</f>
        <v>8.7935122479351016</v>
      </c>
      <c r="N424" s="383">
        <f>'WHRS_Project Scenario'!O17*(1+$E$6)</f>
        <v>9.029178376179761</v>
      </c>
      <c r="O424" s="383">
        <f>'WHRS_Project Scenario'!P17*(1+$E$6)</f>
        <v>9.2711603566613778</v>
      </c>
      <c r="P424" s="383">
        <f>'WHRS_Project Scenario'!Q17*(1+$E$6)</f>
        <v>9.5196274542199024</v>
      </c>
      <c r="Q424" s="383">
        <f>'WHRS_Project Scenario'!R17*(1+$E$6)</f>
        <v>9.7747534699929943</v>
      </c>
    </row>
    <row r="425" spans="1:17" ht="14.4">
      <c r="A425" s="366" t="s">
        <v>293</v>
      </c>
      <c r="B425" s="365"/>
      <c r="C425" s="381">
        <f>+C423*C424</f>
        <v>472.50000000000006</v>
      </c>
      <c r="D425" s="381">
        <f t="shared" ref="D425" si="347">+D423*D424</f>
        <v>485.16300000000001</v>
      </c>
      <c r="E425" s="381">
        <f t="shared" ref="E425" si="348">+E423*E424</f>
        <v>498.16536839999992</v>
      </c>
      <c r="F425" s="381">
        <f t="shared" ref="F425" si="349">+F423*F424</f>
        <v>511.51620027311992</v>
      </c>
      <c r="G425" s="381">
        <f t="shared" ref="G425" si="350">+G423*G424</f>
        <v>525.22483444043951</v>
      </c>
      <c r="H425" s="381">
        <f t="shared" ref="H425" si="351">+H423*H424</f>
        <v>539.30086000344329</v>
      </c>
      <c r="I425" s="381">
        <f t="shared" ref="I425" si="352">+I423*I424</f>
        <v>553.75412305153554</v>
      </c>
      <c r="J425" s="381">
        <f t="shared" ref="J425" si="353">+J423*J424</f>
        <v>568.59473354931652</v>
      </c>
      <c r="K425" s="381">
        <f t="shared" ref="K425" si="354">+K423*K424</f>
        <v>583.83307240843828</v>
      </c>
      <c r="L425" s="381">
        <f t="shared" ref="L425" si="355">+L423*L424</f>
        <v>599.47979874898442</v>
      </c>
      <c r="M425" s="381">
        <f t="shared" ref="M425" si="356">+M423*M424</f>
        <v>615.54585735545709</v>
      </c>
      <c r="N425" s="381">
        <f t="shared" ref="N425" si="357">+N423*N424</f>
        <v>632.04248633258328</v>
      </c>
      <c r="O425" s="381">
        <f t="shared" ref="O425" si="358">+O423*O424</f>
        <v>648.98122496629639</v>
      </c>
      <c r="P425" s="381">
        <f t="shared" ref="P425" si="359">+P423*P424</f>
        <v>666.37392179539313</v>
      </c>
      <c r="Q425" s="381">
        <f t="shared" ref="Q425" si="360">+Q423*Q424</f>
        <v>684.23274289950962</v>
      </c>
    </row>
    <row r="426" spans="1:17" ht="14.4">
      <c r="A426" s="370"/>
      <c r="B426" s="373"/>
      <c r="C426" s="373"/>
      <c r="D426" s="373"/>
      <c r="E426" s="373"/>
      <c r="F426" s="373"/>
      <c r="G426" s="373"/>
      <c r="H426" s="373"/>
      <c r="I426" s="373"/>
      <c r="J426" s="373"/>
      <c r="K426" s="373"/>
      <c r="L426" s="373"/>
      <c r="M426" s="373"/>
      <c r="N426" s="373"/>
      <c r="O426" s="373"/>
      <c r="P426" s="373"/>
      <c r="Q426" s="373"/>
    </row>
    <row r="427" spans="1:17" ht="14.4">
      <c r="A427" s="366" t="s">
        <v>294</v>
      </c>
      <c r="B427" s="381">
        <f>+SUM(C427:Q427)</f>
        <v>1847557.3224653725</v>
      </c>
      <c r="C427" s="381">
        <f>C422*C425/1000*'Initial Data'!$C$34/'Initial Data'!$C$33</f>
        <v>101689.05128324812</v>
      </c>
      <c r="D427" s="381">
        <f>D422*D425/1000*'Initial Data'!$C$34/'Initial Data'!$C$33</f>
        <v>104414.31785763915</v>
      </c>
      <c r="E427" s="381">
        <f>E422*E425/1000*'Initial Data'!$C$34/'Initial Data'!$C$33</f>
        <v>107212.62157622386</v>
      </c>
      <c r="F427" s="381">
        <f>F422*F425/1000*'Initial Data'!$C$34/'Initial Data'!$C$33</f>
        <v>110085.91983446665</v>
      </c>
      <c r="G427" s="381">
        <f>G422*G425/1000*'Initial Data'!$C$34/'Initial Data'!$C$33</f>
        <v>113036.22248603035</v>
      </c>
      <c r="H427" s="381">
        <f>H422*H425/1000*'Initial Data'!$C$34/'Initial Data'!$C$33</f>
        <v>116065.59324865598</v>
      </c>
      <c r="I427" s="381">
        <f>I422*I425/1000*'Initial Data'!$C$34/'Initial Data'!$C$33</f>
        <v>119176.15114771994</v>
      </c>
      <c r="J427" s="381">
        <f>J422*J425/1000*'Initial Data'!$C$34/'Initial Data'!$C$33</f>
        <v>122370.0719984788</v>
      </c>
      <c r="K427" s="381">
        <f>K422*K425/1000*'Initial Data'!$C$34/'Initial Data'!$C$33</f>
        <v>125649.58992803804</v>
      </c>
      <c r="L427" s="381">
        <f>L422*L425/1000*'Initial Data'!$C$34/'Initial Data'!$C$33</f>
        <v>129016.99893810948</v>
      </c>
      <c r="M427" s="381">
        <f>M422*M425/1000*'Initial Data'!$C$34/'Initial Data'!$C$33</f>
        <v>132474.65450965078</v>
      </c>
      <c r="N427" s="381">
        <f>N422*N425/1000*'Initial Data'!$C$34/'Initial Data'!$C$33</f>
        <v>136024.97525050942</v>
      </c>
      <c r="O427" s="381">
        <f>O422*O425/1000*'Initial Data'!$C$34/'Initial Data'!$C$33</f>
        <v>139670.44458722303</v>
      </c>
      <c r="P427" s="381">
        <f>P422*P425/1000*'Initial Data'!$C$34/'Initial Data'!$C$33</f>
        <v>143413.6125021606</v>
      </c>
      <c r="Q427" s="381">
        <f>Q422*Q425/1000*'Initial Data'!$C$34/'Initial Data'!$C$33</f>
        <v>147257.09731721852</v>
      </c>
    </row>
    <row r="428" spans="1:17" ht="14.4">
      <c r="A428" s="370"/>
      <c r="B428" s="373"/>
      <c r="C428" s="373"/>
      <c r="D428" s="373"/>
      <c r="E428" s="373"/>
      <c r="F428" s="373"/>
      <c r="G428" s="373"/>
      <c r="H428" s="373"/>
      <c r="I428" s="373"/>
      <c r="J428" s="373"/>
      <c r="K428" s="373"/>
      <c r="L428" s="373"/>
      <c r="M428" s="373"/>
      <c r="N428" s="373"/>
      <c r="O428" s="373"/>
      <c r="P428" s="373"/>
      <c r="Q428" s="373"/>
    </row>
    <row r="429" spans="1:17" ht="14.4">
      <c r="A429" s="366" t="s">
        <v>295</v>
      </c>
      <c r="B429" s="381">
        <f>+SUM(C429:Q429)</f>
        <v>1847557.3224653725</v>
      </c>
      <c r="C429" s="381">
        <f>+C427</f>
        <v>101689.05128324812</v>
      </c>
      <c r="D429" s="381">
        <f t="shared" ref="D429:Q429" si="361">+D427</f>
        <v>104414.31785763915</v>
      </c>
      <c r="E429" s="381">
        <f t="shared" si="361"/>
        <v>107212.62157622386</v>
      </c>
      <c r="F429" s="381">
        <f t="shared" si="361"/>
        <v>110085.91983446665</v>
      </c>
      <c r="G429" s="381">
        <f t="shared" si="361"/>
        <v>113036.22248603035</v>
      </c>
      <c r="H429" s="381">
        <f t="shared" si="361"/>
        <v>116065.59324865598</v>
      </c>
      <c r="I429" s="381">
        <f t="shared" si="361"/>
        <v>119176.15114771994</v>
      </c>
      <c r="J429" s="381">
        <f t="shared" si="361"/>
        <v>122370.0719984788</v>
      </c>
      <c r="K429" s="381">
        <f t="shared" si="361"/>
        <v>125649.58992803804</v>
      </c>
      <c r="L429" s="381">
        <f t="shared" si="361"/>
        <v>129016.99893810948</v>
      </c>
      <c r="M429" s="381">
        <f t="shared" si="361"/>
        <v>132474.65450965078</v>
      </c>
      <c r="N429" s="381">
        <f t="shared" si="361"/>
        <v>136024.97525050942</v>
      </c>
      <c r="O429" s="381">
        <f t="shared" si="361"/>
        <v>139670.44458722303</v>
      </c>
      <c r="P429" s="381">
        <f t="shared" si="361"/>
        <v>143413.6125021606</v>
      </c>
      <c r="Q429" s="381">
        <f t="shared" si="361"/>
        <v>147257.09731721852</v>
      </c>
    </row>
    <row r="430" spans="1:17" ht="14.4">
      <c r="A430" s="370"/>
      <c r="B430" s="374"/>
      <c r="C430" s="374"/>
      <c r="D430" s="374"/>
      <c r="E430" s="374"/>
      <c r="F430" s="374"/>
      <c r="G430" s="374"/>
      <c r="H430" s="374"/>
      <c r="I430" s="374"/>
      <c r="J430" s="374"/>
      <c r="K430" s="374"/>
      <c r="L430" s="374"/>
      <c r="M430" s="374"/>
      <c r="N430" s="374"/>
      <c r="O430" s="374"/>
      <c r="P430" s="374"/>
      <c r="Q430" s="374"/>
    </row>
    <row r="431" spans="1:17" ht="14.4">
      <c r="A431" s="366" t="s">
        <v>68</v>
      </c>
      <c r="B431" s="368"/>
      <c r="C431" s="368"/>
      <c r="D431" s="368"/>
      <c r="E431" s="368"/>
      <c r="F431" s="368"/>
      <c r="G431" s="368"/>
      <c r="H431" s="368"/>
      <c r="I431" s="368"/>
      <c r="J431" s="368"/>
      <c r="K431" s="368"/>
      <c r="L431" s="368"/>
      <c r="M431" s="368"/>
      <c r="N431" s="368"/>
      <c r="O431" s="368"/>
      <c r="P431" s="368"/>
      <c r="Q431" s="368"/>
    </row>
    <row r="432" spans="1:17" ht="14.4">
      <c r="A432" s="366" t="s">
        <v>296</v>
      </c>
      <c r="B432" s="378">
        <f>+SUM(C432:Q432)</f>
        <v>11529.370291765843</v>
      </c>
      <c r="C432" s="367">
        <f>SUM('Initial Data'!$C$77:$C$80)/'Initial Data'!$C$14/1000</f>
        <v>634.57339732142862</v>
      </c>
      <c r="D432" s="367">
        <f>+C432*(1+'Initial Data'!$C$20/100)</f>
        <v>651.57996436964288</v>
      </c>
      <c r="E432" s="367">
        <f>+D432*(1+'Initial Data'!$C$20/100)</f>
        <v>669.0423074147493</v>
      </c>
      <c r="F432" s="367">
        <f>+E432*(1+'Initial Data'!$C$20/100)</f>
        <v>686.97264125346453</v>
      </c>
      <c r="G432" s="367">
        <f>+F432*(1+'Initial Data'!$C$20/100)</f>
        <v>705.38350803905735</v>
      </c>
      <c r="H432" s="367">
        <f>+G432*(1+'Initial Data'!$C$20/100)</f>
        <v>724.28778605450407</v>
      </c>
      <c r="I432" s="367">
        <f>+H432*(1+'Initial Data'!$C$20/100)</f>
        <v>743.6986987207647</v>
      </c>
      <c r="J432" s="367">
        <f>+I432*(1+'Initial Data'!$C$20/100)</f>
        <v>763.62982384648114</v>
      </c>
      <c r="K432" s="367">
        <f>+J432*(1+'Initial Data'!$C$20/100)</f>
        <v>784.09510312556677</v>
      </c>
      <c r="L432" s="367">
        <f>+K432*(1+'Initial Data'!$C$20/100)</f>
        <v>805.10885188933196</v>
      </c>
      <c r="M432" s="367">
        <f>+L432*(1+'Initial Data'!$C$20/100)</f>
        <v>826.68576911996604</v>
      </c>
      <c r="N432" s="367">
        <f>+M432*(1+'Initial Data'!$C$20/100)</f>
        <v>848.8409477323811</v>
      </c>
      <c r="O432" s="367">
        <f>+N432*(1+'Initial Data'!$C$20/100)</f>
        <v>871.58988513160887</v>
      </c>
      <c r="P432" s="367">
        <f>+O432*(1+'Initial Data'!$C$20/100)</f>
        <v>894.94849405313596</v>
      </c>
      <c r="Q432" s="367">
        <f>+P432*(1+'Initial Data'!$C$20/100)</f>
        <v>918.93311369375999</v>
      </c>
    </row>
    <row r="433" spans="1:17" ht="14.4">
      <c r="A433" s="366" t="s">
        <v>297</v>
      </c>
      <c r="B433" s="378">
        <f>+SUM(C433:Q433)</f>
        <v>13836.767075562186</v>
      </c>
      <c r="C433" s="367">
        <f>('Initial Data'!$C$82/1000+('Initial Data'!$C$83*'Initial Data'!$C$15/'Initial Data'!$C$14)/1000+'Initial Data'!$C$84/'Initial Data'!$C$14/1000)</f>
        <v>761.57188717892859</v>
      </c>
      <c r="D433" s="367">
        <f>+C433*(1+'Initial Data'!$C$20/100)</f>
        <v>781.98201375532381</v>
      </c>
      <c r="E433" s="367">
        <f>+D433*(1+'Initial Data'!$C$20/100)</f>
        <v>802.9391317239664</v>
      </c>
      <c r="F433" s="367">
        <f>+E433*(1+'Initial Data'!$C$20/100)</f>
        <v>824.45790045416868</v>
      </c>
      <c r="G433" s="367">
        <f>+F433*(1+'Initial Data'!$C$20/100)</f>
        <v>846.55337218634031</v>
      </c>
      <c r="H433" s="367">
        <f>+G433*(1+'Initial Data'!$C$20/100)</f>
        <v>869.24100256093413</v>
      </c>
      <c r="I433" s="367">
        <f>+H433*(1+'Initial Data'!$C$20/100)</f>
        <v>892.53666142956706</v>
      </c>
      <c r="J433" s="367">
        <f>+I433*(1+'Initial Data'!$C$20/100)</f>
        <v>916.45664395587937</v>
      </c>
      <c r="K433" s="367">
        <f>+J433*(1+'Initial Data'!$C$20/100)</f>
        <v>941.01768201389689</v>
      </c>
      <c r="L433" s="367">
        <f>+K433*(1+'Initial Data'!$C$20/100)</f>
        <v>966.23695589186923</v>
      </c>
      <c r="M433" s="367">
        <f>+L433*(1+'Initial Data'!$C$20/100)</f>
        <v>992.1321063097713</v>
      </c>
      <c r="N433" s="367">
        <f>+M433*(1+'Initial Data'!$C$20/100)</f>
        <v>1018.7212467588731</v>
      </c>
      <c r="O433" s="367">
        <f>+N433*(1+'Initial Data'!$C$20/100)</f>
        <v>1046.0229761720109</v>
      </c>
      <c r="P433" s="367">
        <f>+O433*(1+'Initial Data'!$C$20/100)</f>
        <v>1074.0563919334206</v>
      </c>
      <c r="Q433" s="367">
        <f>+P433*(1+'Initial Data'!$C$20/100)</f>
        <v>1102.8411032372362</v>
      </c>
    </row>
    <row r="434" spans="1:17" ht="14.4">
      <c r="A434" s="370"/>
      <c r="B434" s="369"/>
      <c r="C434" s="382"/>
      <c r="D434" s="369"/>
      <c r="E434" s="369"/>
      <c r="F434" s="369"/>
      <c r="G434" s="369"/>
      <c r="H434" s="369"/>
      <c r="I434" s="369"/>
      <c r="J434" s="369"/>
      <c r="K434" s="369"/>
      <c r="L434" s="369"/>
      <c r="M434" s="369"/>
      <c r="N434" s="369"/>
      <c r="O434" s="369"/>
      <c r="P434" s="369"/>
      <c r="Q434" s="369"/>
    </row>
    <row r="435" spans="1:17" ht="14.4">
      <c r="A435" s="366" t="s">
        <v>71</v>
      </c>
      <c r="B435" s="379"/>
      <c r="C435" s="379"/>
      <c r="D435" s="379"/>
      <c r="E435" s="379"/>
      <c r="F435" s="379"/>
      <c r="G435" s="379"/>
      <c r="H435" s="379"/>
      <c r="I435" s="379"/>
      <c r="J435" s="379"/>
      <c r="K435" s="379"/>
      <c r="L435" s="379"/>
      <c r="M435" s="379"/>
      <c r="N435" s="379"/>
      <c r="O435" s="379"/>
      <c r="P435" s="379"/>
      <c r="Q435" s="379"/>
    </row>
    <row r="436" spans="1:17" ht="14.4">
      <c r="A436" s="370"/>
      <c r="B436" s="379"/>
      <c r="C436" s="379"/>
      <c r="D436" s="379"/>
      <c r="E436" s="379"/>
      <c r="F436" s="379"/>
      <c r="G436" s="379"/>
      <c r="H436" s="379"/>
      <c r="I436" s="379"/>
      <c r="J436" s="379"/>
      <c r="K436" s="379"/>
      <c r="L436" s="379"/>
      <c r="M436" s="379"/>
      <c r="N436" s="379"/>
      <c r="O436" s="379"/>
      <c r="P436" s="379"/>
      <c r="Q436" s="379"/>
    </row>
    <row r="437" spans="1:17" ht="14.4">
      <c r="A437" s="366" t="s">
        <v>298</v>
      </c>
      <c r="B437" s="378">
        <f>+SUM(C437:Q437)</f>
        <v>25366.137367328029</v>
      </c>
      <c r="C437" s="367">
        <f>SUM(C432:C433)</f>
        <v>1396.1452845003573</v>
      </c>
      <c r="D437" s="367">
        <f>SUM(D432:D433)</f>
        <v>1433.5619781249666</v>
      </c>
      <c r="E437" s="367">
        <f t="shared" ref="E437:Q437" si="362">SUM(E432:E433)</f>
        <v>1471.9814391387158</v>
      </c>
      <c r="F437" s="367">
        <f t="shared" si="362"/>
        <v>1511.4305417076332</v>
      </c>
      <c r="G437" s="367">
        <f t="shared" si="362"/>
        <v>1551.9368802253975</v>
      </c>
      <c r="H437" s="367">
        <f t="shared" si="362"/>
        <v>1593.5287886154383</v>
      </c>
      <c r="I437" s="367">
        <f t="shared" si="362"/>
        <v>1636.2353601503319</v>
      </c>
      <c r="J437" s="367">
        <f t="shared" si="362"/>
        <v>1680.0864678023604</v>
      </c>
      <c r="K437" s="367">
        <f t="shared" si="362"/>
        <v>1725.1127851394635</v>
      </c>
      <c r="L437" s="367">
        <f t="shared" si="362"/>
        <v>1771.3458077812011</v>
      </c>
      <c r="M437" s="367">
        <f t="shared" si="362"/>
        <v>1818.8178754297373</v>
      </c>
      <c r="N437" s="367">
        <f t="shared" si="362"/>
        <v>1867.5621944912541</v>
      </c>
      <c r="O437" s="367">
        <f t="shared" si="362"/>
        <v>1917.6128613036199</v>
      </c>
      <c r="P437" s="367">
        <f t="shared" si="362"/>
        <v>1969.0048859865565</v>
      </c>
      <c r="Q437" s="367">
        <f t="shared" si="362"/>
        <v>2021.7742169309963</v>
      </c>
    </row>
    <row r="438" spans="1:17" ht="14.4">
      <c r="A438" s="370"/>
      <c r="B438" s="379"/>
      <c r="C438" s="379"/>
      <c r="D438" s="379"/>
      <c r="E438" s="379"/>
      <c r="F438" s="379"/>
      <c r="G438" s="379"/>
      <c r="H438" s="379"/>
      <c r="I438" s="379"/>
      <c r="J438" s="379"/>
      <c r="K438" s="379"/>
      <c r="L438" s="379"/>
      <c r="M438" s="379"/>
      <c r="N438" s="379"/>
      <c r="O438" s="379"/>
      <c r="P438" s="379"/>
      <c r="Q438" s="379"/>
    </row>
    <row r="439" spans="1:17" ht="14.4">
      <c r="A439" s="366" t="s">
        <v>299</v>
      </c>
      <c r="B439" s="378">
        <f t="shared" ref="B439:B440" si="363">+SUM(C439:Q439)</f>
        <v>43884.879418749995</v>
      </c>
      <c r="C439" s="367">
        <f>'WHRS_Project Scenario'!$C$8/'Initial Data'!$C$19</f>
        <v>4388.4879418749997</v>
      </c>
      <c r="D439" s="367">
        <f>'WHRS_Project Scenario'!$C$8/'Initial Data'!$C$19</f>
        <v>4388.4879418749997</v>
      </c>
      <c r="E439" s="367">
        <f>'WHRS_Project Scenario'!$C$8/'Initial Data'!$C$19</f>
        <v>4388.4879418749997</v>
      </c>
      <c r="F439" s="367">
        <f>'WHRS_Project Scenario'!$C$8/'Initial Data'!$C$19</f>
        <v>4388.4879418749997</v>
      </c>
      <c r="G439" s="367">
        <f>'WHRS_Project Scenario'!$C$8/'Initial Data'!$C$19</f>
        <v>4388.4879418749997</v>
      </c>
      <c r="H439" s="367">
        <f>'WHRS_Project Scenario'!$C$8/'Initial Data'!$C$19</f>
        <v>4388.4879418749997</v>
      </c>
      <c r="I439" s="367">
        <f>'WHRS_Project Scenario'!$C$8/'Initial Data'!$C$19</f>
        <v>4388.4879418749997</v>
      </c>
      <c r="J439" s="367">
        <f>'WHRS_Project Scenario'!$C$8/'Initial Data'!$C$19</f>
        <v>4388.4879418749997</v>
      </c>
      <c r="K439" s="367">
        <f>'WHRS_Project Scenario'!$C$8/'Initial Data'!$C$19</f>
        <v>4388.4879418749997</v>
      </c>
      <c r="L439" s="367">
        <f>'WHRS_Project Scenario'!$C$8/'Initial Data'!$C$19</f>
        <v>4388.4879418749997</v>
      </c>
      <c r="M439" s="367">
        <v>0</v>
      </c>
      <c r="N439" s="367">
        <v>0</v>
      </c>
      <c r="O439" s="367">
        <v>0</v>
      </c>
      <c r="P439" s="367">
        <v>0</v>
      </c>
      <c r="Q439" s="367">
        <v>0</v>
      </c>
    </row>
    <row r="440" spans="1:17" ht="14.4">
      <c r="A440" s="366" t="s">
        <v>300</v>
      </c>
      <c r="B440" s="378">
        <f t="shared" si="363"/>
        <v>43884.879418749995</v>
      </c>
      <c r="C440" s="367">
        <f>SUM(C439:C439)</f>
        <v>4388.4879418749997</v>
      </c>
      <c r="D440" s="367">
        <f t="shared" ref="D440:Q440" si="364">SUM(D439:D439)</f>
        <v>4388.4879418749997</v>
      </c>
      <c r="E440" s="367">
        <f t="shared" si="364"/>
        <v>4388.4879418749997</v>
      </c>
      <c r="F440" s="367">
        <f t="shared" si="364"/>
        <v>4388.4879418749997</v>
      </c>
      <c r="G440" s="367">
        <f t="shared" si="364"/>
        <v>4388.4879418749997</v>
      </c>
      <c r="H440" s="367">
        <f t="shared" si="364"/>
        <v>4388.4879418749997</v>
      </c>
      <c r="I440" s="367">
        <f t="shared" si="364"/>
        <v>4388.4879418749997</v>
      </c>
      <c r="J440" s="367">
        <f t="shared" si="364"/>
        <v>4388.4879418749997</v>
      </c>
      <c r="K440" s="367">
        <f t="shared" si="364"/>
        <v>4388.4879418749997</v>
      </c>
      <c r="L440" s="367">
        <f t="shared" si="364"/>
        <v>4388.4879418749997</v>
      </c>
      <c r="M440" s="367">
        <f t="shared" si="364"/>
        <v>0</v>
      </c>
      <c r="N440" s="367">
        <f t="shared" si="364"/>
        <v>0</v>
      </c>
      <c r="O440" s="367">
        <f t="shared" si="364"/>
        <v>0</v>
      </c>
      <c r="P440" s="367">
        <f t="shared" si="364"/>
        <v>0</v>
      </c>
      <c r="Q440" s="367">
        <f t="shared" si="364"/>
        <v>0</v>
      </c>
    </row>
    <row r="441" spans="1:17" ht="14.4">
      <c r="A441" s="370"/>
      <c r="B441" s="379"/>
      <c r="C441" s="379"/>
      <c r="D441" s="379"/>
      <c r="E441" s="379"/>
      <c r="F441" s="379"/>
      <c r="G441" s="379"/>
      <c r="H441" s="379"/>
      <c r="I441" s="379"/>
      <c r="J441" s="379"/>
      <c r="K441" s="379"/>
      <c r="L441" s="379"/>
      <c r="M441" s="379"/>
      <c r="N441" s="379"/>
      <c r="O441" s="379"/>
      <c r="P441" s="379"/>
      <c r="Q441" s="379"/>
    </row>
    <row r="442" spans="1:17" ht="14.4">
      <c r="A442" s="366" t="s">
        <v>301</v>
      </c>
      <c r="B442" s="378">
        <f>+SUM(C442:Q442)</f>
        <v>69251.016786078035</v>
      </c>
      <c r="C442" s="367">
        <f>+C437+C440</f>
        <v>5784.6332263753575</v>
      </c>
      <c r="D442" s="367">
        <f>+D437+D440</f>
        <v>5822.0499199999667</v>
      </c>
      <c r="E442" s="367">
        <f t="shared" ref="E442:Q442" si="365">+E437+E440</f>
        <v>5860.469381013716</v>
      </c>
      <c r="F442" s="367">
        <f t="shared" si="365"/>
        <v>5899.9184835826327</v>
      </c>
      <c r="G442" s="367">
        <f t="shared" si="365"/>
        <v>5940.4248221003973</v>
      </c>
      <c r="H442" s="367">
        <f t="shared" si="365"/>
        <v>5982.016730490438</v>
      </c>
      <c r="I442" s="367">
        <f t="shared" si="365"/>
        <v>6024.7233020253316</v>
      </c>
      <c r="J442" s="367">
        <f t="shared" si="365"/>
        <v>6068.5744096773597</v>
      </c>
      <c r="K442" s="367">
        <f t="shared" si="365"/>
        <v>6113.6007270144637</v>
      </c>
      <c r="L442" s="367">
        <f t="shared" si="365"/>
        <v>6159.8337496562008</v>
      </c>
      <c r="M442" s="367">
        <f t="shared" si="365"/>
        <v>1818.8178754297373</v>
      </c>
      <c r="N442" s="367">
        <f t="shared" si="365"/>
        <v>1867.5621944912541</v>
      </c>
      <c r="O442" s="367">
        <f t="shared" si="365"/>
        <v>1917.6128613036199</v>
      </c>
      <c r="P442" s="367">
        <f t="shared" si="365"/>
        <v>1969.0048859865565</v>
      </c>
      <c r="Q442" s="367">
        <f t="shared" si="365"/>
        <v>2021.7742169309963</v>
      </c>
    </row>
    <row r="443" spans="1:17" ht="14.4">
      <c r="A443" s="370"/>
      <c r="B443" s="379"/>
      <c r="C443" s="379"/>
      <c r="D443" s="379"/>
      <c r="E443" s="379"/>
      <c r="F443" s="379"/>
      <c r="G443" s="379"/>
      <c r="H443" s="379"/>
      <c r="I443" s="379"/>
      <c r="J443" s="379"/>
      <c r="K443" s="379"/>
      <c r="L443" s="379"/>
      <c r="M443" s="379"/>
      <c r="N443" s="379"/>
      <c r="O443" s="379"/>
      <c r="P443" s="379"/>
      <c r="Q443" s="379"/>
    </row>
    <row r="444" spans="1:17" ht="14.4">
      <c r="A444" s="364" t="s">
        <v>302</v>
      </c>
      <c r="B444" s="378">
        <f>+SUM(C444:Q444)</f>
        <v>1778306.3056792945</v>
      </c>
      <c r="C444" s="367">
        <f>+C429-C442</f>
        <v>95904.418056872761</v>
      </c>
      <c r="D444" s="367">
        <f>+D429-D442</f>
        <v>98592.26793763919</v>
      </c>
      <c r="E444" s="367">
        <f t="shared" ref="E444:Q444" si="366">+E429-E442</f>
        <v>101352.15219521015</v>
      </c>
      <c r="F444" s="367">
        <f t="shared" si="366"/>
        <v>104186.00135088402</v>
      </c>
      <c r="G444" s="367">
        <f t="shared" si="366"/>
        <v>107095.79766392996</v>
      </c>
      <c r="H444" s="367">
        <f t="shared" si="366"/>
        <v>110083.57651816554</v>
      </c>
      <c r="I444" s="367">
        <f t="shared" si="366"/>
        <v>113151.4278456946</v>
      </c>
      <c r="J444" s="367">
        <f t="shared" si="366"/>
        <v>116301.49758880145</v>
      </c>
      <c r="K444" s="367">
        <f t="shared" si="366"/>
        <v>119535.98920102358</v>
      </c>
      <c r="L444" s="367">
        <f t="shared" si="366"/>
        <v>122857.16518845328</v>
      </c>
      <c r="M444" s="367">
        <f t="shared" si="366"/>
        <v>130655.83663422104</v>
      </c>
      <c r="N444" s="367">
        <f t="shared" si="366"/>
        <v>134157.41305601818</v>
      </c>
      <c r="O444" s="367">
        <f t="shared" si="366"/>
        <v>137752.83172591942</v>
      </c>
      <c r="P444" s="367">
        <f t="shared" si="366"/>
        <v>141444.60761617403</v>
      </c>
      <c r="Q444" s="367">
        <f t="shared" si="366"/>
        <v>145235.32310028753</v>
      </c>
    </row>
    <row r="445" spans="1:17" ht="14.4">
      <c r="A445" s="364"/>
    </row>
    <row r="446" spans="1:17" ht="14.4">
      <c r="A446" s="364" t="s">
        <v>222</v>
      </c>
      <c r="B446" s="380">
        <f>+'WHRS_Project Scenario'!C39</f>
        <v>0.7</v>
      </c>
      <c r="C446" s="367">
        <f>IF((+$B$446*C444)&lt;0,"0",(+$B$446*C444))</f>
        <v>67133.09263981093</v>
      </c>
      <c r="D446" s="367">
        <f>IF((+$B$446*D444)&lt;0,"0",(+$B$446*D444))</f>
        <v>69014.587556347426</v>
      </c>
      <c r="E446" s="367">
        <f t="shared" ref="E446:Q446" si="367">IF((+$B$446*E444)&lt;0,"0",(+$B$446*E444))</f>
        <v>70946.506536647095</v>
      </c>
      <c r="F446" s="367">
        <f t="shared" si="367"/>
        <v>72930.20094561881</v>
      </c>
      <c r="G446" s="367">
        <f t="shared" si="367"/>
        <v>74967.058364750963</v>
      </c>
      <c r="H446" s="367">
        <f t="shared" si="367"/>
        <v>77058.50356271588</v>
      </c>
      <c r="I446" s="367">
        <f t="shared" si="367"/>
        <v>79205.999491986222</v>
      </c>
      <c r="J446" s="367">
        <f t="shared" si="367"/>
        <v>81411.048312161001</v>
      </c>
      <c r="K446" s="367">
        <f t="shared" si="367"/>
        <v>83675.192440716506</v>
      </c>
      <c r="L446" s="367">
        <f t="shared" si="367"/>
        <v>86000.015631917282</v>
      </c>
      <c r="M446" s="367">
        <f t="shared" si="367"/>
        <v>91459.085643954721</v>
      </c>
      <c r="N446" s="367">
        <f t="shared" si="367"/>
        <v>93910.189139212715</v>
      </c>
      <c r="O446" s="367">
        <f t="shared" si="367"/>
        <v>96426.982208143585</v>
      </c>
      <c r="P446" s="367">
        <f t="shared" si="367"/>
        <v>99011.225331321824</v>
      </c>
      <c r="Q446" s="367">
        <f t="shared" si="367"/>
        <v>101664.72617020126</v>
      </c>
    </row>
    <row r="447" spans="1:17" ht="14.4">
      <c r="A447" s="364" t="s">
        <v>303</v>
      </c>
      <c r="B447" s="378">
        <f>+SUM(C447:Q447)</f>
        <v>1244814.4139755061</v>
      </c>
      <c r="C447" s="367">
        <f>SUM(C446:C446)</f>
        <v>67133.09263981093</v>
      </c>
      <c r="D447" s="367">
        <f t="shared" ref="D447:Q447" si="368">SUM(D446:D446)</f>
        <v>69014.587556347426</v>
      </c>
      <c r="E447" s="367">
        <f t="shared" si="368"/>
        <v>70946.506536647095</v>
      </c>
      <c r="F447" s="367">
        <f t="shared" si="368"/>
        <v>72930.20094561881</v>
      </c>
      <c r="G447" s="367">
        <f t="shared" si="368"/>
        <v>74967.058364750963</v>
      </c>
      <c r="H447" s="367">
        <f t="shared" si="368"/>
        <v>77058.50356271588</v>
      </c>
      <c r="I447" s="367">
        <f t="shared" si="368"/>
        <v>79205.999491986222</v>
      </c>
      <c r="J447" s="367">
        <f t="shared" si="368"/>
        <v>81411.048312161001</v>
      </c>
      <c r="K447" s="367">
        <f t="shared" si="368"/>
        <v>83675.192440716506</v>
      </c>
      <c r="L447" s="367">
        <f t="shared" si="368"/>
        <v>86000.015631917282</v>
      </c>
      <c r="M447" s="367">
        <f t="shared" si="368"/>
        <v>91459.085643954721</v>
      </c>
      <c r="N447" s="367">
        <f t="shared" si="368"/>
        <v>93910.189139212715</v>
      </c>
      <c r="O447" s="367">
        <f t="shared" si="368"/>
        <v>96426.982208143585</v>
      </c>
      <c r="P447" s="367">
        <f t="shared" si="368"/>
        <v>99011.225331321824</v>
      </c>
      <c r="Q447" s="367">
        <f t="shared" si="368"/>
        <v>101664.72617020126</v>
      </c>
    </row>
    <row r="448" spans="1:17" ht="14.4">
      <c r="A448" s="369"/>
    </row>
    <row r="449" spans="1:17" ht="14.4">
      <c r="A449" s="364" t="s">
        <v>304</v>
      </c>
      <c r="B449" s="378">
        <f t="shared" ref="B449:B451" si="369">+SUM(C449:Q449)</f>
        <v>533491.89170378854</v>
      </c>
      <c r="C449" s="367">
        <f>C444-C447</f>
        <v>28771.325417061831</v>
      </c>
      <c r="D449" s="367">
        <f t="shared" ref="D449:Q449" si="370">D444-D447</f>
        <v>29577.680381291764</v>
      </c>
      <c r="E449" s="367">
        <f t="shared" si="370"/>
        <v>30405.645658563051</v>
      </c>
      <c r="F449" s="367">
        <f t="shared" si="370"/>
        <v>31255.80040526521</v>
      </c>
      <c r="G449" s="367">
        <f t="shared" si="370"/>
        <v>32128.739299178997</v>
      </c>
      <c r="H449" s="367">
        <f t="shared" si="370"/>
        <v>33025.072955449665</v>
      </c>
      <c r="I449" s="367">
        <f t="shared" si="370"/>
        <v>33945.428353708383</v>
      </c>
      <c r="J449" s="367">
        <f t="shared" si="370"/>
        <v>34890.449276640444</v>
      </c>
      <c r="K449" s="367">
        <f t="shared" si="370"/>
        <v>35860.796760307072</v>
      </c>
      <c r="L449" s="367">
        <f t="shared" si="370"/>
        <v>36857.149556535995</v>
      </c>
      <c r="M449" s="367">
        <f t="shared" si="370"/>
        <v>39196.750990266315</v>
      </c>
      <c r="N449" s="367">
        <f t="shared" si="370"/>
        <v>40247.223916805466</v>
      </c>
      <c r="O449" s="367">
        <f t="shared" si="370"/>
        <v>41325.84951777583</v>
      </c>
      <c r="P449" s="367">
        <f t="shared" si="370"/>
        <v>42433.38228485221</v>
      </c>
      <c r="Q449" s="367">
        <f t="shared" si="370"/>
        <v>43570.596930086263</v>
      </c>
    </row>
    <row r="450" spans="1:17" ht="14.4">
      <c r="A450" s="364" t="s">
        <v>305</v>
      </c>
      <c r="B450" s="378">
        <f t="shared" si="369"/>
        <v>43884.879418749995</v>
      </c>
      <c r="C450" s="367">
        <f>+C439</f>
        <v>4388.4879418749997</v>
      </c>
      <c r="D450" s="367">
        <f t="shared" ref="D450:Q450" si="371">+D439</f>
        <v>4388.4879418749997</v>
      </c>
      <c r="E450" s="367">
        <f t="shared" si="371"/>
        <v>4388.4879418749997</v>
      </c>
      <c r="F450" s="367">
        <f t="shared" si="371"/>
        <v>4388.4879418749997</v>
      </c>
      <c r="G450" s="367">
        <f t="shared" si="371"/>
        <v>4388.4879418749997</v>
      </c>
      <c r="H450" s="367">
        <f t="shared" si="371"/>
        <v>4388.4879418749997</v>
      </c>
      <c r="I450" s="367">
        <f t="shared" si="371"/>
        <v>4388.4879418749997</v>
      </c>
      <c r="J450" s="367">
        <f t="shared" si="371"/>
        <v>4388.4879418749997</v>
      </c>
      <c r="K450" s="367">
        <f t="shared" si="371"/>
        <v>4388.4879418749997</v>
      </c>
      <c r="L450" s="367">
        <f t="shared" si="371"/>
        <v>4388.4879418749997</v>
      </c>
      <c r="M450" s="367">
        <f t="shared" si="371"/>
        <v>0</v>
      </c>
      <c r="N450" s="367">
        <f t="shared" si="371"/>
        <v>0</v>
      </c>
      <c r="O450" s="367">
        <f t="shared" si="371"/>
        <v>0</v>
      </c>
      <c r="P450" s="367">
        <f t="shared" si="371"/>
        <v>0</v>
      </c>
      <c r="Q450" s="367">
        <f t="shared" si="371"/>
        <v>0</v>
      </c>
    </row>
    <row r="451" spans="1:17" ht="14.4">
      <c r="A451" s="364" t="s">
        <v>306</v>
      </c>
      <c r="B451" s="378">
        <f t="shared" si="369"/>
        <v>0</v>
      </c>
      <c r="C451" s="367">
        <f>+'WHRS_Project Scenario'!D424</f>
        <v>0</v>
      </c>
      <c r="D451" s="367">
        <f>+'WHRS_Project Scenario'!E424</f>
        <v>0</v>
      </c>
      <c r="E451" s="367">
        <f>+'WHRS_Project Scenario'!F424</f>
        <v>0</v>
      </c>
      <c r="F451" s="367">
        <f>+'WHRS_Project Scenario'!G424</f>
        <v>0</v>
      </c>
      <c r="G451" s="367">
        <f>+'WHRS_Project Scenario'!H424</f>
        <v>0</v>
      </c>
      <c r="H451" s="367">
        <f>+'WHRS_Project Scenario'!I424</f>
        <v>0</v>
      </c>
      <c r="I451" s="367">
        <f>+'WHRS_Project Scenario'!J424</f>
        <v>0</v>
      </c>
      <c r="J451" s="367">
        <f>+'WHRS_Project Scenario'!K424</f>
        <v>0</v>
      </c>
      <c r="K451" s="367">
        <f>+'WHRS_Project Scenario'!L424</f>
        <v>0</v>
      </c>
      <c r="L451" s="367">
        <f>+'WHRS_Project Scenario'!M424</f>
        <v>0</v>
      </c>
      <c r="M451" s="367">
        <f>+'WHRS_Project Scenario'!N424</f>
        <v>0</v>
      </c>
      <c r="N451" s="367">
        <f>+'WHRS_Project Scenario'!O424</f>
        <v>0</v>
      </c>
      <c r="O451" s="367">
        <f>+'WHRS_Project Scenario'!P424</f>
        <v>0</v>
      </c>
      <c r="P451" s="367">
        <f>+'WHRS_Project Scenario'!Q424</f>
        <v>0</v>
      </c>
      <c r="Q451" s="367">
        <f>+'WHRS_Project Scenario'!R424</f>
        <v>0</v>
      </c>
    </row>
    <row r="452" spans="1:17" ht="14.4">
      <c r="A452" s="364"/>
    </row>
    <row r="453" spans="1:17" ht="14.4">
      <c r="A453" s="364" t="s">
        <v>110</v>
      </c>
      <c r="B453" s="378">
        <f>-'WHRS_Project Scenario'!C8</f>
        <v>-43884.879418749995</v>
      </c>
      <c r="C453" s="367">
        <f>C449+C450+C451</f>
        <v>33159.81335893683</v>
      </c>
      <c r="D453" s="367">
        <f t="shared" ref="D453:Q453" si="372">D449+D450+D451</f>
        <v>33966.168323166763</v>
      </c>
      <c r="E453" s="367">
        <f t="shared" si="372"/>
        <v>34794.13360043805</v>
      </c>
      <c r="F453" s="367">
        <f t="shared" si="372"/>
        <v>35644.288347140209</v>
      </c>
      <c r="G453" s="367">
        <f t="shared" si="372"/>
        <v>36517.227241053995</v>
      </c>
      <c r="H453" s="367">
        <f t="shared" si="372"/>
        <v>37413.560897324664</v>
      </c>
      <c r="I453" s="367">
        <f t="shared" si="372"/>
        <v>38333.916295583382</v>
      </c>
      <c r="J453" s="367">
        <f t="shared" si="372"/>
        <v>39278.937218515443</v>
      </c>
      <c r="K453" s="367">
        <f t="shared" si="372"/>
        <v>40249.284702182071</v>
      </c>
      <c r="L453" s="367">
        <f t="shared" si="372"/>
        <v>41245.637498410993</v>
      </c>
      <c r="M453" s="367">
        <f t="shared" si="372"/>
        <v>39196.750990266315</v>
      </c>
      <c r="N453" s="367">
        <f t="shared" si="372"/>
        <v>40247.223916805466</v>
      </c>
      <c r="O453" s="367">
        <f t="shared" si="372"/>
        <v>41325.84951777583</v>
      </c>
      <c r="P453" s="367">
        <f t="shared" si="372"/>
        <v>42433.38228485221</v>
      </c>
      <c r="Q453" s="367">
        <f t="shared" si="372"/>
        <v>43570.596930086263</v>
      </c>
    </row>
    <row r="454" spans="1:17" ht="15.6">
      <c r="A454" s="364" t="s">
        <v>51</v>
      </c>
      <c r="B454" s="132">
        <f>IRR(B453:Q453)</f>
        <v>0.77961133559698914</v>
      </c>
    </row>
    <row r="455" spans="1:17" ht="15.6">
      <c r="A455" s="364" t="s">
        <v>267</v>
      </c>
      <c r="B455" s="303">
        <f>NPV('Initial Data'!C21/100,B453:Q453)</f>
        <v>186254.30866578643</v>
      </c>
    </row>
    <row r="457" spans="1:17" ht="14.4">
      <c r="A457" s="508" t="s">
        <v>315</v>
      </c>
      <c r="B457" s="509"/>
      <c r="C457" s="509"/>
      <c r="D457" s="509"/>
      <c r="E457" s="509"/>
      <c r="F457" s="509"/>
      <c r="G457" s="509"/>
      <c r="H457" s="509"/>
      <c r="I457" s="509"/>
      <c r="J457" s="509"/>
      <c r="K457" s="509"/>
      <c r="L457" s="509"/>
      <c r="M457" s="509"/>
      <c r="N457" s="509"/>
      <c r="O457" s="509"/>
      <c r="P457" s="509"/>
      <c r="Q457" s="509"/>
    </row>
    <row r="458" spans="1:17" ht="14.4">
      <c r="A458" s="371" t="s">
        <v>319</v>
      </c>
      <c r="B458" s="372"/>
      <c r="C458" s="372"/>
      <c r="D458" s="372"/>
      <c r="E458" s="372"/>
      <c r="F458" s="372"/>
      <c r="G458" s="372"/>
      <c r="H458" s="372"/>
      <c r="I458" s="372"/>
      <c r="J458" s="372"/>
      <c r="K458" s="372"/>
      <c r="L458" s="372"/>
      <c r="M458" s="372"/>
      <c r="N458" s="372"/>
      <c r="O458" s="372"/>
      <c r="P458" s="372"/>
      <c r="Q458" s="372"/>
    </row>
    <row r="459" spans="1:17" ht="27">
      <c r="A459" s="376"/>
      <c r="B459" s="304" t="s">
        <v>35</v>
      </c>
      <c r="C459" s="352" t="s">
        <v>407</v>
      </c>
      <c r="D459" s="352" t="s">
        <v>408</v>
      </c>
      <c r="E459" s="352" t="s">
        <v>409</v>
      </c>
      <c r="F459" s="352" t="s">
        <v>410</v>
      </c>
      <c r="G459" s="352" t="s">
        <v>411</v>
      </c>
      <c r="H459" s="352" t="s">
        <v>412</v>
      </c>
      <c r="I459" s="352" t="s">
        <v>413</v>
      </c>
      <c r="J459" s="352" t="s">
        <v>414</v>
      </c>
      <c r="K459" s="352" t="s">
        <v>415</v>
      </c>
      <c r="L459" s="352" t="s">
        <v>416</v>
      </c>
      <c r="M459" s="352" t="s">
        <v>417</v>
      </c>
      <c r="N459" s="352" t="s">
        <v>418</v>
      </c>
      <c r="O459" s="352" t="s">
        <v>419</v>
      </c>
      <c r="P459" s="352" t="s">
        <v>420</v>
      </c>
      <c r="Q459" s="352" t="s">
        <v>421</v>
      </c>
    </row>
    <row r="460" spans="1:17" ht="14.4">
      <c r="A460" s="363" t="s">
        <v>290</v>
      </c>
      <c r="B460" s="365"/>
      <c r="C460" s="377">
        <f>+'WHRS_Project Scenario'!D15</f>
        <v>215214.92335078961</v>
      </c>
      <c r="D460" s="377">
        <f>+'WHRS_Project Scenario'!E15</f>
        <v>215214.92335078961</v>
      </c>
      <c r="E460" s="377">
        <f>+'WHRS_Project Scenario'!F15</f>
        <v>215214.92335078961</v>
      </c>
      <c r="F460" s="377">
        <f>+'WHRS_Project Scenario'!G15</f>
        <v>215214.92335078961</v>
      </c>
      <c r="G460" s="377">
        <f>+'WHRS_Project Scenario'!H15</f>
        <v>215214.92335078961</v>
      </c>
      <c r="H460" s="377">
        <f>+'WHRS_Project Scenario'!I15</f>
        <v>215214.92335078961</v>
      </c>
      <c r="I460" s="377">
        <f>+'WHRS_Project Scenario'!J15</f>
        <v>215214.92335078961</v>
      </c>
      <c r="J460" s="377">
        <f>+'WHRS_Project Scenario'!K15</f>
        <v>215214.92335078961</v>
      </c>
      <c r="K460" s="377">
        <f>+'WHRS_Project Scenario'!L15</f>
        <v>215214.92335078961</v>
      </c>
      <c r="L460" s="377">
        <f>+'WHRS_Project Scenario'!M15</f>
        <v>215214.92335078961</v>
      </c>
      <c r="M460" s="377">
        <f>+'WHRS_Project Scenario'!N15</f>
        <v>215214.92335078961</v>
      </c>
      <c r="N460" s="377">
        <f>+'WHRS_Project Scenario'!O15</f>
        <v>215214.92335078961</v>
      </c>
      <c r="O460" s="377">
        <f>+'WHRS_Project Scenario'!P15</f>
        <v>215214.92335078961</v>
      </c>
      <c r="P460" s="377">
        <f>+'WHRS_Project Scenario'!Q15</f>
        <v>215214.92335078961</v>
      </c>
      <c r="Q460" s="377">
        <f>+'WHRS_Project Scenario'!R15</f>
        <v>215214.92335078961</v>
      </c>
    </row>
    <row r="461" spans="1:17" ht="14.4">
      <c r="A461" s="364" t="s">
        <v>291</v>
      </c>
      <c r="B461" s="365"/>
      <c r="C461" s="377">
        <f>+'WHRS_Project Scenario'!D16</f>
        <v>70</v>
      </c>
      <c r="D461" s="377">
        <f>+'WHRS_Project Scenario'!E16</f>
        <v>70</v>
      </c>
      <c r="E461" s="377">
        <f>+'WHRS_Project Scenario'!F16</f>
        <v>70</v>
      </c>
      <c r="F461" s="377">
        <f>+'WHRS_Project Scenario'!G16</f>
        <v>70</v>
      </c>
      <c r="G461" s="377">
        <f>+'WHRS_Project Scenario'!H16</f>
        <v>70</v>
      </c>
      <c r="H461" s="377">
        <f>+'WHRS_Project Scenario'!I16</f>
        <v>70</v>
      </c>
      <c r="I461" s="377">
        <f>+'WHRS_Project Scenario'!J16</f>
        <v>70</v>
      </c>
      <c r="J461" s="377">
        <f>+'WHRS_Project Scenario'!K16</f>
        <v>70</v>
      </c>
      <c r="K461" s="377">
        <f>+'WHRS_Project Scenario'!L16</f>
        <v>70</v>
      </c>
      <c r="L461" s="377">
        <f>+'WHRS_Project Scenario'!M16</f>
        <v>70</v>
      </c>
      <c r="M461" s="377">
        <f>+'WHRS_Project Scenario'!N16</f>
        <v>70</v>
      </c>
      <c r="N461" s="377">
        <f>+'WHRS_Project Scenario'!O16</f>
        <v>70</v>
      </c>
      <c r="O461" s="377">
        <f>+'WHRS_Project Scenario'!P16</f>
        <v>70</v>
      </c>
      <c r="P461" s="377">
        <f>+'WHRS_Project Scenario'!Q16</f>
        <v>70</v>
      </c>
      <c r="Q461" s="377">
        <f>+'WHRS_Project Scenario'!R16</f>
        <v>70</v>
      </c>
    </row>
    <row r="462" spans="1:17" ht="14.4">
      <c r="A462" s="366" t="s">
        <v>292</v>
      </c>
      <c r="B462" s="365"/>
      <c r="C462" s="383">
        <f>'WHRS_Project Scenario'!D17*(1+$F$6)</f>
        <v>7.0714285714285721</v>
      </c>
      <c r="D462" s="383">
        <f>'WHRS_Project Scenario'!E17*(1+$F$6)</f>
        <v>7.2609428571428571</v>
      </c>
      <c r="E462" s="383">
        <f>'WHRS_Project Scenario'!F17*(1+$F$6)</f>
        <v>7.4555361257142847</v>
      </c>
      <c r="F462" s="383">
        <f>'WHRS_Project Scenario'!G17*(1+$F$6)</f>
        <v>7.6553444938834279</v>
      </c>
      <c r="G462" s="383">
        <f>'WHRS_Project Scenario'!H17*(1+$F$6)</f>
        <v>7.8605077263195033</v>
      </c>
      <c r="H462" s="383">
        <f>'WHRS_Project Scenario'!I17*(1+$F$6)</f>
        <v>8.0711693333848658</v>
      </c>
      <c r="I462" s="383">
        <f>'WHRS_Project Scenario'!J17*(1+$F$6)</f>
        <v>8.2874766715195793</v>
      </c>
      <c r="J462" s="383">
        <f>'WHRS_Project Scenario'!K17*(1+$F$6)</f>
        <v>8.5095810463163026</v>
      </c>
      <c r="K462" s="383">
        <f>'WHRS_Project Scenario'!L17*(1+$F$6)</f>
        <v>8.7376378183575802</v>
      </c>
      <c r="L462" s="383">
        <f>'WHRS_Project Scenario'!M17*(1+$F$6)</f>
        <v>8.9718065118895627</v>
      </c>
      <c r="M462" s="383">
        <f>'WHRS_Project Scenario'!N17*(1+$F$6)</f>
        <v>9.2122509264082009</v>
      </c>
      <c r="N462" s="383">
        <f>'WHRS_Project Scenario'!O17*(1+$F$6)</f>
        <v>9.4591392512359409</v>
      </c>
      <c r="O462" s="383">
        <f>'WHRS_Project Scenario'!P17*(1+$F$6)</f>
        <v>9.7126441831690631</v>
      </c>
      <c r="P462" s="383">
        <f>'WHRS_Project Scenario'!Q17*(1+$F$6)</f>
        <v>9.9729430472779921</v>
      </c>
      <c r="Q462" s="383">
        <f>'WHRS_Project Scenario'!R17*(1+$F$6)</f>
        <v>10.240217920945042</v>
      </c>
    </row>
    <row r="463" spans="1:17" ht="14.4">
      <c r="A463" s="366" t="s">
        <v>293</v>
      </c>
      <c r="B463" s="365"/>
      <c r="C463" s="381">
        <f>+C461*C462</f>
        <v>495.00000000000006</v>
      </c>
      <c r="D463" s="381">
        <f t="shared" ref="D463" si="373">+D461*D462</f>
        <v>508.26600000000002</v>
      </c>
      <c r="E463" s="381">
        <f t="shared" ref="E463" si="374">+E461*E462</f>
        <v>521.88752879999993</v>
      </c>
      <c r="F463" s="381">
        <f t="shared" ref="F463" si="375">+F461*F462</f>
        <v>535.87411457183998</v>
      </c>
      <c r="G463" s="381">
        <f t="shared" ref="G463" si="376">+G461*G462</f>
        <v>550.23554084236525</v>
      </c>
      <c r="H463" s="381">
        <f t="shared" ref="H463" si="377">+H461*H462</f>
        <v>564.98185333694062</v>
      </c>
      <c r="I463" s="381">
        <f t="shared" ref="I463" si="378">+I461*I462</f>
        <v>580.12336700637059</v>
      </c>
      <c r="J463" s="381">
        <f t="shared" ref="J463" si="379">+J461*J462</f>
        <v>595.67067324214122</v>
      </c>
      <c r="K463" s="381">
        <f t="shared" ref="K463" si="380">+K461*K462</f>
        <v>611.63464728503061</v>
      </c>
      <c r="L463" s="381">
        <f t="shared" ref="L463" si="381">+L461*L462</f>
        <v>628.02645583226933</v>
      </c>
      <c r="M463" s="381">
        <f t="shared" ref="M463" si="382">+M461*M462</f>
        <v>644.85756484857404</v>
      </c>
      <c r="N463" s="381">
        <f t="shared" ref="N463" si="383">+N461*N462</f>
        <v>662.13974758651591</v>
      </c>
      <c r="O463" s="381">
        <f t="shared" ref="O463" si="384">+O461*O462</f>
        <v>679.88509282183441</v>
      </c>
      <c r="P463" s="381">
        <f t="shared" ref="P463" si="385">+P461*P462</f>
        <v>698.1060133094594</v>
      </c>
      <c r="Q463" s="381">
        <f t="shared" ref="Q463" si="386">+Q461*Q462</f>
        <v>716.81525446615296</v>
      </c>
    </row>
    <row r="464" spans="1:17" ht="14.4">
      <c r="A464" s="370"/>
      <c r="B464" s="373"/>
      <c r="C464" s="373"/>
      <c r="D464" s="373"/>
      <c r="E464" s="373"/>
      <c r="F464" s="373"/>
      <c r="G464" s="373"/>
      <c r="H464" s="373"/>
      <c r="I464" s="373"/>
      <c r="J464" s="373"/>
      <c r="K464" s="373"/>
      <c r="L464" s="373"/>
      <c r="M464" s="373"/>
      <c r="N464" s="373"/>
      <c r="O464" s="373"/>
      <c r="P464" s="373"/>
      <c r="Q464" s="373"/>
    </row>
    <row r="465" spans="1:17" ht="14.4">
      <c r="A465" s="366" t="s">
        <v>294</v>
      </c>
      <c r="B465" s="381">
        <f>+SUM(C465:Q465)</f>
        <v>1935536.2425827712</v>
      </c>
      <c r="C465" s="381">
        <f>C460*C463/1000*'Initial Data'!$C$34/'Initial Data'!$C$33</f>
        <v>106531.38705864087</v>
      </c>
      <c r="D465" s="381">
        <f>D460*D463/1000*'Initial Data'!$C$34/'Initial Data'!$C$33</f>
        <v>109386.42823181243</v>
      </c>
      <c r="E465" s="381">
        <f>E460*E463/1000*'Initial Data'!$C$34/'Initial Data'!$C$33</f>
        <v>112317.984508425</v>
      </c>
      <c r="F465" s="381">
        <f>F460*F463/1000*'Initial Data'!$C$34/'Initial Data'!$C$33</f>
        <v>115328.10649325079</v>
      </c>
      <c r="G465" s="381">
        <f>G460*G463/1000*'Initial Data'!$C$34/'Initial Data'!$C$33</f>
        <v>118418.8997472699</v>
      </c>
      <c r="H465" s="381">
        <f>H460*H463/1000*'Initial Data'!$C$34/'Initial Data'!$C$33</f>
        <v>121592.52626049673</v>
      </c>
      <c r="I465" s="381">
        <f>I460*I463/1000*'Initial Data'!$C$34/'Initial Data'!$C$33</f>
        <v>124851.20596427804</v>
      </c>
      <c r="J465" s="381">
        <f>J460*J463/1000*'Initial Data'!$C$34/'Initial Data'!$C$33</f>
        <v>128197.21828412068</v>
      </c>
      <c r="K465" s="381">
        <f>K460*K463/1000*'Initial Data'!$C$34/'Initial Data'!$C$33</f>
        <v>131632.90373413509</v>
      </c>
      <c r="L465" s="381">
        <f>L460*L463/1000*'Initial Data'!$C$34/'Initial Data'!$C$33</f>
        <v>135160.6655542099</v>
      </c>
      <c r="M465" s="381">
        <f>M460*M463/1000*'Initial Data'!$C$34/'Initial Data'!$C$33</f>
        <v>138782.97139106272</v>
      </c>
      <c r="N465" s="381">
        <f>N460*N463/1000*'Initial Data'!$C$34/'Initial Data'!$C$33</f>
        <v>142502.35502434318</v>
      </c>
      <c r="O465" s="381">
        <f>O460*O463/1000*'Initial Data'!$C$34/'Initial Data'!$C$33</f>
        <v>146321.41813899559</v>
      </c>
      <c r="P465" s="381">
        <f>P460*P463/1000*'Initial Data'!$C$34/'Initial Data'!$C$33</f>
        <v>150242.83214512063</v>
      </c>
      <c r="Q465" s="381">
        <f>Q460*Q463/1000*'Initial Data'!$C$34/'Initial Data'!$C$33</f>
        <v>154269.34004660984</v>
      </c>
    </row>
    <row r="466" spans="1:17" ht="14.4">
      <c r="A466" s="370"/>
      <c r="B466" s="373"/>
      <c r="C466" s="373"/>
      <c r="D466" s="373"/>
      <c r="E466" s="373"/>
      <c r="F466" s="373"/>
      <c r="G466" s="373"/>
      <c r="H466" s="373"/>
      <c r="I466" s="373"/>
      <c r="J466" s="373"/>
      <c r="K466" s="373"/>
      <c r="L466" s="373"/>
      <c r="M466" s="373"/>
      <c r="N466" s="373"/>
      <c r="O466" s="373"/>
      <c r="P466" s="373"/>
      <c r="Q466" s="373"/>
    </row>
    <row r="467" spans="1:17" ht="14.4">
      <c r="A467" s="366" t="s">
        <v>295</v>
      </c>
      <c r="B467" s="381">
        <f>+SUM(C467:Q467)</f>
        <v>1935536.2425827712</v>
      </c>
      <c r="C467" s="381">
        <f>+C465</f>
        <v>106531.38705864087</v>
      </c>
      <c r="D467" s="381">
        <f t="shared" ref="D467:Q467" si="387">+D465</f>
        <v>109386.42823181243</v>
      </c>
      <c r="E467" s="381">
        <f t="shared" si="387"/>
        <v>112317.984508425</v>
      </c>
      <c r="F467" s="381">
        <f t="shared" si="387"/>
        <v>115328.10649325079</v>
      </c>
      <c r="G467" s="381">
        <f t="shared" si="387"/>
        <v>118418.8997472699</v>
      </c>
      <c r="H467" s="381">
        <f t="shared" si="387"/>
        <v>121592.52626049673</v>
      </c>
      <c r="I467" s="381">
        <f t="shared" si="387"/>
        <v>124851.20596427804</v>
      </c>
      <c r="J467" s="381">
        <f t="shared" si="387"/>
        <v>128197.21828412068</v>
      </c>
      <c r="K467" s="381">
        <f t="shared" si="387"/>
        <v>131632.90373413509</v>
      </c>
      <c r="L467" s="381">
        <f t="shared" si="387"/>
        <v>135160.6655542099</v>
      </c>
      <c r="M467" s="381">
        <f t="shared" si="387"/>
        <v>138782.97139106272</v>
      </c>
      <c r="N467" s="381">
        <f t="shared" si="387"/>
        <v>142502.35502434318</v>
      </c>
      <c r="O467" s="381">
        <f t="shared" si="387"/>
        <v>146321.41813899559</v>
      </c>
      <c r="P467" s="381">
        <f t="shared" si="387"/>
        <v>150242.83214512063</v>
      </c>
      <c r="Q467" s="381">
        <f t="shared" si="387"/>
        <v>154269.34004660984</v>
      </c>
    </row>
    <row r="468" spans="1:17" ht="14.4">
      <c r="A468" s="370"/>
      <c r="B468" s="374"/>
      <c r="C468" s="374"/>
      <c r="D468" s="374"/>
      <c r="E468" s="374"/>
      <c r="F468" s="374"/>
      <c r="G468" s="374"/>
      <c r="H468" s="374"/>
      <c r="I468" s="374"/>
      <c r="J468" s="374"/>
      <c r="K468" s="374"/>
      <c r="L468" s="374"/>
      <c r="M468" s="374"/>
      <c r="N468" s="374"/>
      <c r="O468" s="374"/>
      <c r="P468" s="374"/>
      <c r="Q468" s="374"/>
    </row>
    <row r="469" spans="1:17" ht="14.4">
      <c r="A469" s="366" t="s">
        <v>68</v>
      </c>
      <c r="B469" s="368"/>
      <c r="C469" s="368"/>
      <c r="D469" s="368"/>
      <c r="E469" s="368"/>
      <c r="F469" s="368"/>
      <c r="G469" s="368"/>
      <c r="H469" s="368"/>
      <c r="I469" s="368"/>
      <c r="J469" s="368"/>
      <c r="K469" s="368"/>
      <c r="L469" s="368"/>
      <c r="M469" s="368"/>
      <c r="N469" s="368"/>
      <c r="O469" s="368"/>
      <c r="P469" s="368"/>
      <c r="Q469" s="368"/>
    </row>
    <row r="470" spans="1:17" ht="14.4">
      <c r="A470" s="366" t="s">
        <v>296</v>
      </c>
      <c r="B470" s="378">
        <f>+SUM(C470:Q470)</f>
        <v>11529.370291765843</v>
      </c>
      <c r="C470" s="367">
        <f>SUM('Initial Data'!$C$77:$C$80)/'Initial Data'!$C$14/1000</f>
        <v>634.57339732142862</v>
      </c>
      <c r="D470" s="367">
        <f>+C470*(1+'Initial Data'!$C$20/100)</f>
        <v>651.57996436964288</v>
      </c>
      <c r="E470" s="367">
        <f>+D470*(1+'Initial Data'!$C$20/100)</f>
        <v>669.0423074147493</v>
      </c>
      <c r="F470" s="367">
        <f>+E470*(1+'Initial Data'!$C$20/100)</f>
        <v>686.97264125346453</v>
      </c>
      <c r="G470" s="367">
        <f>+F470*(1+'Initial Data'!$C$20/100)</f>
        <v>705.38350803905735</v>
      </c>
      <c r="H470" s="367">
        <f>+G470*(1+'Initial Data'!$C$20/100)</f>
        <v>724.28778605450407</v>
      </c>
      <c r="I470" s="367">
        <f>+H470*(1+'Initial Data'!$C$20/100)</f>
        <v>743.6986987207647</v>
      </c>
      <c r="J470" s="367">
        <f>+I470*(1+'Initial Data'!$C$20/100)</f>
        <v>763.62982384648114</v>
      </c>
      <c r="K470" s="367">
        <f>+J470*(1+'Initial Data'!$C$20/100)</f>
        <v>784.09510312556677</v>
      </c>
      <c r="L470" s="367">
        <f>+K470*(1+'Initial Data'!$C$20/100)</f>
        <v>805.10885188933196</v>
      </c>
      <c r="M470" s="367">
        <f>+L470*(1+'Initial Data'!$C$20/100)</f>
        <v>826.68576911996604</v>
      </c>
      <c r="N470" s="367">
        <f>+M470*(1+'Initial Data'!$C$20/100)</f>
        <v>848.8409477323811</v>
      </c>
      <c r="O470" s="367">
        <f>+N470*(1+'Initial Data'!$C$20/100)</f>
        <v>871.58988513160887</v>
      </c>
      <c r="P470" s="367">
        <f>+O470*(1+'Initial Data'!$C$20/100)</f>
        <v>894.94849405313596</v>
      </c>
      <c r="Q470" s="367">
        <f>+P470*(1+'Initial Data'!$C$20/100)</f>
        <v>918.93311369375999</v>
      </c>
    </row>
    <row r="471" spans="1:17" ht="14.4">
      <c r="A471" s="366" t="s">
        <v>297</v>
      </c>
      <c r="B471" s="378">
        <f>+SUM(C471:Q471)</f>
        <v>13836.767075562186</v>
      </c>
      <c r="C471" s="367">
        <f>('Initial Data'!$C$82/1000+('Initial Data'!$C$83*'Initial Data'!$C$15/'Initial Data'!$C$14)/1000+'Initial Data'!$C$84/'Initial Data'!$C$14/1000)</f>
        <v>761.57188717892859</v>
      </c>
      <c r="D471" s="367">
        <f>+C471*(1+'Initial Data'!$C$20/100)</f>
        <v>781.98201375532381</v>
      </c>
      <c r="E471" s="367">
        <f>+D471*(1+'Initial Data'!$C$20/100)</f>
        <v>802.9391317239664</v>
      </c>
      <c r="F471" s="367">
        <f>+E471*(1+'Initial Data'!$C$20/100)</f>
        <v>824.45790045416868</v>
      </c>
      <c r="G471" s="367">
        <f>+F471*(1+'Initial Data'!$C$20/100)</f>
        <v>846.55337218634031</v>
      </c>
      <c r="H471" s="367">
        <f>+G471*(1+'Initial Data'!$C$20/100)</f>
        <v>869.24100256093413</v>
      </c>
      <c r="I471" s="367">
        <f>+H471*(1+'Initial Data'!$C$20/100)</f>
        <v>892.53666142956706</v>
      </c>
      <c r="J471" s="367">
        <f>+I471*(1+'Initial Data'!$C$20/100)</f>
        <v>916.45664395587937</v>
      </c>
      <c r="K471" s="367">
        <f>+J471*(1+'Initial Data'!$C$20/100)</f>
        <v>941.01768201389689</v>
      </c>
      <c r="L471" s="367">
        <f>+K471*(1+'Initial Data'!$C$20/100)</f>
        <v>966.23695589186923</v>
      </c>
      <c r="M471" s="367">
        <f>+L471*(1+'Initial Data'!$C$20/100)</f>
        <v>992.1321063097713</v>
      </c>
      <c r="N471" s="367">
        <f>+M471*(1+'Initial Data'!$C$20/100)</f>
        <v>1018.7212467588731</v>
      </c>
      <c r="O471" s="367">
        <f>+N471*(1+'Initial Data'!$C$20/100)</f>
        <v>1046.0229761720109</v>
      </c>
      <c r="P471" s="367">
        <f>+O471*(1+'Initial Data'!$C$20/100)</f>
        <v>1074.0563919334206</v>
      </c>
      <c r="Q471" s="367">
        <f>+P471*(1+'Initial Data'!$C$20/100)</f>
        <v>1102.8411032372362</v>
      </c>
    </row>
    <row r="472" spans="1:17" ht="14.4">
      <c r="A472" s="370"/>
      <c r="B472" s="369"/>
      <c r="C472" s="382"/>
      <c r="D472" s="369"/>
      <c r="E472" s="369"/>
      <c r="F472" s="369"/>
      <c r="G472" s="369"/>
      <c r="H472" s="369"/>
      <c r="I472" s="369"/>
      <c r="J472" s="369"/>
      <c r="K472" s="369"/>
      <c r="L472" s="369"/>
      <c r="M472" s="369"/>
      <c r="N472" s="369"/>
      <c r="O472" s="369"/>
      <c r="P472" s="369"/>
      <c r="Q472" s="369"/>
    </row>
    <row r="473" spans="1:17" ht="14.4">
      <c r="A473" s="366" t="s">
        <v>71</v>
      </c>
      <c r="B473" s="379"/>
      <c r="C473" s="379"/>
      <c r="D473" s="379"/>
      <c r="E473" s="379"/>
      <c r="F473" s="379"/>
      <c r="G473" s="379"/>
      <c r="H473" s="379"/>
      <c r="I473" s="379"/>
      <c r="J473" s="379"/>
      <c r="K473" s="379"/>
      <c r="L473" s="379"/>
      <c r="M473" s="379"/>
      <c r="N473" s="379"/>
      <c r="O473" s="379"/>
      <c r="P473" s="379"/>
      <c r="Q473" s="379"/>
    </row>
    <row r="474" spans="1:17" ht="14.4">
      <c r="A474" s="370"/>
      <c r="B474" s="379"/>
      <c r="C474" s="379"/>
      <c r="D474" s="379"/>
      <c r="E474" s="379"/>
      <c r="F474" s="379"/>
      <c r="G474" s="379"/>
      <c r="H474" s="379"/>
      <c r="I474" s="379"/>
      <c r="J474" s="379"/>
      <c r="K474" s="379"/>
      <c r="L474" s="379"/>
      <c r="M474" s="379"/>
      <c r="N474" s="379"/>
      <c r="O474" s="379"/>
      <c r="P474" s="379"/>
      <c r="Q474" s="379"/>
    </row>
    <row r="475" spans="1:17" ht="14.4">
      <c r="A475" s="366" t="s">
        <v>298</v>
      </c>
      <c r="B475" s="378">
        <f>+SUM(C475:Q475)</f>
        <v>25366.137367328029</v>
      </c>
      <c r="C475" s="367">
        <f>SUM(C470:C471)</f>
        <v>1396.1452845003573</v>
      </c>
      <c r="D475" s="367">
        <f>SUM(D470:D471)</f>
        <v>1433.5619781249666</v>
      </c>
      <c r="E475" s="367">
        <f t="shared" ref="E475:Q475" si="388">SUM(E470:E471)</f>
        <v>1471.9814391387158</v>
      </c>
      <c r="F475" s="367">
        <f t="shared" si="388"/>
        <v>1511.4305417076332</v>
      </c>
      <c r="G475" s="367">
        <f t="shared" si="388"/>
        <v>1551.9368802253975</v>
      </c>
      <c r="H475" s="367">
        <f t="shared" si="388"/>
        <v>1593.5287886154383</v>
      </c>
      <c r="I475" s="367">
        <f t="shared" si="388"/>
        <v>1636.2353601503319</v>
      </c>
      <c r="J475" s="367">
        <f t="shared" si="388"/>
        <v>1680.0864678023604</v>
      </c>
      <c r="K475" s="367">
        <f t="shared" si="388"/>
        <v>1725.1127851394635</v>
      </c>
      <c r="L475" s="367">
        <f t="shared" si="388"/>
        <v>1771.3458077812011</v>
      </c>
      <c r="M475" s="367">
        <f t="shared" si="388"/>
        <v>1818.8178754297373</v>
      </c>
      <c r="N475" s="367">
        <f t="shared" si="388"/>
        <v>1867.5621944912541</v>
      </c>
      <c r="O475" s="367">
        <f t="shared" si="388"/>
        <v>1917.6128613036199</v>
      </c>
      <c r="P475" s="367">
        <f t="shared" si="388"/>
        <v>1969.0048859865565</v>
      </c>
      <c r="Q475" s="367">
        <f t="shared" si="388"/>
        <v>2021.7742169309963</v>
      </c>
    </row>
    <row r="476" spans="1:17" ht="14.4">
      <c r="A476" s="370"/>
      <c r="B476" s="379"/>
      <c r="C476" s="379"/>
      <c r="D476" s="379"/>
      <c r="E476" s="379"/>
      <c r="F476" s="379"/>
      <c r="G476" s="379"/>
      <c r="H476" s="379"/>
      <c r="I476" s="379"/>
      <c r="J476" s="379"/>
      <c r="K476" s="379"/>
      <c r="L476" s="379"/>
      <c r="M476" s="379"/>
      <c r="N476" s="379"/>
      <c r="O476" s="379"/>
      <c r="P476" s="379"/>
      <c r="Q476" s="379"/>
    </row>
    <row r="477" spans="1:17" ht="14.4">
      <c r="A477" s="366" t="s">
        <v>299</v>
      </c>
      <c r="B477" s="378">
        <f t="shared" ref="B477:B478" si="389">+SUM(C477:Q477)</f>
        <v>43884.879418749995</v>
      </c>
      <c r="C477" s="367">
        <f>'WHRS_Project Scenario'!$C$8/'Initial Data'!$C$19</f>
        <v>4388.4879418749997</v>
      </c>
      <c r="D477" s="367">
        <f>'WHRS_Project Scenario'!$C$8/'Initial Data'!$C$19</f>
        <v>4388.4879418749997</v>
      </c>
      <c r="E477" s="367">
        <f>'WHRS_Project Scenario'!$C$8/'Initial Data'!$C$19</f>
        <v>4388.4879418749997</v>
      </c>
      <c r="F477" s="367">
        <f>'WHRS_Project Scenario'!$C$8/'Initial Data'!$C$19</f>
        <v>4388.4879418749997</v>
      </c>
      <c r="G477" s="367">
        <f>'WHRS_Project Scenario'!$C$8/'Initial Data'!$C$19</f>
        <v>4388.4879418749997</v>
      </c>
      <c r="H477" s="367">
        <f>'WHRS_Project Scenario'!$C$8/'Initial Data'!$C$19</f>
        <v>4388.4879418749997</v>
      </c>
      <c r="I477" s="367">
        <f>'WHRS_Project Scenario'!$C$8/'Initial Data'!$C$19</f>
        <v>4388.4879418749997</v>
      </c>
      <c r="J477" s="367">
        <f>'WHRS_Project Scenario'!$C$8/'Initial Data'!$C$19</f>
        <v>4388.4879418749997</v>
      </c>
      <c r="K477" s="367">
        <f>'WHRS_Project Scenario'!$C$8/'Initial Data'!$C$19</f>
        <v>4388.4879418749997</v>
      </c>
      <c r="L477" s="367">
        <f>'WHRS_Project Scenario'!$C$8/'Initial Data'!$C$19</f>
        <v>4388.4879418749997</v>
      </c>
      <c r="M477" s="367">
        <v>0</v>
      </c>
      <c r="N477" s="367">
        <v>0</v>
      </c>
      <c r="O477" s="367">
        <v>0</v>
      </c>
      <c r="P477" s="367">
        <v>0</v>
      </c>
      <c r="Q477" s="367">
        <v>0</v>
      </c>
    </row>
    <row r="478" spans="1:17" ht="14.4">
      <c r="A478" s="366" t="s">
        <v>300</v>
      </c>
      <c r="B478" s="378">
        <f t="shared" si="389"/>
        <v>43884.879418749995</v>
      </c>
      <c r="C478" s="367">
        <f>SUM(C477:C477)</f>
        <v>4388.4879418749997</v>
      </c>
      <c r="D478" s="367">
        <f t="shared" ref="D478:Q478" si="390">SUM(D477:D477)</f>
        <v>4388.4879418749997</v>
      </c>
      <c r="E478" s="367">
        <f t="shared" si="390"/>
        <v>4388.4879418749997</v>
      </c>
      <c r="F478" s="367">
        <f t="shared" si="390"/>
        <v>4388.4879418749997</v>
      </c>
      <c r="G478" s="367">
        <f t="shared" si="390"/>
        <v>4388.4879418749997</v>
      </c>
      <c r="H478" s="367">
        <f t="shared" si="390"/>
        <v>4388.4879418749997</v>
      </c>
      <c r="I478" s="367">
        <f t="shared" si="390"/>
        <v>4388.4879418749997</v>
      </c>
      <c r="J478" s="367">
        <f t="shared" si="390"/>
        <v>4388.4879418749997</v>
      </c>
      <c r="K478" s="367">
        <f t="shared" si="390"/>
        <v>4388.4879418749997</v>
      </c>
      <c r="L478" s="367">
        <f t="shared" si="390"/>
        <v>4388.4879418749997</v>
      </c>
      <c r="M478" s="367">
        <f t="shared" si="390"/>
        <v>0</v>
      </c>
      <c r="N478" s="367">
        <f t="shared" si="390"/>
        <v>0</v>
      </c>
      <c r="O478" s="367">
        <f t="shared" si="390"/>
        <v>0</v>
      </c>
      <c r="P478" s="367">
        <f t="shared" si="390"/>
        <v>0</v>
      </c>
      <c r="Q478" s="367">
        <f t="shared" si="390"/>
        <v>0</v>
      </c>
    </row>
    <row r="479" spans="1:17" ht="14.4">
      <c r="A479" s="370"/>
      <c r="B479" s="379"/>
      <c r="C479" s="379"/>
      <c r="D479" s="379"/>
      <c r="E479" s="379"/>
      <c r="F479" s="379"/>
      <c r="G479" s="379"/>
      <c r="H479" s="379"/>
      <c r="I479" s="379"/>
      <c r="J479" s="379"/>
      <c r="K479" s="379"/>
      <c r="L479" s="379"/>
      <c r="M479" s="379"/>
      <c r="N479" s="379"/>
      <c r="O479" s="379"/>
      <c r="P479" s="379"/>
      <c r="Q479" s="379"/>
    </row>
    <row r="480" spans="1:17" ht="14.4">
      <c r="A480" s="366" t="s">
        <v>301</v>
      </c>
      <c r="B480" s="378">
        <f>+SUM(C480:Q480)</f>
        <v>69251.016786078035</v>
      </c>
      <c r="C480" s="367">
        <f>+C475+C478</f>
        <v>5784.6332263753575</v>
      </c>
      <c r="D480" s="367">
        <f>+D475+D478</f>
        <v>5822.0499199999667</v>
      </c>
      <c r="E480" s="367">
        <f t="shared" ref="E480:Q480" si="391">+E475+E478</f>
        <v>5860.469381013716</v>
      </c>
      <c r="F480" s="367">
        <f t="shared" si="391"/>
        <v>5899.9184835826327</v>
      </c>
      <c r="G480" s="367">
        <f t="shared" si="391"/>
        <v>5940.4248221003973</v>
      </c>
      <c r="H480" s="367">
        <f t="shared" si="391"/>
        <v>5982.016730490438</v>
      </c>
      <c r="I480" s="367">
        <f t="shared" si="391"/>
        <v>6024.7233020253316</v>
      </c>
      <c r="J480" s="367">
        <f t="shared" si="391"/>
        <v>6068.5744096773597</v>
      </c>
      <c r="K480" s="367">
        <f t="shared" si="391"/>
        <v>6113.6007270144637</v>
      </c>
      <c r="L480" s="367">
        <f t="shared" si="391"/>
        <v>6159.8337496562008</v>
      </c>
      <c r="M480" s="367">
        <f t="shared" si="391"/>
        <v>1818.8178754297373</v>
      </c>
      <c r="N480" s="367">
        <f t="shared" si="391"/>
        <v>1867.5621944912541</v>
      </c>
      <c r="O480" s="367">
        <f t="shared" si="391"/>
        <v>1917.6128613036199</v>
      </c>
      <c r="P480" s="367">
        <f t="shared" si="391"/>
        <v>1969.0048859865565</v>
      </c>
      <c r="Q480" s="367">
        <f t="shared" si="391"/>
        <v>2021.7742169309963</v>
      </c>
    </row>
    <row r="481" spans="1:17" ht="14.4">
      <c r="A481" s="370"/>
      <c r="B481" s="379"/>
      <c r="C481" s="379"/>
      <c r="D481" s="379"/>
      <c r="E481" s="379"/>
      <c r="F481" s="379"/>
      <c r="G481" s="379"/>
      <c r="H481" s="379"/>
      <c r="I481" s="379"/>
      <c r="J481" s="379"/>
      <c r="K481" s="379"/>
      <c r="L481" s="379"/>
      <c r="M481" s="379"/>
      <c r="N481" s="379"/>
      <c r="O481" s="379"/>
      <c r="P481" s="379"/>
      <c r="Q481" s="379"/>
    </row>
    <row r="482" spans="1:17" ht="14.4">
      <c r="A482" s="364" t="s">
        <v>302</v>
      </c>
      <c r="B482" s="378">
        <f>+SUM(C482:Q482)</f>
        <v>1866285.2257966932</v>
      </c>
      <c r="C482" s="367">
        <f>+C467-C480</f>
        <v>100746.75383226552</v>
      </c>
      <c r="D482" s="367">
        <f>+D467-D480</f>
        <v>103564.37831181247</v>
      </c>
      <c r="E482" s="367">
        <f t="shared" ref="E482:Q482" si="392">+E467-E480</f>
        <v>106457.51512741129</v>
      </c>
      <c r="F482" s="367">
        <f t="shared" si="392"/>
        <v>109428.18800966816</v>
      </c>
      <c r="G482" s="367">
        <f t="shared" si="392"/>
        <v>112478.4749251695</v>
      </c>
      <c r="H482" s="367">
        <f t="shared" si="392"/>
        <v>115610.5095300063</v>
      </c>
      <c r="I482" s="367">
        <f t="shared" si="392"/>
        <v>118826.4826622527</v>
      </c>
      <c r="J482" s="367">
        <f t="shared" si="392"/>
        <v>122128.64387444333</v>
      </c>
      <c r="K482" s="367">
        <f t="shared" si="392"/>
        <v>125519.30300712063</v>
      </c>
      <c r="L482" s="367">
        <f t="shared" si="392"/>
        <v>129000.8318045537</v>
      </c>
      <c r="M482" s="367">
        <f t="shared" si="392"/>
        <v>136964.15351563299</v>
      </c>
      <c r="N482" s="367">
        <f t="shared" si="392"/>
        <v>140634.79282985194</v>
      </c>
      <c r="O482" s="367">
        <f t="shared" si="392"/>
        <v>144403.80527769198</v>
      </c>
      <c r="P482" s="367">
        <f t="shared" si="392"/>
        <v>148273.82725913406</v>
      </c>
      <c r="Q482" s="367">
        <f t="shared" si="392"/>
        <v>152247.56582967885</v>
      </c>
    </row>
    <row r="483" spans="1:17" ht="14.4">
      <c r="A483" s="364"/>
    </row>
    <row r="484" spans="1:17" ht="14.4">
      <c r="A484" s="364" t="s">
        <v>222</v>
      </c>
      <c r="B484" s="380">
        <f>+'WHRS_Project Scenario'!C39</f>
        <v>0.7</v>
      </c>
      <c r="C484" s="367">
        <f>IF((+$B$484*C482)&lt;0,"0",(+$B$484*C482))</f>
        <v>70522.727682585857</v>
      </c>
      <c r="D484" s="367">
        <f>IF((+$B$484*D482)&lt;0,"0",(+$B$484*D482))</f>
        <v>72495.064818268729</v>
      </c>
      <c r="E484" s="367">
        <f t="shared" ref="E484:Q484" si="393">IF((+$B$484*E482)&lt;0,"0",(+$B$484*E482))</f>
        <v>74520.260589187892</v>
      </c>
      <c r="F484" s="367">
        <f t="shared" si="393"/>
        <v>76599.731606767702</v>
      </c>
      <c r="G484" s="367">
        <f t="shared" si="393"/>
        <v>78734.932447618645</v>
      </c>
      <c r="H484" s="367">
        <f t="shared" si="393"/>
        <v>80927.356671004396</v>
      </c>
      <c r="I484" s="367">
        <f t="shared" si="393"/>
        <v>83178.537863576887</v>
      </c>
      <c r="J484" s="367">
        <f t="shared" si="393"/>
        <v>85490.050712110329</v>
      </c>
      <c r="K484" s="367">
        <f t="shared" si="393"/>
        <v>87863.512104984431</v>
      </c>
      <c r="L484" s="367">
        <f t="shared" si="393"/>
        <v>90300.582263187593</v>
      </c>
      <c r="M484" s="367">
        <f t="shared" si="393"/>
        <v>95874.907460943083</v>
      </c>
      <c r="N484" s="367">
        <f t="shared" si="393"/>
        <v>98444.354980896358</v>
      </c>
      <c r="O484" s="367">
        <f t="shared" si="393"/>
        <v>101082.66369438438</v>
      </c>
      <c r="P484" s="367">
        <f t="shared" si="393"/>
        <v>103791.67908139384</v>
      </c>
      <c r="Q484" s="367">
        <f t="shared" si="393"/>
        <v>106573.29608077518</v>
      </c>
    </row>
    <row r="485" spans="1:17" ht="14.4">
      <c r="A485" s="364" t="s">
        <v>303</v>
      </c>
      <c r="B485" s="378">
        <f>+SUM(C485:Q485)</f>
        <v>1306399.6580576852</v>
      </c>
      <c r="C485" s="367">
        <f>SUM(C484:C484)</f>
        <v>70522.727682585857</v>
      </c>
      <c r="D485" s="367">
        <f t="shared" ref="D485:Q485" si="394">SUM(D484:D484)</f>
        <v>72495.064818268729</v>
      </c>
      <c r="E485" s="367">
        <f t="shared" si="394"/>
        <v>74520.260589187892</v>
      </c>
      <c r="F485" s="367">
        <f t="shared" si="394"/>
        <v>76599.731606767702</v>
      </c>
      <c r="G485" s="367">
        <f t="shared" si="394"/>
        <v>78734.932447618645</v>
      </c>
      <c r="H485" s="367">
        <f t="shared" si="394"/>
        <v>80927.356671004396</v>
      </c>
      <c r="I485" s="367">
        <f t="shared" si="394"/>
        <v>83178.537863576887</v>
      </c>
      <c r="J485" s="367">
        <f t="shared" si="394"/>
        <v>85490.050712110329</v>
      </c>
      <c r="K485" s="367">
        <f t="shared" si="394"/>
        <v>87863.512104984431</v>
      </c>
      <c r="L485" s="367">
        <f t="shared" si="394"/>
        <v>90300.582263187593</v>
      </c>
      <c r="M485" s="367">
        <f t="shared" si="394"/>
        <v>95874.907460943083</v>
      </c>
      <c r="N485" s="367">
        <f t="shared" si="394"/>
        <v>98444.354980896358</v>
      </c>
      <c r="O485" s="367">
        <f t="shared" si="394"/>
        <v>101082.66369438438</v>
      </c>
      <c r="P485" s="367">
        <f t="shared" si="394"/>
        <v>103791.67908139384</v>
      </c>
      <c r="Q485" s="367">
        <f t="shared" si="394"/>
        <v>106573.29608077518</v>
      </c>
    </row>
    <row r="486" spans="1:17" ht="14.4">
      <c r="A486" s="369"/>
    </row>
    <row r="487" spans="1:17" ht="14.4">
      <c r="A487" s="364" t="s">
        <v>304</v>
      </c>
      <c r="B487" s="378">
        <f t="shared" ref="B487:B489" si="395">+SUM(C487:Q487)</f>
        <v>559885.56773900811</v>
      </c>
      <c r="C487" s="367">
        <f>C482-C485</f>
        <v>30224.026149679659</v>
      </c>
      <c r="D487" s="367">
        <f t="shared" ref="D487:Q487" si="396">D482-D485</f>
        <v>31069.313493543741</v>
      </c>
      <c r="E487" s="367">
        <f t="shared" si="396"/>
        <v>31937.254538223395</v>
      </c>
      <c r="F487" s="367">
        <f t="shared" si="396"/>
        <v>32828.456402900454</v>
      </c>
      <c r="G487" s="367">
        <f t="shared" si="396"/>
        <v>33743.542477550858</v>
      </c>
      <c r="H487" s="367">
        <f t="shared" si="396"/>
        <v>34683.152859001901</v>
      </c>
      <c r="I487" s="367">
        <f t="shared" si="396"/>
        <v>35647.944798675817</v>
      </c>
      <c r="J487" s="367">
        <f t="shared" si="396"/>
        <v>36638.593162332996</v>
      </c>
      <c r="K487" s="367">
        <f t="shared" si="396"/>
        <v>37655.790902136199</v>
      </c>
      <c r="L487" s="367">
        <f t="shared" si="396"/>
        <v>38700.249541366109</v>
      </c>
      <c r="M487" s="367">
        <f t="shared" si="396"/>
        <v>41089.246054689909</v>
      </c>
      <c r="N487" s="367">
        <f t="shared" si="396"/>
        <v>42190.437848955582</v>
      </c>
      <c r="O487" s="367">
        <f t="shared" si="396"/>
        <v>43321.141583307603</v>
      </c>
      <c r="P487" s="367">
        <f t="shared" si="396"/>
        <v>44482.148177740222</v>
      </c>
      <c r="Q487" s="367">
        <f t="shared" si="396"/>
        <v>45674.269748903665</v>
      </c>
    </row>
    <row r="488" spans="1:17" ht="14.4">
      <c r="A488" s="364" t="s">
        <v>305</v>
      </c>
      <c r="B488" s="378">
        <f t="shared" si="395"/>
        <v>43884.879418749995</v>
      </c>
      <c r="C488" s="367">
        <f>+C477</f>
        <v>4388.4879418749997</v>
      </c>
      <c r="D488" s="367">
        <f t="shared" ref="D488:Q488" si="397">+D477</f>
        <v>4388.4879418749997</v>
      </c>
      <c r="E488" s="367">
        <f t="shared" si="397"/>
        <v>4388.4879418749997</v>
      </c>
      <c r="F488" s="367">
        <f t="shared" si="397"/>
        <v>4388.4879418749997</v>
      </c>
      <c r="G488" s="367">
        <f t="shared" si="397"/>
        <v>4388.4879418749997</v>
      </c>
      <c r="H488" s="367">
        <f t="shared" si="397"/>
        <v>4388.4879418749997</v>
      </c>
      <c r="I488" s="367">
        <f t="shared" si="397"/>
        <v>4388.4879418749997</v>
      </c>
      <c r="J488" s="367">
        <f t="shared" si="397"/>
        <v>4388.4879418749997</v>
      </c>
      <c r="K488" s="367">
        <f t="shared" si="397"/>
        <v>4388.4879418749997</v>
      </c>
      <c r="L488" s="367">
        <f t="shared" si="397"/>
        <v>4388.4879418749997</v>
      </c>
      <c r="M488" s="367">
        <f t="shared" si="397"/>
        <v>0</v>
      </c>
      <c r="N488" s="367">
        <f t="shared" si="397"/>
        <v>0</v>
      </c>
      <c r="O488" s="367">
        <f t="shared" si="397"/>
        <v>0</v>
      </c>
      <c r="P488" s="367">
        <f t="shared" si="397"/>
        <v>0</v>
      </c>
      <c r="Q488" s="367">
        <f t="shared" si="397"/>
        <v>0</v>
      </c>
    </row>
    <row r="489" spans="1:17" ht="14.4">
      <c r="A489" s="364" t="s">
        <v>306</v>
      </c>
      <c r="B489" s="378">
        <f t="shared" si="395"/>
        <v>0</v>
      </c>
      <c r="C489" s="367">
        <f>+'WHRS_Project Scenario'!D462</f>
        <v>0</v>
      </c>
      <c r="D489" s="367">
        <f>+'WHRS_Project Scenario'!E462</f>
        <v>0</v>
      </c>
      <c r="E489" s="367">
        <f>+'WHRS_Project Scenario'!F462</f>
        <v>0</v>
      </c>
      <c r="F489" s="367">
        <f>+'WHRS_Project Scenario'!G462</f>
        <v>0</v>
      </c>
      <c r="G489" s="367">
        <f>+'WHRS_Project Scenario'!H462</f>
        <v>0</v>
      </c>
      <c r="H489" s="367">
        <f>+'WHRS_Project Scenario'!I462</f>
        <v>0</v>
      </c>
      <c r="I489" s="367">
        <f>+'WHRS_Project Scenario'!J462</f>
        <v>0</v>
      </c>
      <c r="J489" s="367">
        <f>+'WHRS_Project Scenario'!K462</f>
        <v>0</v>
      </c>
      <c r="K489" s="367">
        <f>+'WHRS_Project Scenario'!L462</f>
        <v>0</v>
      </c>
      <c r="L489" s="367">
        <f>+'WHRS_Project Scenario'!M462</f>
        <v>0</v>
      </c>
      <c r="M489" s="367">
        <f>+'WHRS_Project Scenario'!N462</f>
        <v>0</v>
      </c>
      <c r="N489" s="367">
        <f>+'WHRS_Project Scenario'!O462</f>
        <v>0</v>
      </c>
      <c r="O489" s="367">
        <f>+'WHRS_Project Scenario'!P462</f>
        <v>0</v>
      </c>
      <c r="P489" s="367">
        <f>+'WHRS_Project Scenario'!Q462</f>
        <v>0</v>
      </c>
      <c r="Q489" s="367">
        <f>+'WHRS_Project Scenario'!R462</f>
        <v>0</v>
      </c>
    </row>
    <row r="490" spans="1:17" ht="14.4">
      <c r="A490" s="364"/>
    </row>
    <row r="491" spans="1:17" ht="14.4">
      <c r="A491" s="364" t="s">
        <v>110</v>
      </c>
      <c r="B491" s="378">
        <f>-'WHRS_Project Scenario'!C8</f>
        <v>-43884.879418749995</v>
      </c>
      <c r="C491" s="367">
        <f>C487+C488+C489</f>
        <v>34612.514091554658</v>
      </c>
      <c r="D491" s="367">
        <f t="shared" ref="D491:Q491" si="398">D487+D488+D489</f>
        <v>35457.80143541874</v>
      </c>
      <c r="E491" s="367">
        <f t="shared" si="398"/>
        <v>36325.742480098394</v>
      </c>
      <c r="F491" s="367">
        <f t="shared" si="398"/>
        <v>37216.944344775453</v>
      </c>
      <c r="G491" s="367">
        <f t="shared" si="398"/>
        <v>38132.030419425857</v>
      </c>
      <c r="H491" s="367">
        <f t="shared" si="398"/>
        <v>39071.640800876899</v>
      </c>
      <c r="I491" s="367">
        <f t="shared" si="398"/>
        <v>40036.432740550816</v>
      </c>
      <c r="J491" s="367">
        <f t="shared" si="398"/>
        <v>41027.081104207995</v>
      </c>
      <c r="K491" s="367">
        <f t="shared" si="398"/>
        <v>42044.278844011198</v>
      </c>
      <c r="L491" s="367">
        <f t="shared" si="398"/>
        <v>43088.737483241108</v>
      </c>
      <c r="M491" s="367">
        <f t="shared" si="398"/>
        <v>41089.246054689909</v>
      </c>
      <c r="N491" s="367">
        <f t="shared" si="398"/>
        <v>42190.437848955582</v>
      </c>
      <c r="O491" s="367">
        <f t="shared" si="398"/>
        <v>43321.141583307603</v>
      </c>
      <c r="P491" s="367">
        <f t="shared" si="398"/>
        <v>44482.148177740222</v>
      </c>
      <c r="Q491" s="367">
        <f t="shared" si="398"/>
        <v>45674.269748903665</v>
      </c>
    </row>
    <row r="492" spans="1:17" ht="15.6">
      <c r="A492" s="364" t="s">
        <v>51</v>
      </c>
      <c r="B492" s="132">
        <f>IRR(B491:Q491)</f>
        <v>0.81288491989427214</v>
      </c>
    </row>
    <row r="493" spans="1:17" ht="15.6">
      <c r="A493" s="364" t="s">
        <v>267</v>
      </c>
      <c r="B493" s="303">
        <f>NPV('Initial Data'!C21/100,B491:Q491)</f>
        <v>196390.60776371029</v>
      </c>
    </row>
    <row r="495" spans="1:17" ht="14.4">
      <c r="A495" s="508" t="s">
        <v>320</v>
      </c>
      <c r="B495" s="509"/>
      <c r="C495" s="509"/>
      <c r="D495" s="509"/>
      <c r="E495" s="509"/>
      <c r="F495" s="509"/>
      <c r="G495" s="509"/>
      <c r="H495" s="509"/>
      <c r="I495" s="509"/>
      <c r="J495" s="509"/>
      <c r="K495" s="509"/>
      <c r="L495" s="509"/>
      <c r="M495" s="509"/>
      <c r="N495" s="509"/>
      <c r="O495" s="509"/>
      <c r="P495" s="509"/>
      <c r="Q495" s="509"/>
    </row>
    <row r="496" spans="1:17" ht="14.4">
      <c r="A496" s="371" t="s">
        <v>338</v>
      </c>
      <c r="B496" s="372"/>
      <c r="C496" s="372"/>
      <c r="D496" s="372"/>
      <c r="E496" s="372"/>
      <c r="F496" s="372"/>
      <c r="G496" s="372"/>
      <c r="H496" s="372"/>
      <c r="I496" s="372"/>
      <c r="J496" s="372"/>
      <c r="K496" s="372"/>
      <c r="L496" s="372"/>
      <c r="M496" s="372"/>
      <c r="N496" s="372"/>
      <c r="O496" s="372"/>
      <c r="P496" s="372"/>
      <c r="Q496" s="372"/>
    </row>
    <row r="497" spans="1:17" ht="27">
      <c r="A497" s="376"/>
      <c r="B497" s="304" t="s">
        <v>35</v>
      </c>
      <c r="C497" s="352" t="s">
        <v>407</v>
      </c>
      <c r="D497" s="352" t="s">
        <v>408</v>
      </c>
      <c r="E497" s="352" t="s">
        <v>409</v>
      </c>
      <c r="F497" s="352" t="s">
        <v>410</v>
      </c>
      <c r="G497" s="352" t="s">
        <v>411</v>
      </c>
      <c r="H497" s="352" t="s">
        <v>412</v>
      </c>
      <c r="I497" s="352" t="s">
        <v>413</v>
      </c>
      <c r="J497" s="352" t="s">
        <v>414</v>
      </c>
      <c r="K497" s="352" t="s">
        <v>415</v>
      </c>
      <c r="L497" s="352" t="s">
        <v>416</v>
      </c>
      <c r="M497" s="352" t="s">
        <v>417</v>
      </c>
      <c r="N497" s="352" t="s">
        <v>418</v>
      </c>
      <c r="O497" s="352" t="s">
        <v>419</v>
      </c>
      <c r="P497" s="352" t="s">
        <v>420</v>
      </c>
      <c r="Q497" s="352" t="s">
        <v>421</v>
      </c>
    </row>
    <row r="498" spans="1:17" ht="14.4">
      <c r="A498" s="363" t="s">
        <v>290</v>
      </c>
      <c r="B498" s="365"/>
      <c r="C498" s="377">
        <f>+'WHRS_Project Scenario'!D15</f>
        <v>215214.92335078961</v>
      </c>
      <c r="D498" s="377">
        <f>+'WHRS_Project Scenario'!E15</f>
        <v>215214.92335078961</v>
      </c>
      <c r="E498" s="377">
        <f>+'WHRS_Project Scenario'!F15</f>
        <v>215214.92335078961</v>
      </c>
      <c r="F498" s="377">
        <f>+'WHRS_Project Scenario'!G15</f>
        <v>215214.92335078961</v>
      </c>
      <c r="G498" s="377">
        <f>+'WHRS_Project Scenario'!H15</f>
        <v>215214.92335078961</v>
      </c>
      <c r="H498" s="377">
        <f>+'WHRS_Project Scenario'!I15</f>
        <v>215214.92335078961</v>
      </c>
      <c r="I498" s="377">
        <f>+'WHRS_Project Scenario'!J15</f>
        <v>215214.92335078961</v>
      </c>
      <c r="J498" s="377">
        <f>+'WHRS_Project Scenario'!K15</f>
        <v>215214.92335078961</v>
      </c>
      <c r="K498" s="377">
        <f>+'WHRS_Project Scenario'!L15</f>
        <v>215214.92335078961</v>
      </c>
      <c r="L498" s="377">
        <f>+'WHRS_Project Scenario'!M15</f>
        <v>215214.92335078961</v>
      </c>
      <c r="M498" s="377">
        <f>+'WHRS_Project Scenario'!N15</f>
        <v>215214.92335078961</v>
      </c>
      <c r="N498" s="377">
        <f>+'WHRS_Project Scenario'!O15</f>
        <v>215214.92335078961</v>
      </c>
      <c r="O498" s="377">
        <f>+'WHRS_Project Scenario'!P15</f>
        <v>215214.92335078961</v>
      </c>
      <c r="P498" s="377">
        <f>+'WHRS_Project Scenario'!Q15</f>
        <v>215214.92335078961</v>
      </c>
      <c r="Q498" s="377">
        <f>+'WHRS_Project Scenario'!R15</f>
        <v>215214.92335078961</v>
      </c>
    </row>
    <row r="499" spans="1:17" ht="14.4">
      <c r="A499" s="364" t="s">
        <v>291</v>
      </c>
      <c r="B499" s="365"/>
      <c r="C499" s="381">
        <f>'Initial Data'!$C$50*(1+'WHRS Sensitivity Analysis'!$B$6)-'Initial Data'!$C$51</f>
        <v>58</v>
      </c>
      <c r="D499" s="381">
        <f>'Initial Data'!$C$50*(1+'WHRS Sensitivity Analysis'!$B$6)-'Initial Data'!$C$51</f>
        <v>58</v>
      </c>
      <c r="E499" s="381">
        <f>'Initial Data'!$C$50*(1+'WHRS Sensitivity Analysis'!$B$6)-'Initial Data'!$C$51</f>
        <v>58</v>
      </c>
      <c r="F499" s="381">
        <f>'Initial Data'!$C$50*(1+'WHRS Sensitivity Analysis'!$B$6)-'Initial Data'!$C$51</f>
        <v>58</v>
      </c>
      <c r="G499" s="381">
        <f>'Initial Data'!$C$50*(1+'WHRS Sensitivity Analysis'!$B$6)-'Initial Data'!$C$51</f>
        <v>58</v>
      </c>
      <c r="H499" s="381">
        <f>'Initial Data'!$C$50*(1+'WHRS Sensitivity Analysis'!$B$6)-'Initial Data'!$C$51</f>
        <v>58</v>
      </c>
      <c r="I499" s="381">
        <f>'Initial Data'!$C$50*(1+'WHRS Sensitivity Analysis'!$B$6)-'Initial Data'!$C$51</f>
        <v>58</v>
      </c>
      <c r="J499" s="381">
        <f>'Initial Data'!$C$50*(1+'WHRS Sensitivity Analysis'!$B$6)-'Initial Data'!$C$51</f>
        <v>58</v>
      </c>
      <c r="K499" s="381">
        <f>'Initial Data'!$C$50*(1+'WHRS Sensitivity Analysis'!$B$6)-'Initial Data'!$C$51</f>
        <v>58</v>
      </c>
      <c r="L499" s="381">
        <f>'Initial Data'!$C$50*(1+'WHRS Sensitivity Analysis'!$B$6)-'Initial Data'!$C$51</f>
        <v>58</v>
      </c>
      <c r="M499" s="381">
        <f>'Initial Data'!$C$50*(1+'WHRS Sensitivity Analysis'!$B$6)-'Initial Data'!$C$51</f>
        <v>58</v>
      </c>
      <c r="N499" s="381">
        <f>'Initial Data'!$C$50*(1+'WHRS Sensitivity Analysis'!$B$6)-'Initial Data'!$C$51</f>
        <v>58</v>
      </c>
      <c r="O499" s="381">
        <f>'Initial Data'!$C$50*(1+'WHRS Sensitivity Analysis'!$B$6)-'Initial Data'!$C$51</f>
        <v>58</v>
      </c>
      <c r="P499" s="381">
        <f>'Initial Data'!$C$50*(1+'WHRS Sensitivity Analysis'!$B$6)-'Initial Data'!$C$51</f>
        <v>58</v>
      </c>
      <c r="Q499" s="381">
        <f>'Initial Data'!$C$50*(1+'WHRS Sensitivity Analysis'!$B$6)-'Initial Data'!$C$51</f>
        <v>58</v>
      </c>
    </row>
    <row r="500" spans="1:17" ht="14.4">
      <c r="A500" s="366" t="s">
        <v>292</v>
      </c>
      <c r="B500" s="365"/>
      <c r="C500" s="385">
        <f>+'WHRS_Project Scenario'!D17</f>
        <v>6.4285714285714288</v>
      </c>
      <c r="D500" s="385">
        <f>+'WHRS_Project Scenario'!E17</f>
        <v>6.6008571428571425</v>
      </c>
      <c r="E500" s="385">
        <f>+'WHRS_Project Scenario'!F17</f>
        <v>6.7777601142857131</v>
      </c>
      <c r="F500" s="385">
        <f>+'WHRS_Project Scenario'!G17</f>
        <v>6.9594040853485701</v>
      </c>
      <c r="G500" s="385">
        <f>+'WHRS_Project Scenario'!H17</f>
        <v>7.1459161148359112</v>
      </c>
      <c r="H500" s="385">
        <f>+'WHRS_Project Scenario'!I17</f>
        <v>7.3374266667135135</v>
      </c>
      <c r="I500" s="385">
        <f>+'WHRS_Project Scenario'!J17</f>
        <v>7.5340697013814353</v>
      </c>
      <c r="J500" s="385">
        <f>+'WHRS_Project Scenario'!K17</f>
        <v>7.7359827693784569</v>
      </c>
      <c r="K500" s="385">
        <f>+'WHRS_Project Scenario'!L17</f>
        <v>7.943307107597799</v>
      </c>
      <c r="L500" s="385">
        <f>+'WHRS_Project Scenario'!M17</f>
        <v>8.1561877380814192</v>
      </c>
      <c r="M500" s="385">
        <f>+'WHRS_Project Scenario'!N17</f>
        <v>8.3747735694620005</v>
      </c>
      <c r="N500" s="385">
        <f>+'WHRS_Project Scenario'!O17</f>
        <v>8.5992175011235812</v>
      </c>
      <c r="O500" s="385">
        <f>+'WHRS_Project Scenario'!P17</f>
        <v>8.8296765301536926</v>
      </c>
      <c r="P500" s="385">
        <f>+'WHRS_Project Scenario'!Q17</f>
        <v>9.066311861161811</v>
      </c>
      <c r="Q500" s="385">
        <f>+'WHRS_Project Scenario'!R17</f>
        <v>9.3092890190409463</v>
      </c>
    </row>
    <row r="501" spans="1:17" ht="14.4">
      <c r="A501" s="366" t="s">
        <v>293</v>
      </c>
      <c r="B501" s="365"/>
      <c r="C501" s="381">
        <f>+C499*C500</f>
        <v>372.85714285714289</v>
      </c>
      <c r="D501" s="381">
        <f t="shared" ref="D501:Q501" si="399">+D499*D500</f>
        <v>382.84971428571424</v>
      </c>
      <c r="E501" s="381">
        <f t="shared" si="399"/>
        <v>393.11008662857137</v>
      </c>
      <c r="F501" s="381">
        <f t="shared" si="399"/>
        <v>403.64543695021706</v>
      </c>
      <c r="G501" s="381">
        <f t="shared" si="399"/>
        <v>414.46313466048287</v>
      </c>
      <c r="H501" s="381">
        <f t="shared" si="399"/>
        <v>425.57074666938377</v>
      </c>
      <c r="I501" s="381">
        <f t="shared" si="399"/>
        <v>436.97604268012327</v>
      </c>
      <c r="J501" s="381">
        <f t="shared" si="399"/>
        <v>448.6870006239505</v>
      </c>
      <c r="K501" s="381">
        <f t="shared" si="399"/>
        <v>460.71181224067232</v>
      </c>
      <c r="L501" s="381">
        <f t="shared" si="399"/>
        <v>473.05888880872232</v>
      </c>
      <c r="M501" s="381">
        <f t="shared" si="399"/>
        <v>485.73686702879604</v>
      </c>
      <c r="N501" s="381">
        <f t="shared" si="399"/>
        <v>498.75461506516768</v>
      </c>
      <c r="O501" s="381">
        <f t="shared" si="399"/>
        <v>512.12123874891415</v>
      </c>
      <c r="P501" s="381">
        <f t="shared" si="399"/>
        <v>525.84608794738506</v>
      </c>
      <c r="Q501" s="381">
        <f t="shared" si="399"/>
        <v>539.93876310437486</v>
      </c>
    </row>
    <row r="502" spans="1:17" ht="14.4">
      <c r="A502" s="370"/>
      <c r="B502" s="373"/>
      <c r="C502" s="373"/>
      <c r="D502" s="373"/>
      <c r="E502" s="373"/>
      <c r="F502" s="373"/>
      <c r="G502" s="373"/>
      <c r="H502" s="373"/>
      <c r="I502" s="373"/>
      <c r="J502" s="373"/>
      <c r="K502" s="373"/>
      <c r="L502" s="373"/>
      <c r="M502" s="373"/>
      <c r="N502" s="373"/>
      <c r="O502" s="373"/>
      <c r="P502" s="373"/>
      <c r="Q502" s="373"/>
    </row>
    <row r="503" spans="1:17" ht="14.4">
      <c r="A503" s="366" t="s">
        <v>294</v>
      </c>
      <c r="B503" s="377">
        <f>+SUM(C503:Q503)</f>
        <v>1457936.3905168925</v>
      </c>
      <c r="C503" s="377">
        <f>C498*C501/1000*'Initial Data'!$C$34/'Initial Data'!$C$33</f>
        <v>80244.421420794431</v>
      </c>
      <c r="D503" s="377">
        <f>D498*D501/1000*'Initial Data'!$C$34/'Initial Data'!$C$33</f>
        <v>82394.971914871698</v>
      </c>
      <c r="E503" s="377">
        <f>E498*E501/1000*'Initial Data'!$C$34/'Initial Data'!$C$33</f>
        <v>84603.157162190255</v>
      </c>
      <c r="F503" s="377">
        <f>F498*F501/1000*'Initial Data'!$C$34/'Initial Data'!$C$33</f>
        <v>86870.521774136942</v>
      </c>
      <c r="G503" s="377">
        <f>G498*G501/1000*'Initial Data'!$C$34/'Initial Data'!$C$33</f>
        <v>89198.651757683809</v>
      </c>
      <c r="H503" s="377">
        <f>H498*H501/1000*'Initial Data'!$C$34/'Initial Data'!$C$33</f>
        <v>91589.175624789728</v>
      </c>
      <c r="I503" s="377">
        <f>I498*I501/1000*'Initial Data'!$C$34/'Initial Data'!$C$33</f>
        <v>94043.765531534111</v>
      </c>
      <c r="J503" s="377">
        <f>J498*J501/1000*'Initial Data'!$C$34/'Initial Data'!$C$33</f>
        <v>96564.138447779187</v>
      </c>
      <c r="K503" s="377">
        <f>K498*K501/1000*'Initial Data'!$C$34/'Initial Data'!$C$33</f>
        <v>99152.057358179678</v>
      </c>
      <c r="L503" s="377">
        <f>L498*L501/1000*'Initial Data'!$C$34/'Initial Data'!$C$33</f>
        <v>101809.33249537888</v>
      </c>
      <c r="M503" s="377">
        <f>M498*M501/1000*'Initial Data'!$C$34/'Initial Data'!$C$33</f>
        <v>104537.82260625502</v>
      </c>
      <c r="N503" s="377">
        <f>N498*N501/1000*'Initial Data'!$C$34/'Initial Data'!$C$33</f>
        <v>107339.43625210265</v>
      </c>
      <c r="O503" s="377">
        <f>O498*O501/1000*'Initial Data'!$C$34/'Initial Data'!$C$33</f>
        <v>110216.13314365898</v>
      </c>
      <c r="P503" s="377">
        <f>P498*P501/1000*'Initial Data'!$C$34/'Initial Data'!$C$33</f>
        <v>113169.92551190905</v>
      </c>
      <c r="Q503" s="377">
        <f>Q498*Q501/1000*'Initial Data'!$C$34/'Initial Data'!$C$33</f>
        <v>116202.87951562818</v>
      </c>
    </row>
    <row r="504" spans="1:17" ht="14.4">
      <c r="A504" s="370"/>
      <c r="B504" s="373"/>
      <c r="C504" s="373"/>
      <c r="D504" s="373"/>
      <c r="E504" s="373"/>
      <c r="F504" s="373"/>
      <c r="G504" s="373"/>
      <c r="H504" s="373"/>
      <c r="I504" s="373"/>
      <c r="J504" s="373"/>
      <c r="K504" s="373"/>
      <c r="L504" s="373"/>
      <c r="M504" s="373"/>
      <c r="N504" s="373"/>
      <c r="O504" s="373"/>
      <c r="P504" s="373"/>
      <c r="Q504" s="373"/>
    </row>
    <row r="505" spans="1:17" ht="14.4">
      <c r="A505" s="366" t="s">
        <v>295</v>
      </c>
      <c r="B505" s="377">
        <f>+SUM(C505:Q505)</f>
        <v>1457936.3905168925</v>
      </c>
      <c r="C505" s="377">
        <f>+C503</f>
        <v>80244.421420794431</v>
      </c>
      <c r="D505" s="377">
        <f t="shared" ref="D505:Q505" si="400">+D503</f>
        <v>82394.971914871698</v>
      </c>
      <c r="E505" s="377">
        <f t="shared" si="400"/>
        <v>84603.157162190255</v>
      </c>
      <c r="F505" s="377">
        <f t="shared" si="400"/>
        <v>86870.521774136942</v>
      </c>
      <c r="G505" s="377">
        <f t="shared" si="400"/>
        <v>89198.651757683809</v>
      </c>
      <c r="H505" s="377">
        <f t="shared" si="400"/>
        <v>91589.175624789728</v>
      </c>
      <c r="I505" s="377">
        <f t="shared" si="400"/>
        <v>94043.765531534111</v>
      </c>
      <c r="J505" s="377">
        <f t="shared" si="400"/>
        <v>96564.138447779187</v>
      </c>
      <c r="K505" s="377">
        <f t="shared" si="400"/>
        <v>99152.057358179678</v>
      </c>
      <c r="L505" s="377">
        <f t="shared" si="400"/>
        <v>101809.33249537888</v>
      </c>
      <c r="M505" s="377">
        <f t="shared" si="400"/>
        <v>104537.82260625502</v>
      </c>
      <c r="N505" s="377">
        <f t="shared" si="400"/>
        <v>107339.43625210265</v>
      </c>
      <c r="O505" s="377">
        <f t="shared" si="400"/>
        <v>110216.13314365898</v>
      </c>
      <c r="P505" s="377">
        <f t="shared" si="400"/>
        <v>113169.92551190905</v>
      </c>
      <c r="Q505" s="377">
        <f t="shared" si="400"/>
        <v>116202.87951562818</v>
      </c>
    </row>
    <row r="506" spans="1:17" ht="14.4">
      <c r="A506" s="370"/>
      <c r="B506" s="374"/>
      <c r="C506" s="374"/>
      <c r="D506" s="374"/>
      <c r="E506" s="374"/>
      <c r="F506" s="374"/>
      <c r="G506" s="374"/>
      <c r="H506" s="374"/>
      <c r="I506" s="374"/>
      <c r="J506" s="374"/>
      <c r="K506" s="374"/>
      <c r="L506" s="374"/>
      <c r="M506" s="374"/>
      <c r="N506" s="374"/>
      <c r="O506" s="374"/>
      <c r="P506" s="374"/>
      <c r="Q506" s="374"/>
    </row>
    <row r="507" spans="1:17" ht="14.4">
      <c r="A507" s="366" t="s">
        <v>68</v>
      </c>
      <c r="B507" s="368"/>
      <c r="C507" s="368"/>
      <c r="D507" s="368"/>
      <c r="E507" s="368"/>
      <c r="F507" s="368"/>
      <c r="G507" s="368"/>
      <c r="H507" s="368"/>
      <c r="I507" s="368"/>
      <c r="J507" s="368"/>
      <c r="K507" s="368"/>
      <c r="L507" s="368"/>
      <c r="M507" s="368"/>
      <c r="N507" s="368"/>
      <c r="O507" s="368"/>
      <c r="P507" s="368"/>
      <c r="Q507" s="368"/>
    </row>
    <row r="508" spans="1:17" ht="14.4">
      <c r="A508" s="366" t="s">
        <v>296</v>
      </c>
      <c r="B508" s="378">
        <f>+SUM(C508:Q508)</f>
        <v>11529.370291765843</v>
      </c>
      <c r="C508" s="367">
        <f>SUM('Initial Data'!$C$77:$C$80)/'Initial Data'!$C$14/1000</f>
        <v>634.57339732142862</v>
      </c>
      <c r="D508" s="367">
        <f>+C508*(1+'Initial Data'!$C$20/100)</f>
        <v>651.57996436964288</v>
      </c>
      <c r="E508" s="367">
        <f>+D508*(1+'Initial Data'!$C$20/100)</f>
        <v>669.0423074147493</v>
      </c>
      <c r="F508" s="367">
        <f>+E508*(1+'Initial Data'!$C$20/100)</f>
        <v>686.97264125346453</v>
      </c>
      <c r="G508" s="367">
        <f>+F508*(1+'Initial Data'!$C$20/100)</f>
        <v>705.38350803905735</v>
      </c>
      <c r="H508" s="367">
        <f>+G508*(1+'Initial Data'!$C$20/100)</f>
        <v>724.28778605450407</v>
      </c>
      <c r="I508" s="367">
        <f>+H508*(1+'Initial Data'!$C$20/100)</f>
        <v>743.6986987207647</v>
      </c>
      <c r="J508" s="367">
        <f>+I508*(1+'Initial Data'!$C$20/100)</f>
        <v>763.62982384648114</v>
      </c>
      <c r="K508" s="367">
        <f>+J508*(1+'Initial Data'!$C$20/100)</f>
        <v>784.09510312556677</v>
      </c>
      <c r="L508" s="367">
        <f>+K508*(1+'Initial Data'!$C$20/100)</f>
        <v>805.10885188933196</v>
      </c>
      <c r="M508" s="367">
        <f>+L508*(1+'Initial Data'!$C$20/100)</f>
        <v>826.68576911996604</v>
      </c>
      <c r="N508" s="367">
        <f>+M508*(1+'Initial Data'!$C$20/100)</f>
        <v>848.8409477323811</v>
      </c>
      <c r="O508" s="367">
        <f>+N508*(1+'Initial Data'!$C$20/100)</f>
        <v>871.58988513160887</v>
      </c>
      <c r="P508" s="367">
        <f>+O508*(1+'Initial Data'!$C$20/100)</f>
        <v>894.94849405313596</v>
      </c>
      <c r="Q508" s="367">
        <f>+P508*(1+'Initial Data'!$C$20/100)</f>
        <v>918.93311369375999</v>
      </c>
    </row>
    <row r="509" spans="1:17" ht="14.4">
      <c r="A509" s="366" t="s">
        <v>297</v>
      </c>
      <c r="B509" s="378">
        <f>+SUM(C509:Q509)</f>
        <v>13836.767075562186</v>
      </c>
      <c r="C509" s="367">
        <f>('Initial Data'!$C$82/1000+('Initial Data'!$C$83*'Initial Data'!$C$15/'Initial Data'!$C$14)/1000+'Initial Data'!$C$84/'Initial Data'!$C$14/1000)</f>
        <v>761.57188717892859</v>
      </c>
      <c r="D509" s="367">
        <f>+C509*(1+'Initial Data'!$C$20/100)</f>
        <v>781.98201375532381</v>
      </c>
      <c r="E509" s="367">
        <f>+D509*(1+'Initial Data'!$C$20/100)</f>
        <v>802.9391317239664</v>
      </c>
      <c r="F509" s="367">
        <f>+E509*(1+'Initial Data'!$C$20/100)</f>
        <v>824.45790045416868</v>
      </c>
      <c r="G509" s="367">
        <f>+F509*(1+'Initial Data'!$C$20/100)</f>
        <v>846.55337218634031</v>
      </c>
      <c r="H509" s="367">
        <f>+G509*(1+'Initial Data'!$C$20/100)</f>
        <v>869.24100256093413</v>
      </c>
      <c r="I509" s="367">
        <f>+H509*(1+'Initial Data'!$C$20/100)</f>
        <v>892.53666142956706</v>
      </c>
      <c r="J509" s="367">
        <f>+I509*(1+'Initial Data'!$C$20/100)</f>
        <v>916.45664395587937</v>
      </c>
      <c r="K509" s="367">
        <f>+J509*(1+'Initial Data'!$C$20/100)</f>
        <v>941.01768201389689</v>
      </c>
      <c r="L509" s="367">
        <f>+K509*(1+'Initial Data'!$C$20/100)</f>
        <v>966.23695589186923</v>
      </c>
      <c r="M509" s="367">
        <f>+L509*(1+'Initial Data'!$C$20/100)</f>
        <v>992.1321063097713</v>
      </c>
      <c r="N509" s="367">
        <f>+M509*(1+'Initial Data'!$C$20/100)</f>
        <v>1018.7212467588731</v>
      </c>
      <c r="O509" s="367">
        <f>+N509*(1+'Initial Data'!$C$20/100)</f>
        <v>1046.0229761720109</v>
      </c>
      <c r="P509" s="367">
        <f>+O509*(1+'Initial Data'!$C$20/100)</f>
        <v>1074.0563919334206</v>
      </c>
      <c r="Q509" s="367">
        <f>+P509*(1+'Initial Data'!$C$20/100)</f>
        <v>1102.8411032372362</v>
      </c>
    </row>
    <row r="510" spans="1:17" ht="14.4">
      <c r="A510" s="370"/>
      <c r="B510" s="369"/>
      <c r="C510" s="382"/>
      <c r="D510" s="369"/>
      <c r="E510" s="369"/>
      <c r="F510" s="369"/>
      <c r="G510" s="369"/>
      <c r="H510" s="369"/>
      <c r="I510" s="369"/>
      <c r="J510" s="369"/>
      <c r="K510" s="369"/>
      <c r="L510" s="369"/>
      <c r="M510" s="369"/>
      <c r="N510" s="369"/>
      <c r="O510" s="369"/>
      <c r="P510" s="369"/>
      <c r="Q510" s="369"/>
    </row>
    <row r="511" spans="1:17" ht="14.4">
      <c r="A511" s="366" t="s">
        <v>71</v>
      </c>
      <c r="B511" s="379"/>
      <c r="C511" s="379"/>
      <c r="D511" s="379"/>
      <c r="E511" s="379"/>
      <c r="F511" s="379"/>
      <c r="G511" s="379"/>
      <c r="H511" s="379"/>
      <c r="I511" s="379"/>
      <c r="J511" s="379"/>
      <c r="K511" s="379"/>
      <c r="L511" s="379"/>
      <c r="M511" s="379"/>
      <c r="N511" s="379"/>
      <c r="O511" s="379"/>
      <c r="P511" s="379"/>
      <c r="Q511" s="379"/>
    </row>
    <row r="512" spans="1:17" ht="14.4">
      <c r="A512" s="370"/>
      <c r="B512" s="379"/>
      <c r="C512" s="379"/>
      <c r="D512" s="379"/>
      <c r="E512" s="379"/>
      <c r="F512" s="379"/>
      <c r="G512" s="379"/>
      <c r="H512" s="379"/>
      <c r="I512" s="379"/>
      <c r="J512" s="379"/>
      <c r="K512" s="379"/>
      <c r="L512" s="379"/>
      <c r="M512" s="379"/>
      <c r="N512" s="379"/>
      <c r="O512" s="379"/>
      <c r="P512" s="379"/>
      <c r="Q512" s="379"/>
    </row>
    <row r="513" spans="1:17" ht="14.4">
      <c r="A513" s="366" t="s">
        <v>298</v>
      </c>
      <c r="B513" s="378">
        <f>+SUM(C513:Q513)</f>
        <v>25366.137367328029</v>
      </c>
      <c r="C513" s="367">
        <f>SUM(C508:C509)</f>
        <v>1396.1452845003573</v>
      </c>
      <c r="D513" s="367">
        <f>SUM(D508:D509)</f>
        <v>1433.5619781249666</v>
      </c>
      <c r="E513" s="367">
        <f t="shared" ref="E513:Q513" si="401">SUM(E508:E509)</f>
        <v>1471.9814391387158</v>
      </c>
      <c r="F513" s="367">
        <f t="shared" si="401"/>
        <v>1511.4305417076332</v>
      </c>
      <c r="G513" s="367">
        <f t="shared" si="401"/>
        <v>1551.9368802253975</v>
      </c>
      <c r="H513" s="367">
        <f t="shared" si="401"/>
        <v>1593.5287886154383</v>
      </c>
      <c r="I513" s="367">
        <f t="shared" si="401"/>
        <v>1636.2353601503319</v>
      </c>
      <c r="J513" s="367">
        <f t="shared" si="401"/>
        <v>1680.0864678023604</v>
      </c>
      <c r="K513" s="367">
        <f t="shared" si="401"/>
        <v>1725.1127851394635</v>
      </c>
      <c r="L513" s="367">
        <f t="shared" si="401"/>
        <v>1771.3458077812011</v>
      </c>
      <c r="M513" s="367">
        <f t="shared" si="401"/>
        <v>1818.8178754297373</v>
      </c>
      <c r="N513" s="367">
        <f t="shared" si="401"/>
        <v>1867.5621944912541</v>
      </c>
      <c r="O513" s="367">
        <f t="shared" si="401"/>
        <v>1917.6128613036199</v>
      </c>
      <c r="P513" s="367">
        <f t="shared" si="401"/>
        <v>1969.0048859865565</v>
      </c>
      <c r="Q513" s="367">
        <f t="shared" si="401"/>
        <v>2021.7742169309963</v>
      </c>
    </row>
    <row r="514" spans="1:17" ht="14.4">
      <c r="A514" s="370"/>
      <c r="B514" s="379"/>
      <c r="C514" s="379"/>
      <c r="D514" s="379"/>
      <c r="E514" s="379"/>
      <c r="F514" s="379"/>
      <c r="G514" s="379"/>
      <c r="H514" s="379"/>
      <c r="I514" s="379"/>
      <c r="J514" s="379"/>
      <c r="K514" s="379"/>
      <c r="L514" s="379"/>
      <c r="M514" s="379"/>
      <c r="N514" s="379"/>
      <c r="O514" s="379"/>
      <c r="P514" s="379"/>
      <c r="Q514" s="379"/>
    </row>
    <row r="515" spans="1:17" ht="14.4">
      <c r="A515" s="366" t="s">
        <v>299</v>
      </c>
      <c r="B515" s="378">
        <f t="shared" ref="B515:B516" si="402">+SUM(C515:Q515)</f>
        <v>43884.879418749995</v>
      </c>
      <c r="C515" s="367">
        <f>'WHRS_Project Scenario'!$C$8/'Initial Data'!$C$19</f>
        <v>4388.4879418749997</v>
      </c>
      <c r="D515" s="367">
        <f>'WHRS_Project Scenario'!$C$8/'Initial Data'!$C$19</f>
        <v>4388.4879418749997</v>
      </c>
      <c r="E515" s="367">
        <f>'WHRS_Project Scenario'!$C$8/'Initial Data'!$C$19</f>
        <v>4388.4879418749997</v>
      </c>
      <c r="F515" s="367">
        <f>'WHRS_Project Scenario'!$C$8/'Initial Data'!$C$19</f>
        <v>4388.4879418749997</v>
      </c>
      <c r="G515" s="367">
        <f>'WHRS_Project Scenario'!$C$8/'Initial Data'!$C$19</f>
        <v>4388.4879418749997</v>
      </c>
      <c r="H515" s="367">
        <f>'WHRS_Project Scenario'!$C$8/'Initial Data'!$C$19</f>
        <v>4388.4879418749997</v>
      </c>
      <c r="I515" s="367">
        <f>'WHRS_Project Scenario'!$C$8/'Initial Data'!$C$19</f>
        <v>4388.4879418749997</v>
      </c>
      <c r="J515" s="367">
        <f>'WHRS_Project Scenario'!$C$8/'Initial Data'!$C$19</f>
        <v>4388.4879418749997</v>
      </c>
      <c r="K515" s="367">
        <f>'WHRS_Project Scenario'!$C$8/'Initial Data'!$C$19</f>
        <v>4388.4879418749997</v>
      </c>
      <c r="L515" s="367">
        <f>'WHRS_Project Scenario'!$C$8/'Initial Data'!$C$19</f>
        <v>4388.4879418749997</v>
      </c>
      <c r="M515" s="367">
        <v>0</v>
      </c>
      <c r="N515" s="367">
        <v>0</v>
      </c>
      <c r="O515" s="367">
        <v>0</v>
      </c>
      <c r="P515" s="367">
        <v>0</v>
      </c>
      <c r="Q515" s="367">
        <v>0</v>
      </c>
    </row>
    <row r="516" spans="1:17" ht="14.4">
      <c r="A516" s="366" t="s">
        <v>300</v>
      </c>
      <c r="B516" s="378">
        <f t="shared" si="402"/>
        <v>43884.879418749995</v>
      </c>
      <c r="C516" s="367">
        <f>SUM(C515:C515)</f>
        <v>4388.4879418749997</v>
      </c>
      <c r="D516" s="367">
        <f t="shared" ref="D516:Q516" si="403">SUM(D515:D515)</f>
        <v>4388.4879418749997</v>
      </c>
      <c r="E516" s="367">
        <f t="shared" si="403"/>
        <v>4388.4879418749997</v>
      </c>
      <c r="F516" s="367">
        <f t="shared" si="403"/>
        <v>4388.4879418749997</v>
      </c>
      <c r="G516" s="367">
        <f t="shared" si="403"/>
        <v>4388.4879418749997</v>
      </c>
      <c r="H516" s="367">
        <f t="shared" si="403"/>
        <v>4388.4879418749997</v>
      </c>
      <c r="I516" s="367">
        <f t="shared" si="403"/>
        <v>4388.4879418749997</v>
      </c>
      <c r="J516" s="367">
        <f t="shared" si="403"/>
        <v>4388.4879418749997</v>
      </c>
      <c r="K516" s="367">
        <f t="shared" si="403"/>
        <v>4388.4879418749997</v>
      </c>
      <c r="L516" s="367">
        <f t="shared" si="403"/>
        <v>4388.4879418749997</v>
      </c>
      <c r="M516" s="367">
        <f t="shared" si="403"/>
        <v>0</v>
      </c>
      <c r="N516" s="367">
        <f t="shared" si="403"/>
        <v>0</v>
      </c>
      <c r="O516" s="367">
        <f t="shared" si="403"/>
        <v>0</v>
      </c>
      <c r="P516" s="367">
        <f t="shared" si="403"/>
        <v>0</v>
      </c>
      <c r="Q516" s="367">
        <f t="shared" si="403"/>
        <v>0</v>
      </c>
    </row>
    <row r="517" spans="1:17" ht="14.4">
      <c r="A517" s="370"/>
      <c r="B517" s="379"/>
      <c r="C517" s="379"/>
      <c r="D517" s="379"/>
      <c r="E517" s="379"/>
      <c r="F517" s="379"/>
      <c r="G517" s="379"/>
      <c r="H517" s="379"/>
      <c r="I517" s="379"/>
      <c r="J517" s="379"/>
      <c r="K517" s="379"/>
      <c r="L517" s="379"/>
      <c r="M517" s="379"/>
      <c r="N517" s="379"/>
      <c r="O517" s="379"/>
      <c r="P517" s="379"/>
      <c r="Q517" s="379"/>
    </row>
    <row r="518" spans="1:17" ht="14.4">
      <c r="A518" s="366" t="s">
        <v>301</v>
      </c>
      <c r="B518" s="378">
        <f>+SUM(C518:Q518)</f>
        <v>69251.016786078035</v>
      </c>
      <c r="C518" s="367">
        <f>+C513+C516</f>
        <v>5784.6332263753575</v>
      </c>
      <c r="D518" s="367">
        <f>+D513+D516</f>
        <v>5822.0499199999667</v>
      </c>
      <c r="E518" s="367">
        <f t="shared" ref="E518:Q518" si="404">+E513+E516</f>
        <v>5860.469381013716</v>
      </c>
      <c r="F518" s="367">
        <f t="shared" si="404"/>
        <v>5899.9184835826327</v>
      </c>
      <c r="G518" s="367">
        <f t="shared" si="404"/>
        <v>5940.4248221003973</v>
      </c>
      <c r="H518" s="367">
        <f t="shared" si="404"/>
        <v>5982.016730490438</v>
      </c>
      <c r="I518" s="367">
        <f t="shared" si="404"/>
        <v>6024.7233020253316</v>
      </c>
      <c r="J518" s="367">
        <f t="shared" si="404"/>
        <v>6068.5744096773597</v>
      </c>
      <c r="K518" s="367">
        <f t="shared" si="404"/>
        <v>6113.6007270144637</v>
      </c>
      <c r="L518" s="367">
        <f t="shared" si="404"/>
        <v>6159.8337496562008</v>
      </c>
      <c r="M518" s="367">
        <f t="shared" si="404"/>
        <v>1818.8178754297373</v>
      </c>
      <c r="N518" s="367">
        <f t="shared" si="404"/>
        <v>1867.5621944912541</v>
      </c>
      <c r="O518" s="367">
        <f t="shared" si="404"/>
        <v>1917.6128613036199</v>
      </c>
      <c r="P518" s="367">
        <f t="shared" si="404"/>
        <v>1969.0048859865565</v>
      </c>
      <c r="Q518" s="367">
        <f t="shared" si="404"/>
        <v>2021.7742169309963</v>
      </c>
    </row>
    <row r="519" spans="1:17" ht="14.4">
      <c r="A519" s="370"/>
      <c r="B519" s="379"/>
      <c r="C519" s="379"/>
      <c r="D519" s="379"/>
      <c r="E519" s="379"/>
      <c r="F519" s="379"/>
      <c r="G519" s="379"/>
      <c r="H519" s="379"/>
      <c r="I519" s="379"/>
      <c r="J519" s="379"/>
      <c r="K519" s="379"/>
      <c r="L519" s="379"/>
      <c r="M519" s="379"/>
      <c r="N519" s="379"/>
      <c r="O519" s="379"/>
      <c r="P519" s="379"/>
      <c r="Q519" s="379"/>
    </row>
    <row r="520" spans="1:17" ht="14.4">
      <c r="A520" s="364" t="s">
        <v>302</v>
      </c>
      <c r="B520" s="378">
        <f>+SUM(C520:Q520)</f>
        <v>1388685.3737308148</v>
      </c>
      <c r="C520" s="367">
        <f>+C505-C518</f>
        <v>74459.788194419074</v>
      </c>
      <c r="D520" s="367">
        <f>+D505-D518</f>
        <v>76572.921994871736</v>
      </c>
      <c r="E520" s="367">
        <f t="shared" ref="E520:Q520" si="405">+E505-E518</f>
        <v>78742.687781176544</v>
      </c>
      <c r="F520" s="367">
        <f t="shared" si="405"/>
        <v>80970.603290554311</v>
      </c>
      <c r="G520" s="367">
        <f t="shared" si="405"/>
        <v>83258.226935583414</v>
      </c>
      <c r="H520" s="367">
        <f t="shared" si="405"/>
        <v>85607.158894299297</v>
      </c>
      <c r="I520" s="367">
        <f t="shared" si="405"/>
        <v>88019.042229508777</v>
      </c>
      <c r="J520" s="367">
        <f t="shared" si="405"/>
        <v>90495.564038101831</v>
      </c>
      <c r="K520" s="367">
        <f t="shared" si="405"/>
        <v>93038.456631165216</v>
      </c>
      <c r="L520" s="367">
        <f t="shared" si="405"/>
        <v>95649.498745722682</v>
      </c>
      <c r="M520" s="367">
        <f t="shared" si="405"/>
        <v>102719.00473082528</v>
      </c>
      <c r="N520" s="367">
        <f t="shared" si="405"/>
        <v>105471.87405761139</v>
      </c>
      <c r="O520" s="367">
        <f t="shared" si="405"/>
        <v>108298.52028235537</v>
      </c>
      <c r="P520" s="367">
        <f t="shared" si="405"/>
        <v>111200.9206259225</v>
      </c>
      <c r="Q520" s="367">
        <f t="shared" si="405"/>
        <v>114181.10529869719</v>
      </c>
    </row>
    <row r="521" spans="1:17" ht="14.4">
      <c r="A521" s="364"/>
    </row>
    <row r="522" spans="1:17" ht="14.4">
      <c r="A522" s="364" t="s">
        <v>222</v>
      </c>
      <c r="B522" s="380">
        <f>+'WHRS_Project Scenario'!C39</f>
        <v>0.7</v>
      </c>
      <c r="C522" s="367">
        <f>IF((+$B$522*C520)&lt;0,"0",(+$B$522*C520))</f>
        <v>52121.851736093347</v>
      </c>
      <c r="D522" s="367">
        <f>IF((+$B$522*D520)&lt;0,"0",(+$B$522*D520))</f>
        <v>53601.045396410213</v>
      </c>
      <c r="E522" s="367">
        <f t="shared" ref="E522:Q522" si="406">IF((+$B$522*E520)&lt;0,"0",(+$B$522*E520))</f>
        <v>55119.88144682358</v>
      </c>
      <c r="F522" s="367">
        <f t="shared" si="406"/>
        <v>56679.422303388012</v>
      </c>
      <c r="G522" s="367">
        <f t="shared" si="406"/>
        <v>58280.758854908388</v>
      </c>
      <c r="H522" s="367">
        <f t="shared" si="406"/>
        <v>59925.011226009505</v>
      </c>
      <c r="I522" s="367">
        <f t="shared" si="406"/>
        <v>61613.329560656137</v>
      </c>
      <c r="J522" s="367">
        <f t="shared" si="406"/>
        <v>63346.894826671276</v>
      </c>
      <c r="K522" s="367">
        <f t="shared" si="406"/>
        <v>65126.91964181565</v>
      </c>
      <c r="L522" s="367">
        <f t="shared" si="406"/>
        <v>66954.649122005867</v>
      </c>
      <c r="M522" s="367">
        <f t="shared" si="406"/>
        <v>71903.303311577693</v>
      </c>
      <c r="N522" s="367">
        <f t="shared" si="406"/>
        <v>73830.311840327966</v>
      </c>
      <c r="O522" s="367">
        <f t="shared" si="406"/>
        <v>75808.964197648747</v>
      </c>
      <c r="P522" s="367">
        <f t="shared" si="406"/>
        <v>77840.64443814574</v>
      </c>
      <c r="Q522" s="367">
        <f t="shared" si="406"/>
        <v>79926.773709088025</v>
      </c>
    </row>
    <row r="523" spans="1:17" ht="14.4">
      <c r="A523" s="364" t="s">
        <v>303</v>
      </c>
      <c r="B523" s="378">
        <f>+SUM(C523:Q523)</f>
        <v>972079.76161157002</v>
      </c>
      <c r="C523" s="367">
        <f>SUM(C522:C522)</f>
        <v>52121.851736093347</v>
      </c>
      <c r="D523" s="367">
        <f t="shared" ref="D523:Q523" si="407">SUM(D522:D522)</f>
        <v>53601.045396410213</v>
      </c>
      <c r="E523" s="367">
        <f t="shared" si="407"/>
        <v>55119.88144682358</v>
      </c>
      <c r="F523" s="367">
        <f t="shared" si="407"/>
        <v>56679.422303388012</v>
      </c>
      <c r="G523" s="367">
        <f t="shared" si="407"/>
        <v>58280.758854908388</v>
      </c>
      <c r="H523" s="367">
        <f t="shared" si="407"/>
        <v>59925.011226009505</v>
      </c>
      <c r="I523" s="367">
        <f t="shared" si="407"/>
        <v>61613.329560656137</v>
      </c>
      <c r="J523" s="367">
        <f t="shared" si="407"/>
        <v>63346.894826671276</v>
      </c>
      <c r="K523" s="367">
        <f t="shared" si="407"/>
        <v>65126.91964181565</v>
      </c>
      <c r="L523" s="367">
        <f t="shared" si="407"/>
        <v>66954.649122005867</v>
      </c>
      <c r="M523" s="367">
        <f t="shared" si="407"/>
        <v>71903.303311577693</v>
      </c>
      <c r="N523" s="367">
        <f t="shared" si="407"/>
        <v>73830.311840327966</v>
      </c>
      <c r="O523" s="367">
        <f t="shared" si="407"/>
        <v>75808.964197648747</v>
      </c>
      <c r="P523" s="367">
        <f t="shared" si="407"/>
        <v>77840.64443814574</v>
      </c>
      <c r="Q523" s="367">
        <f t="shared" si="407"/>
        <v>79926.773709088025</v>
      </c>
    </row>
    <row r="524" spans="1:17" ht="14.4">
      <c r="A524" s="369"/>
    </row>
    <row r="525" spans="1:17" ht="14.4">
      <c r="A525" s="364" t="s">
        <v>304</v>
      </c>
      <c r="B525" s="378">
        <f t="shared" ref="B525:B527" si="408">+SUM(C525:Q525)</f>
        <v>416605.61211924441</v>
      </c>
      <c r="C525" s="367">
        <f>C520-C523</f>
        <v>22337.936458325727</v>
      </c>
      <c r="D525" s="367">
        <f t="shared" ref="D525:Q525" si="409">D520-D523</f>
        <v>22971.876598461524</v>
      </c>
      <c r="E525" s="367">
        <f t="shared" si="409"/>
        <v>23622.806334352965</v>
      </c>
      <c r="F525" s="367">
        <f t="shared" si="409"/>
        <v>24291.180987166299</v>
      </c>
      <c r="G525" s="367">
        <f t="shared" si="409"/>
        <v>24977.468080675026</v>
      </c>
      <c r="H525" s="367">
        <f t="shared" si="409"/>
        <v>25682.147668289792</v>
      </c>
      <c r="I525" s="367">
        <f t="shared" si="409"/>
        <v>26405.71266885264</v>
      </c>
      <c r="J525" s="367">
        <f t="shared" si="409"/>
        <v>27148.669211430555</v>
      </c>
      <c r="K525" s="367">
        <f t="shared" si="409"/>
        <v>27911.536989349566</v>
      </c>
      <c r="L525" s="367">
        <f t="shared" si="409"/>
        <v>28694.849623716815</v>
      </c>
      <c r="M525" s="367">
        <f t="shared" si="409"/>
        <v>30815.701419247591</v>
      </c>
      <c r="N525" s="367">
        <f t="shared" si="409"/>
        <v>31641.562217283426</v>
      </c>
      <c r="O525" s="367">
        <f t="shared" si="409"/>
        <v>32489.556084706623</v>
      </c>
      <c r="P525" s="367">
        <f t="shared" si="409"/>
        <v>33360.276187776763</v>
      </c>
      <c r="Q525" s="367">
        <f t="shared" si="409"/>
        <v>34254.331589609166</v>
      </c>
    </row>
    <row r="526" spans="1:17" ht="14.4">
      <c r="A526" s="364" t="s">
        <v>305</v>
      </c>
      <c r="B526" s="378">
        <f t="shared" si="408"/>
        <v>43884.879418749995</v>
      </c>
      <c r="C526" s="367">
        <f>+C515</f>
        <v>4388.4879418749997</v>
      </c>
      <c r="D526" s="367">
        <f t="shared" ref="D526:Q526" si="410">+D515</f>
        <v>4388.4879418749997</v>
      </c>
      <c r="E526" s="367">
        <f t="shared" si="410"/>
        <v>4388.4879418749997</v>
      </c>
      <c r="F526" s="367">
        <f t="shared" si="410"/>
        <v>4388.4879418749997</v>
      </c>
      <c r="G526" s="367">
        <f t="shared" si="410"/>
        <v>4388.4879418749997</v>
      </c>
      <c r="H526" s="367">
        <f t="shared" si="410"/>
        <v>4388.4879418749997</v>
      </c>
      <c r="I526" s="367">
        <f t="shared" si="410"/>
        <v>4388.4879418749997</v>
      </c>
      <c r="J526" s="367">
        <f t="shared" si="410"/>
        <v>4388.4879418749997</v>
      </c>
      <c r="K526" s="367">
        <f t="shared" si="410"/>
        <v>4388.4879418749997</v>
      </c>
      <c r="L526" s="367">
        <f t="shared" si="410"/>
        <v>4388.4879418749997</v>
      </c>
      <c r="M526" s="367">
        <f t="shared" si="410"/>
        <v>0</v>
      </c>
      <c r="N526" s="367">
        <f t="shared" si="410"/>
        <v>0</v>
      </c>
      <c r="O526" s="367">
        <f t="shared" si="410"/>
        <v>0</v>
      </c>
      <c r="P526" s="367">
        <f t="shared" si="410"/>
        <v>0</v>
      </c>
      <c r="Q526" s="367">
        <f t="shared" si="410"/>
        <v>0</v>
      </c>
    </row>
    <row r="527" spans="1:17" ht="14.4">
      <c r="A527" s="364" t="s">
        <v>306</v>
      </c>
      <c r="B527" s="378">
        <f t="shared" si="408"/>
        <v>0</v>
      </c>
      <c r="C527" s="367">
        <f>+'WHRS_Project Scenario'!D500</f>
        <v>0</v>
      </c>
      <c r="D527" s="367">
        <f>+'WHRS_Project Scenario'!E500</f>
        <v>0</v>
      </c>
      <c r="E527" s="367">
        <f>+'WHRS_Project Scenario'!F500</f>
        <v>0</v>
      </c>
      <c r="F527" s="367">
        <f>+'WHRS_Project Scenario'!G500</f>
        <v>0</v>
      </c>
      <c r="G527" s="367">
        <f>+'WHRS_Project Scenario'!H500</f>
        <v>0</v>
      </c>
      <c r="H527" s="367">
        <f>+'WHRS_Project Scenario'!I500</f>
        <v>0</v>
      </c>
      <c r="I527" s="367">
        <f>+'WHRS_Project Scenario'!J500</f>
        <v>0</v>
      </c>
      <c r="J527" s="367">
        <f>+'WHRS_Project Scenario'!K500</f>
        <v>0</v>
      </c>
      <c r="K527" s="367">
        <f>+'WHRS_Project Scenario'!L500</f>
        <v>0</v>
      </c>
      <c r="L527" s="367">
        <f>+'WHRS_Project Scenario'!M500</f>
        <v>0</v>
      </c>
      <c r="M527" s="367">
        <f>+'WHRS_Project Scenario'!N500</f>
        <v>0</v>
      </c>
      <c r="N527" s="367">
        <f>+'WHRS_Project Scenario'!O500</f>
        <v>0</v>
      </c>
      <c r="O527" s="367">
        <f>+'WHRS_Project Scenario'!P500</f>
        <v>0</v>
      </c>
      <c r="P527" s="367">
        <f>+'WHRS_Project Scenario'!Q500</f>
        <v>0</v>
      </c>
      <c r="Q527" s="367">
        <f>+'WHRS_Project Scenario'!R500</f>
        <v>0</v>
      </c>
    </row>
    <row r="528" spans="1:17" ht="14.4">
      <c r="A528" s="364"/>
    </row>
    <row r="529" spans="1:17" ht="14.4">
      <c r="A529" s="364" t="s">
        <v>110</v>
      </c>
      <c r="B529" s="378">
        <f>-'WHRS_Project Scenario'!C8</f>
        <v>-43884.879418749995</v>
      </c>
      <c r="C529" s="367">
        <f>C525+C526+C527</f>
        <v>26726.424400200725</v>
      </c>
      <c r="D529" s="367">
        <f t="shared" ref="D529:Q529" si="411">D525+D526+D527</f>
        <v>27360.364540336523</v>
      </c>
      <c r="E529" s="367">
        <f t="shared" si="411"/>
        <v>28011.294276227964</v>
      </c>
      <c r="F529" s="367">
        <f t="shared" si="411"/>
        <v>28679.668929041298</v>
      </c>
      <c r="G529" s="367">
        <f t="shared" si="411"/>
        <v>29365.956022550024</v>
      </c>
      <c r="H529" s="367">
        <f t="shared" si="411"/>
        <v>30070.635610164791</v>
      </c>
      <c r="I529" s="367">
        <f t="shared" si="411"/>
        <v>30794.200610727639</v>
      </c>
      <c r="J529" s="367">
        <f t="shared" si="411"/>
        <v>31537.157153305554</v>
      </c>
      <c r="K529" s="367">
        <f t="shared" si="411"/>
        <v>32300.024931224565</v>
      </c>
      <c r="L529" s="367">
        <f t="shared" si="411"/>
        <v>33083.337565591813</v>
      </c>
      <c r="M529" s="367">
        <f t="shared" si="411"/>
        <v>30815.701419247591</v>
      </c>
      <c r="N529" s="367">
        <f t="shared" si="411"/>
        <v>31641.562217283426</v>
      </c>
      <c r="O529" s="367">
        <f t="shared" si="411"/>
        <v>32489.556084706623</v>
      </c>
      <c r="P529" s="367">
        <f t="shared" si="411"/>
        <v>33360.276187776763</v>
      </c>
      <c r="Q529" s="367">
        <f t="shared" si="411"/>
        <v>34254.331589609166</v>
      </c>
    </row>
    <row r="530" spans="1:17" ht="15.6">
      <c r="A530" s="364" t="s">
        <v>51</v>
      </c>
      <c r="B530" s="132">
        <f>IRR(B529:Q529)</f>
        <v>0.63182496143575118</v>
      </c>
    </row>
    <row r="531" spans="1:17" ht="15.6">
      <c r="A531" s="364" t="s">
        <v>267</v>
      </c>
      <c r="B531" s="303">
        <f>NPV('Initial Data'!C21/100,B529:Q529)</f>
        <v>141364.98408926642</v>
      </c>
    </row>
    <row r="533" spans="1:17" ht="14.4">
      <c r="A533" s="508" t="s">
        <v>320</v>
      </c>
      <c r="B533" s="509"/>
      <c r="C533" s="509"/>
      <c r="D533" s="509"/>
      <c r="E533" s="509"/>
      <c r="F533" s="509"/>
      <c r="G533" s="509"/>
      <c r="H533" s="509"/>
      <c r="I533" s="509"/>
      <c r="J533" s="509"/>
      <c r="K533" s="509"/>
      <c r="L533" s="509"/>
      <c r="M533" s="509"/>
      <c r="N533" s="509"/>
      <c r="O533" s="509"/>
      <c r="P533" s="509"/>
      <c r="Q533" s="509"/>
    </row>
    <row r="534" spans="1:17" ht="14.4">
      <c r="A534" s="371" t="s">
        <v>321</v>
      </c>
      <c r="B534" s="372"/>
      <c r="C534" s="372"/>
      <c r="D534" s="372"/>
      <c r="E534" s="372"/>
      <c r="F534" s="372"/>
      <c r="G534" s="372"/>
      <c r="H534" s="372"/>
      <c r="I534" s="372"/>
      <c r="J534" s="372"/>
      <c r="K534" s="372"/>
      <c r="L534" s="372"/>
      <c r="M534" s="372"/>
      <c r="N534" s="372"/>
      <c r="O534" s="372"/>
      <c r="P534" s="372"/>
      <c r="Q534" s="372"/>
    </row>
    <row r="535" spans="1:17" ht="27">
      <c r="A535" s="376"/>
      <c r="B535" s="304" t="s">
        <v>35</v>
      </c>
      <c r="C535" s="352" t="s">
        <v>407</v>
      </c>
      <c r="D535" s="352" t="s">
        <v>408</v>
      </c>
      <c r="E535" s="352" t="s">
        <v>409</v>
      </c>
      <c r="F535" s="352" t="s">
        <v>410</v>
      </c>
      <c r="G535" s="352" t="s">
        <v>411</v>
      </c>
      <c r="H535" s="352" t="s">
        <v>412</v>
      </c>
      <c r="I535" s="352" t="s">
        <v>413</v>
      </c>
      <c r="J535" s="352" t="s">
        <v>414</v>
      </c>
      <c r="K535" s="352" t="s">
        <v>415</v>
      </c>
      <c r="L535" s="352" t="s">
        <v>416</v>
      </c>
      <c r="M535" s="352" t="s">
        <v>417</v>
      </c>
      <c r="N535" s="352" t="s">
        <v>418</v>
      </c>
      <c r="O535" s="352" t="s">
        <v>419</v>
      </c>
      <c r="P535" s="352" t="s">
        <v>420</v>
      </c>
      <c r="Q535" s="352" t="s">
        <v>421</v>
      </c>
    </row>
    <row r="536" spans="1:17" ht="14.4">
      <c r="A536" s="363" t="s">
        <v>290</v>
      </c>
      <c r="B536" s="365"/>
      <c r="C536" s="377">
        <f>+'WHRS_Project Scenario'!D15</f>
        <v>215214.92335078961</v>
      </c>
      <c r="D536" s="377">
        <f>+'WHRS_Project Scenario'!E15</f>
        <v>215214.92335078961</v>
      </c>
      <c r="E536" s="377">
        <f>+'WHRS_Project Scenario'!F15</f>
        <v>215214.92335078961</v>
      </c>
      <c r="F536" s="377">
        <f>+'WHRS_Project Scenario'!G15</f>
        <v>215214.92335078961</v>
      </c>
      <c r="G536" s="377">
        <f>+'WHRS_Project Scenario'!H15</f>
        <v>215214.92335078961</v>
      </c>
      <c r="H536" s="377">
        <f>+'WHRS_Project Scenario'!I15</f>
        <v>215214.92335078961</v>
      </c>
      <c r="I536" s="377">
        <f>+'WHRS_Project Scenario'!J15</f>
        <v>215214.92335078961</v>
      </c>
      <c r="J536" s="377">
        <f>+'WHRS_Project Scenario'!K15</f>
        <v>215214.92335078961</v>
      </c>
      <c r="K536" s="377">
        <f>+'WHRS_Project Scenario'!L15</f>
        <v>215214.92335078961</v>
      </c>
      <c r="L536" s="377">
        <f>+'WHRS_Project Scenario'!M15</f>
        <v>215214.92335078961</v>
      </c>
      <c r="M536" s="377">
        <f>+'WHRS_Project Scenario'!N15</f>
        <v>215214.92335078961</v>
      </c>
      <c r="N536" s="377">
        <f>+'WHRS_Project Scenario'!O15</f>
        <v>215214.92335078961</v>
      </c>
      <c r="O536" s="377">
        <f>+'WHRS_Project Scenario'!P15</f>
        <v>215214.92335078961</v>
      </c>
      <c r="P536" s="377">
        <f>+'WHRS_Project Scenario'!Q15</f>
        <v>215214.92335078961</v>
      </c>
      <c r="Q536" s="377">
        <f>+'WHRS_Project Scenario'!R15</f>
        <v>215214.92335078961</v>
      </c>
    </row>
    <row r="537" spans="1:17" ht="14.4">
      <c r="A537" s="364" t="s">
        <v>291</v>
      </c>
      <c r="B537" s="365"/>
      <c r="C537" s="381">
        <f>'Initial Data'!$C$50*(1+'WHRS Sensitivity Analysis'!$C$6)-'Initial Data'!$C$51</f>
        <v>64</v>
      </c>
      <c r="D537" s="381">
        <f>'Initial Data'!$C$50*(1+'WHRS Sensitivity Analysis'!$C$6)-'Initial Data'!$C$51</f>
        <v>64</v>
      </c>
      <c r="E537" s="381">
        <f>'Initial Data'!$C$50*(1+'WHRS Sensitivity Analysis'!$C$6)-'Initial Data'!$C$51</f>
        <v>64</v>
      </c>
      <c r="F537" s="381">
        <f>'Initial Data'!$C$50*(1+'WHRS Sensitivity Analysis'!$C$6)-'Initial Data'!$C$51</f>
        <v>64</v>
      </c>
      <c r="G537" s="381">
        <f>'Initial Data'!$C$50*(1+'WHRS Sensitivity Analysis'!$C$6)-'Initial Data'!$C$51</f>
        <v>64</v>
      </c>
      <c r="H537" s="381">
        <f>'Initial Data'!$C$50*(1+'WHRS Sensitivity Analysis'!$C$6)-'Initial Data'!$C$51</f>
        <v>64</v>
      </c>
      <c r="I537" s="381">
        <f>'Initial Data'!$C$50*(1+'WHRS Sensitivity Analysis'!$C$6)-'Initial Data'!$C$51</f>
        <v>64</v>
      </c>
      <c r="J537" s="381">
        <f>'Initial Data'!$C$50*(1+'WHRS Sensitivity Analysis'!$C$6)-'Initial Data'!$C$51</f>
        <v>64</v>
      </c>
      <c r="K537" s="381">
        <f>'Initial Data'!$C$50*(1+'WHRS Sensitivity Analysis'!$C$6)-'Initial Data'!$C$51</f>
        <v>64</v>
      </c>
      <c r="L537" s="381">
        <f>'Initial Data'!$C$50*(1+'WHRS Sensitivity Analysis'!$C$6)-'Initial Data'!$C$51</f>
        <v>64</v>
      </c>
      <c r="M537" s="381">
        <f>'Initial Data'!$C$50*(1+'WHRS Sensitivity Analysis'!$C$6)-'Initial Data'!$C$51</f>
        <v>64</v>
      </c>
      <c r="N537" s="381">
        <f>'Initial Data'!$C$50*(1+'WHRS Sensitivity Analysis'!$C$6)-'Initial Data'!$C$51</f>
        <v>64</v>
      </c>
      <c r="O537" s="381">
        <f>'Initial Data'!$C$50*(1+'WHRS Sensitivity Analysis'!$C$6)-'Initial Data'!$C$51</f>
        <v>64</v>
      </c>
      <c r="P537" s="381">
        <f>'Initial Data'!$C$50*(1+'WHRS Sensitivity Analysis'!$C$6)-'Initial Data'!$C$51</f>
        <v>64</v>
      </c>
      <c r="Q537" s="381">
        <f>'Initial Data'!$C$50*(1+'WHRS Sensitivity Analysis'!$C$6)-'Initial Data'!$C$51</f>
        <v>64</v>
      </c>
    </row>
    <row r="538" spans="1:17" ht="14.4">
      <c r="A538" s="366" t="s">
        <v>292</v>
      </c>
      <c r="B538" s="365"/>
      <c r="C538" s="377">
        <f>+'WHRS_Project Scenario'!D17</f>
        <v>6.4285714285714288</v>
      </c>
      <c r="D538" s="377">
        <f>+'WHRS_Project Scenario'!E17</f>
        <v>6.6008571428571425</v>
      </c>
      <c r="E538" s="377">
        <f>+'WHRS_Project Scenario'!F17</f>
        <v>6.7777601142857131</v>
      </c>
      <c r="F538" s="377">
        <f>+'WHRS_Project Scenario'!G17</f>
        <v>6.9594040853485701</v>
      </c>
      <c r="G538" s="377">
        <f>+'WHRS_Project Scenario'!H17</f>
        <v>7.1459161148359112</v>
      </c>
      <c r="H538" s="377">
        <f>+'WHRS_Project Scenario'!I17</f>
        <v>7.3374266667135135</v>
      </c>
      <c r="I538" s="377">
        <f>+'WHRS_Project Scenario'!J17</f>
        <v>7.5340697013814353</v>
      </c>
      <c r="J538" s="377">
        <f>+'WHRS_Project Scenario'!K17</f>
        <v>7.7359827693784569</v>
      </c>
      <c r="K538" s="377">
        <f>+'WHRS_Project Scenario'!L17</f>
        <v>7.943307107597799</v>
      </c>
      <c r="L538" s="377">
        <f>+'WHRS_Project Scenario'!M17</f>
        <v>8.1561877380814192</v>
      </c>
      <c r="M538" s="377">
        <f>+'WHRS_Project Scenario'!N17</f>
        <v>8.3747735694620005</v>
      </c>
      <c r="N538" s="377">
        <f>+'WHRS_Project Scenario'!O17</f>
        <v>8.5992175011235812</v>
      </c>
      <c r="O538" s="377">
        <f>+'WHRS_Project Scenario'!P17</f>
        <v>8.8296765301536926</v>
      </c>
      <c r="P538" s="377">
        <f>+'WHRS_Project Scenario'!Q17</f>
        <v>9.066311861161811</v>
      </c>
      <c r="Q538" s="377">
        <f>+'WHRS_Project Scenario'!R17</f>
        <v>9.3092890190409463</v>
      </c>
    </row>
    <row r="539" spans="1:17" ht="14.4">
      <c r="A539" s="366" t="s">
        <v>293</v>
      </c>
      <c r="B539" s="365"/>
      <c r="C539" s="381">
        <f>+C537*C538</f>
        <v>411.42857142857144</v>
      </c>
      <c r="D539" s="381">
        <f>+D537*D538</f>
        <v>422.45485714285712</v>
      </c>
      <c r="E539" s="381">
        <f t="shared" ref="E539:Q539" si="412">+E537*E538</f>
        <v>433.77664731428564</v>
      </c>
      <c r="F539" s="381">
        <f t="shared" si="412"/>
        <v>445.40186146230849</v>
      </c>
      <c r="G539" s="381">
        <f t="shared" si="412"/>
        <v>457.33863134949831</v>
      </c>
      <c r="H539" s="381">
        <f t="shared" si="412"/>
        <v>469.59530666966486</v>
      </c>
      <c r="I539" s="381">
        <f t="shared" si="412"/>
        <v>482.18046088841186</v>
      </c>
      <c r="J539" s="381">
        <f t="shared" si="412"/>
        <v>495.10289724022124</v>
      </c>
      <c r="K539" s="381">
        <f t="shared" si="412"/>
        <v>508.37165488625914</v>
      </c>
      <c r="L539" s="381">
        <f t="shared" si="412"/>
        <v>521.99601523721083</v>
      </c>
      <c r="M539" s="381">
        <f t="shared" si="412"/>
        <v>535.98550844556803</v>
      </c>
      <c r="N539" s="381">
        <f t="shared" si="412"/>
        <v>550.3499200719092</v>
      </c>
      <c r="O539" s="381">
        <f t="shared" si="412"/>
        <v>565.09929792983633</v>
      </c>
      <c r="P539" s="381">
        <f t="shared" si="412"/>
        <v>580.2439591143559</v>
      </c>
      <c r="Q539" s="381">
        <f t="shared" si="412"/>
        <v>595.79449721862056</v>
      </c>
    </row>
    <row r="540" spans="1:17" ht="14.4">
      <c r="A540" s="370"/>
      <c r="B540" s="373"/>
      <c r="C540" s="373"/>
      <c r="D540" s="373"/>
      <c r="E540" s="373"/>
      <c r="F540" s="373"/>
      <c r="G540" s="373"/>
      <c r="H540" s="373"/>
      <c r="I540" s="373"/>
      <c r="J540" s="373"/>
      <c r="K540" s="373"/>
      <c r="L540" s="373"/>
      <c r="M540" s="373"/>
      <c r="N540" s="373"/>
      <c r="O540" s="373"/>
      <c r="P540" s="373"/>
      <c r="Q540" s="373"/>
    </row>
    <row r="541" spans="1:17" ht="14.4">
      <c r="A541" s="366" t="s">
        <v>294</v>
      </c>
      <c r="B541" s="377">
        <f>+SUM(C541:Q541)</f>
        <v>1608757.396432433</v>
      </c>
      <c r="C541" s="377">
        <f>C536*C539/1000*'Initial Data'!$C$34/'Initial Data'!$C$33</f>
        <v>88545.568464324882</v>
      </c>
      <c r="D541" s="377">
        <f>D536*D539/1000*'Initial Data'!$C$34/'Initial Data'!$C$33</f>
        <v>90918.589699168777</v>
      </c>
      <c r="E541" s="377">
        <f>E536*E539/1000*'Initial Data'!$C$34/'Initial Data'!$C$33</f>
        <v>93355.207903106479</v>
      </c>
      <c r="F541" s="377">
        <f>F536*F539/1000*'Initial Data'!$C$34/'Initial Data'!$C$33</f>
        <v>95857.127474909736</v>
      </c>
      <c r="G541" s="377">
        <f>G536*G539/1000*'Initial Data'!$C$34/'Initial Data'!$C$33</f>
        <v>98426.09849123731</v>
      </c>
      <c r="H541" s="377">
        <f>H536*H539/1000*'Initial Data'!$C$34/'Initial Data'!$C$33</f>
        <v>101063.91793080246</v>
      </c>
      <c r="I541" s="377">
        <f>I536*I539/1000*'Initial Data'!$C$34/'Initial Data'!$C$33</f>
        <v>103772.43093134796</v>
      </c>
      <c r="J541" s="377">
        <f>J536*J539/1000*'Initial Data'!$C$34/'Initial Data'!$C$33</f>
        <v>106553.53208030808</v>
      </c>
      <c r="K541" s="377">
        <f>K536*K539/1000*'Initial Data'!$C$34/'Initial Data'!$C$33</f>
        <v>109409.16674006033</v>
      </c>
      <c r="L541" s="377">
        <f>L536*L539/1000*'Initial Data'!$C$34/'Initial Data'!$C$33</f>
        <v>112341.33240869394</v>
      </c>
      <c r="M541" s="377">
        <f>M536*M539/1000*'Initial Data'!$C$34/'Initial Data'!$C$33</f>
        <v>115352.08011724692</v>
      </c>
      <c r="N541" s="377">
        <f>N536*N539/1000*'Initial Data'!$C$34/'Initial Data'!$C$33</f>
        <v>118443.51586438912</v>
      </c>
      <c r="O541" s="377">
        <f>O536*O539/1000*'Initial Data'!$C$34/'Initial Data'!$C$33</f>
        <v>121617.80208955474</v>
      </c>
      <c r="P541" s="377">
        <f>P536*P539/1000*'Initial Data'!$C$34/'Initial Data'!$C$33</f>
        <v>124877.1591855548</v>
      </c>
      <c r="Q541" s="377">
        <f>Q536*Q539/1000*'Initial Data'!$C$34/'Initial Data'!$C$33</f>
        <v>128223.86705172765</v>
      </c>
    </row>
    <row r="542" spans="1:17" ht="14.4">
      <c r="A542" s="370"/>
      <c r="B542" s="373"/>
      <c r="C542" s="373"/>
      <c r="D542" s="373"/>
      <c r="E542" s="373"/>
      <c r="F542" s="373"/>
      <c r="G542" s="373"/>
      <c r="H542" s="373"/>
      <c r="I542" s="373"/>
      <c r="J542" s="373"/>
      <c r="K542" s="373"/>
      <c r="L542" s="373"/>
      <c r="M542" s="373"/>
      <c r="N542" s="373"/>
      <c r="O542" s="373"/>
      <c r="P542" s="373"/>
      <c r="Q542" s="373"/>
    </row>
    <row r="543" spans="1:17" ht="14.4">
      <c r="A543" s="366" t="s">
        <v>295</v>
      </c>
      <c r="B543" s="377">
        <f>+SUM(C543:Q543)</f>
        <v>1608757.396432433</v>
      </c>
      <c r="C543" s="377">
        <f>+C541</f>
        <v>88545.568464324882</v>
      </c>
      <c r="D543" s="377">
        <f t="shared" ref="D543:Q543" si="413">+D541</f>
        <v>90918.589699168777</v>
      </c>
      <c r="E543" s="377">
        <f t="shared" si="413"/>
        <v>93355.207903106479</v>
      </c>
      <c r="F543" s="377">
        <f t="shared" si="413"/>
        <v>95857.127474909736</v>
      </c>
      <c r="G543" s="377">
        <f t="shared" si="413"/>
        <v>98426.09849123731</v>
      </c>
      <c r="H543" s="377">
        <f t="shared" si="413"/>
        <v>101063.91793080246</v>
      </c>
      <c r="I543" s="377">
        <f t="shared" si="413"/>
        <v>103772.43093134796</v>
      </c>
      <c r="J543" s="377">
        <f t="shared" si="413"/>
        <v>106553.53208030808</v>
      </c>
      <c r="K543" s="377">
        <f t="shared" si="413"/>
        <v>109409.16674006033</v>
      </c>
      <c r="L543" s="377">
        <f t="shared" si="413"/>
        <v>112341.33240869394</v>
      </c>
      <c r="M543" s="377">
        <f t="shared" si="413"/>
        <v>115352.08011724692</v>
      </c>
      <c r="N543" s="377">
        <f t="shared" si="413"/>
        <v>118443.51586438912</v>
      </c>
      <c r="O543" s="377">
        <f t="shared" si="413"/>
        <v>121617.80208955474</v>
      </c>
      <c r="P543" s="377">
        <f t="shared" si="413"/>
        <v>124877.1591855548</v>
      </c>
      <c r="Q543" s="377">
        <f t="shared" si="413"/>
        <v>128223.86705172765</v>
      </c>
    </row>
    <row r="544" spans="1:17" ht="14.4">
      <c r="A544" s="370"/>
      <c r="B544" s="374"/>
      <c r="C544" s="374"/>
      <c r="D544" s="374"/>
      <c r="E544" s="374"/>
      <c r="F544" s="374"/>
      <c r="G544" s="374"/>
      <c r="H544" s="374"/>
      <c r="I544" s="374"/>
      <c r="J544" s="374"/>
      <c r="K544" s="374"/>
      <c r="L544" s="374"/>
      <c r="M544" s="374"/>
      <c r="N544" s="374"/>
      <c r="O544" s="374"/>
      <c r="P544" s="374"/>
      <c r="Q544" s="374"/>
    </row>
    <row r="545" spans="1:17" ht="14.4">
      <c r="A545" s="366" t="s">
        <v>68</v>
      </c>
      <c r="B545" s="368"/>
      <c r="C545" s="368"/>
      <c r="D545" s="368"/>
      <c r="E545" s="368"/>
      <c r="F545" s="368"/>
      <c r="G545" s="368"/>
      <c r="H545" s="368"/>
      <c r="I545" s="368"/>
      <c r="J545" s="368"/>
      <c r="K545" s="368"/>
      <c r="L545" s="368"/>
      <c r="M545" s="368"/>
      <c r="N545" s="368"/>
      <c r="O545" s="368"/>
      <c r="P545" s="368"/>
      <c r="Q545" s="368"/>
    </row>
    <row r="546" spans="1:17" ht="14.4">
      <c r="A546" s="366" t="s">
        <v>296</v>
      </c>
      <c r="B546" s="378">
        <f>+SUM(C546:Q546)</f>
        <v>11529.370291765843</v>
      </c>
      <c r="C546" s="367">
        <f>SUM('Initial Data'!$C$77:$C$80)/'Initial Data'!$C$14/1000</f>
        <v>634.57339732142862</v>
      </c>
      <c r="D546" s="367">
        <f>+C546*(1+'Initial Data'!$C$20/100)</f>
        <v>651.57996436964288</v>
      </c>
      <c r="E546" s="367">
        <f>+D546*(1+'Initial Data'!$C$20/100)</f>
        <v>669.0423074147493</v>
      </c>
      <c r="F546" s="367">
        <f>+E546*(1+'Initial Data'!$C$20/100)</f>
        <v>686.97264125346453</v>
      </c>
      <c r="G546" s="367">
        <f>+F546*(1+'Initial Data'!$C$20/100)</f>
        <v>705.38350803905735</v>
      </c>
      <c r="H546" s="367">
        <f>+G546*(1+'Initial Data'!$C$20/100)</f>
        <v>724.28778605450407</v>
      </c>
      <c r="I546" s="367">
        <f>+H546*(1+'Initial Data'!$C$20/100)</f>
        <v>743.6986987207647</v>
      </c>
      <c r="J546" s="367">
        <f>+I546*(1+'Initial Data'!$C$20/100)</f>
        <v>763.62982384648114</v>
      </c>
      <c r="K546" s="367">
        <f>+J546*(1+'Initial Data'!$C$20/100)</f>
        <v>784.09510312556677</v>
      </c>
      <c r="L546" s="367">
        <f>+K546*(1+'Initial Data'!$C$20/100)</f>
        <v>805.10885188933196</v>
      </c>
      <c r="M546" s="367">
        <f>+L546*(1+'Initial Data'!$C$20/100)</f>
        <v>826.68576911996604</v>
      </c>
      <c r="N546" s="367">
        <f>+M546*(1+'Initial Data'!$C$20/100)</f>
        <v>848.8409477323811</v>
      </c>
      <c r="O546" s="367">
        <f>+N546*(1+'Initial Data'!$C$20/100)</f>
        <v>871.58988513160887</v>
      </c>
      <c r="P546" s="367">
        <f>+O546*(1+'Initial Data'!$C$20/100)</f>
        <v>894.94849405313596</v>
      </c>
      <c r="Q546" s="367">
        <f>+P546*(1+'Initial Data'!$C$20/100)</f>
        <v>918.93311369375999</v>
      </c>
    </row>
    <row r="547" spans="1:17" ht="14.4">
      <c r="A547" s="366" t="s">
        <v>297</v>
      </c>
      <c r="B547" s="378">
        <f>+SUM(C547:Q547)</f>
        <v>13836.767075562186</v>
      </c>
      <c r="C547" s="367">
        <f>('Initial Data'!$C$82/1000+('Initial Data'!$C$83*'Initial Data'!$C$15/'Initial Data'!$C$14)/1000+'Initial Data'!$C$84/'Initial Data'!$C$14/1000)</f>
        <v>761.57188717892859</v>
      </c>
      <c r="D547" s="367">
        <f>+C547*(1+'Initial Data'!$C$20/100)</f>
        <v>781.98201375532381</v>
      </c>
      <c r="E547" s="367">
        <f>+D547*(1+'Initial Data'!$C$20/100)</f>
        <v>802.9391317239664</v>
      </c>
      <c r="F547" s="367">
        <f>+E547*(1+'Initial Data'!$C$20/100)</f>
        <v>824.45790045416868</v>
      </c>
      <c r="G547" s="367">
        <f>+F547*(1+'Initial Data'!$C$20/100)</f>
        <v>846.55337218634031</v>
      </c>
      <c r="H547" s="367">
        <f>+G547*(1+'Initial Data'!$C$20/100)</f>
        <v>869.24100256093413</v>
      </c>
      <c r="I547" s="367">
        <f>+H547*(1+'Initial Data'!$C$20/100)</f>
        <v>892.53666142956706</v>
      </c>
      <c r="J547" s="367">
        <f>+I547*(1+'Initial Data'!$C$20/100)</f>
        <v>916.45664395587937</v>
      </c>
      <c r="K547" s="367">
        <f>+J547*(1+'Initial Data'!$C$20/100)</f>
        <v>941.01768201389689</v>
      </c>
      <c r="L547" s="367">
        <f>+K547*(1+'Initial Data'!$C$20/100)</f>
        <v>966.23695589186923</v>
      </c>
      <c r="M547" s="367">
        <f>+L547*(1+'Initial Data'!$C$20/100)</f>
        <v>992.1321063097713</v>
      </c>
      <c r="N547" s="367">
        <f>+M547*(1+'Initial Data'!$C$20/100)</f>
        <v>1018.7212467588731</v>
      </c>
      <c r="O547" s="367">
        <f>+N547*(1+'Initial Data'!$C$20/100)</f>
        <v>1046.0229761720109</v>
      </c>
      <c r="P547" s="367">
        <f>+O547*(1+'Initial Data'!$C$20/100)</f>
        <v>1074.0563919334206</v>
      </c>
      <c r="Q547" s="367">
        <f>+P547*(1+'Initial Data'!$C$20/100)</f>
        <v>1102.8411032372362</v>
      </c>
    </row>
    <row r="548" spans="1:17" ht="14.4">
      <c r="A548" s="370"/>
      <c r="B548" s="369"/>
      <c r="C548" s="382"/>
      <c r="D548" s="369"/>
      <c r="E548" s="369"/>
      <c r="F548" s="369"/>
      <c r="G548" s="369"/>
      <c r="H548" s="369"/>
      <c r="I548" s="369"/>
      <c r="J548" s="369"/>
      <c r="K548" s="369"/>
      <c r="L548" s="369"/>
      <c r="M548" s="369"/>
      <c r="N548" s="369"/>
      <c r="O548" s="369"/>
      <c r="P548" s="369"/>
      <c r="Q548" s="369"/>
    </row>
    <row r="549" spans="1:17" ht="14.4">
      <c r="A549" s="366" t="s">
        <v>71</v>
      </c>
      <c r="B549" s="379"/>
      <c r="C549" s="379"/>
      <c r="D549" s="379"/>
      <c r="E549" s="379"/>
      <c r="F549" s="379"/>
      <c r="G549" s="379"/>
      <c r="H549" s="379"/>
      <c r="I549" s="379"/>
      <c r="J549" s="379"/>
      <c r="K549" s="379"/>
      <c r="L549" s="379"/>
      <c r="M549" s="379"/>
      <c r="N549" s="379"/>
      <c r="O549" s="379"/>
      <c r="P549" s="379"/>
      <c r="Q549" s="379"/>
    </row>
    <row r="550" spans="1:17" ht="14.4">
      <c r="A550" s="370"/>
      <c r="B550" s="379"/>
      <c r="C550" s="379"/>
      <c r="D550" s="379"/>
      <c r="E550" s="379"/>
      <c r="F550" s="379"/>
      <c r="G550" s="379"/>
      <c r="H550" s="379"/>
      <c r="I550" s="379"/>
      <c r="J550" s="379"/>
      <c r="K550" s="379"/>
      <c r="L550" s="379"/>
      <c r="M550" s="379"/>
      <c r="N550" s="379"/>
      <c r="O550" s="379"/>
      <c r="P550" s="379"/>
      <c r="Q550" s="379"/>
    </row>
    <row r="551" spans="1:17" ht="14.4">
      <c r="A551" s="366" t="s">
        <v>298</v>
      </c>
      <c r="B551" s="378">
        <f>+SUM(C551:Q551)</f>
        <v>25366.137367328029</v>
      </c>
      <c r="C551" s="367">
        <f>SUM(C546:C547)</f>
        <v>1396.1452845003573</v>
      </c>
      <c r="D551" s="367">
        <f>SUM(D546:D547)</f>
        <v>1433.5619781249666</v>
      </c>
      <c r="E551" s="367">
        <f t="shared" ref="E551:Q551" si="414">SUM(E546:E547)</f>
        <v>1471.9814391387158</v>
      </c>
      <c r="F551" s="367">
        <f t="shared" si="414"/>
        <v>1511.4305417076332</v>
      </c>
      <c r="G551" s="367">
        <f t="shared" si="414"/>
        <v>1551.9368802253975</v>
      </c>
      <c r="H551" s="367">
        <f t="shared" si="414"/>
        <v>1593.5287886154383</v>
      </c>
      <c r="I551" s="367">
        <f t="shared" si="414"/>
        <v>1636.2353601503319</v>
      </c>
      <c r="J551" s="367">
        <f t="shared" si="414"/>
        <v>1680.0864678023604</v>
      </c>
      <c r="K551" s="367">
        <f t="shared" si="414"/>
        <v>1725.1127851394635</v>
      </c>
      <c r="L551" s="367">
        <f t="shared" si="414"/>
        <v>1771.3458077812011</v>
      </c>
      <c r="M551" s="367">
        <f t="shared" si="414"/>
        <v>1818.8178754297373</v>
      </c>
      <c r="N551" s="367">
        <f t="shared" si="414"/>
        <v>1867.5621944912541</v>
      </c>
      <c r="O551" s="367">
        <f t="shared" si="414"/>
        <v>1917.6128613036199</v>
      </c>
      <c r="P551" s="367">
        <f t="shared" si="414"/>
        <v>1969.0048859865565</v>
      </c>
      <c r="Q551" s="367">
        <f t="shared" si="414"/>
        <v>2021.7742169309963</v>
      </c>
    </row>
    <row r="552" spans="1:17" ht="14.4">
      <c r="A552" s="370"/>
      <c r="B552" s="379"/>
      <c r="C552" s="379"/>
      <c r="D552" s="379"/>
      <c r="E552" s="379"/>
      <c r="F552" s="379"/>
      <c r="G552" s="379"/>
      <c r="H552" s="379"/>
      <c r="I552" s="379"/>
      <c r="J552" s="379"/>
      <c r="K552" s="379"/>
      <c r="L552" s="379"/>
      <c r="M552" s="379"/>
      <c r="N552" s="379"/>
      <c r="O552" s="379"/>
      <c r="P552" s="379"/>
      <c r="Q552" s="379"/>
    </row>
    <row r="553" spans="1:17" ht="14.4">
      <c r="A553" s="366" t="s">
        <v>299</v>
      </c>
      <c r="B553" s="378">
        <f t="shared" ref="B553:B554" si="415">+SUM(C553:Q553)</f>
        <v>43884.879418749995</v>
      </c>
      <c r="C553" s="367">
        <f>'WHRS_Project Scenario'!$C$8/'Initial Data'!$C$19</f>
        <v>4388.4879418749997</v>
      </c>
      <c r="D553" s="367">
        <f>'WHRS_Project Scenario'!$C$8/'Initial Data'!$C$19</f>
        <v>4388.4879418749997</v>
      </c>
      <c r="E553" s="367">
        <f>'WHRS_Project Scenario'!$C$8/'Initial Data'!$C$19</f>
        <v>4388.4879418749997</v>
      </c>
      <c r="F553" s="367">
        <f>'WHRS_Project Scenario'!$C$8/'Initial Data'!$C$19</f>
        <v>4388.4879418749997</v>
      </c>
      <c r="G553" s="367">
        <f>'WHRS_Project Scenario'!$C$8/'Initial Data'!$C$19</f>
        <v>4388.4879418749997</v>
      </c>
      <c r="H553" s="367">
        <f>'WHRS_Project Scenario'!$C$8/'Initial Data'!$C$19</f>
        <v>4388.4879418749997</v>
      </c>
      <c r="I553" s="367">
        <f>'WHRS_Project Scenario'!$C$8/'Initial Data'!$C$19</f>
        <v>4388.4879418749997</v>
      </c>
      <c r="J553" s="367">
        <f>'WHRS_Project Scenario'!$C$8/'Initial Data'!$C$19</f>
        <v>4388.4879418749997</v>
      </c>
      <c r="K553" s="367">
        <f>'WHRS_Project Scenario'!$C$8/'Initial Data'!$C$19</f>
        <v>4388.4879418749997</v>
      </c>
      <c r="L553" s="367">
        <f>'WHRS_Project Scenario'!$C$8/'Initial Data'!$C$19</f>
        <v>4388.4879418749997</v>
      </c>
      <c r="M553" s="367">
        <v>0</v>
      </c>
      <c r="N553" s="367">
        <v>0</v>
      </c>
      <c r="O553" s="367">
        <v>0</v>
      </c>
      <c r="P553" s="367">
        <v>0</v>
      </c>
      <c r="Q553" s="367">
        <v>0</v>
      </c>
    </row>
    <row r="554" spans="1:17" ht="14.4">
      <c r="A554" s="366" t="s">
        <v>300</v>
      </c>
      <c r="B554" s="378">
        <f t="shared" si="415"/>
        <v>43884.879418749995</v>
      </c>
      <c r="C554" s="367">
        <f>SUM(C553:C553)</f>
        <v>4388.4879418749997</v>
      </c>
      <c r="D554" s="367">
        <f t="shared" ref="D554:Q554" si="416">SUM(D553:D553)</f>
        <v>4388.4879418749997</v>
      </c>
      <c r="E554" s="367">
        <f t="shared" si="416"/>
        <v>4388.4879418749997</v>
      </c>
      <c r="F554" s="367">
        <f t="shared" si="416"/>
        <v>4388.4879418749997</v>
      </c>
      <c r="G554" s="367">
        <f t="shared" si="416"/>
        <v>4388.4879418749997</v>
      </c>
      <c r="H554" s="367">
        <f t="shared" si="416"/>
        <v>4388.4879418749997</v>
      </c>
      <c r="I554" s="367">
        <f t="shared" si="416"/>
        <v>4388.4879418749997</v>
      </c>
      <c r="J554" s="367">
        <f t="shared" si="416"/>
        <v>4388.4879418749997</v>
      </c>
      <c r="K554" s="367">
        <f t="shared" si="416"/>
        <v>4388.4879418749997</v>
      </c>
      <c r="L554" s="367">
        <f t="shared" si="416"/>
        <v>4388.4879418749997</v>
      </c>
      <c r="M554" s="367">
        <f t="shared" si="416"/>
        <v>0</v>
      </c>
      <c r="N554" s="367">
        <f t="shared" si="416"/>
        <v>0</v>
      </c>
      <c r="O554" s="367">
        <f t="shared" si="416"/>
        <v>0</v>
      </c>
      <c r="P554" s="367">
        <f t="shared" si="416"/>
        <v>0</v>
      </c>
      <c r="Q554" s="367">
        <f t="shared" si="416"/>
        <v>0</v>
      </c>
    </row>
    <row r="555" spans="1:17" ht="14.4">
      <c r="A555" s="370"/>
      <c r="B555" s="379"/>
      <c r="C555" s="379"/>
      <c r="D555" s="379"/>
      <c r="E555" s="379"/>
      <c r="F555" s="379"/>
      <c r="G555" s="379"/>
      <c r="H555" s="379"/>
      <c r="I555" s="379"/>
      <c r="J555" s="379"/>
      <c r="K555" s="379"/>
      <c r="L555" s="379"/>
      <c r="M555" s="379"/>
      <c r="N555" s="379"/>
      <c r="O555" s="379"/>
      <c r="P555" s="379"/>
      <c r="Q555" s="379"/>
    </row>
    <row r="556" spans="1:17" ht="14.4">
      <c r="A556" s="366" t="s">
        <v>301</v>
      </c>
      <c r="B556" s="378">
        <f>+SUM(C556:Q556)</f>
        <v>69251.016786078035</v>
      </c>
      <c r="C556" s="367">
        <f>+C551+C554</f>
        <v>5784.6332263753575</v>
      </c>
      <c r="D556" s="367">
        <f>+D551+D554</f>
        <v>5822.0499199999667</v>
      </c>
      <c r="E556" s="367">
        <f t="shared" ref="E556:Q556" si="417">+E551+E554</f>
        <v>5860.469381013716</v>
      </c>
      <c r="F556" s="367">
        <f t="shared" si="417"/>
        <v>5899.9184835826327</v>
      </c>
      <c r="G556" s="367">
        <f t="shared" si="417"/>
        <v>5940.4248221003973</v>
      </c>
      <c r="H556" s="367">
        <f t="shared" si="417"/>
        <v>5982.016730490438</v>
      </c>
      <c r="I556" s="367">
        <f t="shared" si="417"/>
        <v>6024.7233020253316</v>
      </c>
      <c r="J556" s="367">
        <f t="shared" si="417"/>
        <v>6068.5744096773597</v>
      </c>
      <c r="K556" s="367">
        <f t="shared" si="417"/>
        <v>6113.6007270144637</v>
      </c>
      <c r="L556" s="367">
        <f t="shared" si="417"/>
        <v>6159.8337496562008</v>
      </c>
      <c r="M556" s="367">
        <f t="shared" si="417"/>
        <v>1818.8178754297373</v>
      </c>
      <c r="N556" s="367">
        <f t="shared" si="417"/>
        <v>1867.5621944912541</v>
      </c>
      <c r="O556" s="367">
        <f t="shared" si="417"/>
        <v>1917.6128613036199</v>
      </c>
      <c r="P556" s="367">
        <f t="shared" si="417"/>
        <v>1969.0048859865565</v>
      </c>
      <c r="Q556" s="367">
        <f t="shared" si="417"/>
        <v>2021.7742169309963</v>
      </c>
    </row>
    <row r="557" spans="1:17" ht="14.4">
      <c r="A557" s="370"/>
      <c r="B557" s="379"/>
      <c r="C557" s="379"/>
      <c r="D557" s="379"/>
      <c r="E557" s="379"/>
      <c r="F557" s="379"/>
      <c r="G557" s="379"/>
      <c r="H557" s="379"/>
      <c r="I557" s="379"/>
      <c r="J557" s="379"/>
      <c r="K557" s="379"/>
      <c r="L557" s="379"/>
      <c r="M557" s="379"/>
      <c r="N557" s="379"/>
      <c r="O557" s="379"/>
      <c r="P557" s="379"/>
      <c r="Q557" s="379"/>
    </row>
    <row r="558" spans="1:17" ht="14.4">
      <c r="A558" s="364" t="s">
        <v>302</v>
      </c>
      <c r="B558" s="378">
        <f>+SUM(C558:Q558)</f>
        <v>1539506.3796463551</v>
      </c>
      <c r="C558" s="367">
        <f>+C543-C556</f>
        <v>82760.935237949525</v>
      </c>
      <c r="D558" s="367">
        <f>+D543-D556</f>
        <v>85096.539779168816</v>
      </c>
      <c r="E558" s="367">
        <f t="shared" ref="E558:Q558" si="418">+E543-E556</f>
        <v>87494.738522092768</v>
      </c>
      <c r="F558" s="367">
        <f t="shared" si="418"/>
        <v>89957.208991327105</v>
      </c>
      <c r="G558" s="367">
        <f t="shared" si="418"/>
        <v>92485.673669136915</v>
      </c>
      <c r="H558" s="367">
        <f t="shared" si="418"/>
        <v>95081.90120031203</v>
      </c>
      <c r="I558" s="367">
        <f t="shared" si="418"/>
        <v>97747.707629322627</v>
      </c>
      <c r="J558" s="367">
        <f t="shared" si="418"/>
        <v>100484.95767063073</v>
      </c>
      <c r="K558" s="367">
        <f t="shared" si="418"/>
        <v>103295.56601304587</v>
      </c>
      <c r="L558" s="367">
        <f t="shared" si="418"/>
        <v>106181.49865903774</v>
      </c>
      <c r="M558" s="367">
        <f t="shared" si="418"/>
        <v>113533.26224181718</v>
      </c>
      <c r="N558" s="367">
        <f t="shared" si="418"/>
        <v>116575.95366989786</v>
      </c>
      <c r="O558" s="367">
        <f t="shared" si="418"/>
        <v>119700.18922825111</v>
      </c>
      <c r="P558" s="367">
        <f t="shared" si="418"/>
        <v>122908.15429956824</v>
      </c>
      <c r="Q558" s="367">
        <f t="shared" si="418"/>
        <v>126202.09283479665</v>
      </c>
    </row>
    <row r="559" spans="1:17" ht="14.4">
      <c r="A559" s="364"/>
    </row>
    <row r="560" spans="1:17" ht="14.4">
      <c r="A560" s="364" t="s">
        <v>222</v>
      </c>
      <c r="B560" s="380">
        <f>+'WHRS_Project Scenario'!C39</f>
        <v>0.7</v>
      </c>
      <c r="C560" s="367">
        <f>IF((+$B$560*C558)&lt;0,"0",(+$B$560*C558))</f>
        <v>57932.65466656466</v>
      </c>
      <c r="D560" s="367">
        <f t="shared" ref="D560:Q560" si="419">IF((+$B$560*D558)&lt;0,"0",(+$B$560*D558))</f>
        <v>59567.577845418164</v>
      </c>
      <c r="E560" s="367">
        <f t="shared" si="419"/>
        <v>61246.316965464932</v>
      </c>
      <c r="F560" s="367">
        <f t="shared" si="419"/>
        <v>62970.046293928972</v>
      </c>
      <c r="G560" s="367">
        <f t="shared" si="419"/>
        <v>64739.971568395835</v>
      </c>
      <c r="H560" s="367">
        <f t="shared" si="419"/>
        <v>66557.330840218419</v>
      </c>
      <c r="I560" s="367">
        <f t="shared" si="419"/>
        <v>68423.395340525836</v>
      </c>
      <c r="J560" s="367">
        <f t="shared" si="419"/>
        <v>70339.470369441508</v>
      </c>
      <c r="K560" s="367">
        <f t="shared" si="419"/>
        <v>72306.896209132101</v>
      </c>
      <c r="L560" s="367">
        <f t="shared" si="419"/>
        <v>74327.049061326412</v>
      </c>
      <c r="M560" s="367">
        <f t="shared" si="419"/>
        <v>79473.283569272025</v>
      </c>
      <c r="N560" s="367">
        <f t="shared" si="419"/>
        <v>81603.167568928504</v>
      </c>
      <c r="O560" s="367">
        <f t="shared" si="419"/>
        <v>83790.132459775778</v>
      </c>
      <c r="P560" s="367">
        <f t="shared" si="419"/>
        <v>86035.708009697759</v>
      </c>
      <c r="Q560" s="367">
        <f t="shared" si="419"/>
        <v>88341.464984357648</v>
      </c>
    </row>
    <row r="561" spans="1:17" ht="14.4">
      <c r="A561" s="364" t="s">
        <v>303</v>
      </c>
      <c r="B561" s="378">
        <f>+SUM(C561:Q561)</f>
        <v>1077654.4657524484</v>
      </c>
      <c r="C561" s="367">
        <f>SUM(C560:C560)</f>
        <v>57932.65466656466</v>
      </c>
      <c r="D561" s="367">
        <f t="shared" ref="D561:Q561" si="420">SUM(D560:D560)</f>
        <v>59567.577845418164</v>
      </c>
      <c r="E561" s="367">
        <f t="shared" si="420"/>
        <v>61246.316965464932</v>
      </c>
      <c r="F561" s="367">
        <f t="shared" si="420"/>
        <v>62970.046293928972</v>
      </c>
      <c r="G561" s="367">
        <f t="shared" si="420"/>
        <v>64739.971568395835</v>
      </c>
      <c r="H561" s="367">
        <f t="shared" si="420"/>
        <v>66557.330840218419</v>
      </c>
      <c r="I561" s="367">
        <f t="shared" si="420"/>
        <v>68423.395340525836</v>
      </c>
      <c r="J561" s="367">
        <f t="shared" si="420"/>
        <v>70339.470369441508</v>
      </c>
      <c r="K561" s="367">
        <f t="shared" si="420"/>
        <v>72306.896209132101</v>
      </c>
      <c r="L561" s="367">
        <f t="shared" si="420"/>
        <v>74327.049061326412</v>
      </c>
      <c r="M561" s="367">
        <f t="shared" si="420"/>
        <v>79473.283569272025</v>
      </c>
      <c r="N561" s="367">
        <f t="shared" si="420"/>
        <v>81603.167568928504</v>
      </c>
      <c r="O561" s="367">
        <f t="shared" si="420"/>
        <v>83790.132459775778</v>
      </c>
      <c r="P561" s="367">
        <f t="shared" si="420"/>
        <v>86035.708009697759</v>
      </c>
      <c r="Q561" s="367">
        <f t="shared" si="420"/>
        <v>88341.464984357648</v>
      </c>
    </row>
    <row r="562" spans="1:17" ht="14.4">
      <c r="A562" s="369"/>
    </row>
    <row r="563" spans="1:17" ht="14.4">
      <c r="A563" s="364" t="s">
        <v>304</v>
      </c>
      <c r="B563" s="378">
        <f t="shared" ref="B563:B565" si="421">+SUM(C563:Q563)</f>
        <v>461851.91389390663</v>
      </c>
      <c r="C563" s="367">
        <f>C558-C561</f>
        <v>24828.280571384865</v>
      </c>
      <c r="D563" s="367">
        <f t="shared" ref="D563:Q563" si="422">D558-D561</f>
        <v>25528.961933750652</v>
      </c>
      <c r="E563" s="367">
        <f t="shared" si="422"/>
        <v>26248.421556627836</v>
      </c>
      <c r="F563" s="367">
        <f t="shared" si="422"/>
        <v>26987.162697398133</v>
      </c>
      <c r="G563" s="367">
        <f t="shared" si="422"/>
        <v>27745.70210074108</v>
      </c>
      <c r="H563" s="367">
        <f t="shared" si="422"/>
        <v>28524.57036009361</v>
      </c>
      <c r="I563" s="367">
        <f t="shared" si="422"/>
        <v>29324.312288796791</v>
      </c>
      <c r="J563" s="367">
        <f t="shared" si="422"/>
        <v>30145.48730118922</v>
      </c>
      <c r="K563" s="367">
        <f t="shared" si="422"/>
        <v>30988.66980391377</v>
      </c>
      <c r="L563" s="367">
        <f t="shared" si="422"/>
        <v>31854.449597711326</v>
      </c>
      <c r="M563" s="367">
        <f t="shared" si="422"/>
        <v>34059.978672545156</v>
      </c>
      <c r="N563" s="367">
        <f t="shared" si="422"/>
        <v>34972.786100969359</v>
      </c>
      <c r="O563" s="367">
        <f t="shared" si="422"/>
        <v>35910.056768475333</v>
      </c>
      <c r="P563" s="367">
        <f t="shared" si="422"/>
        <v>36872.446289870481</v>
      </c>
      <c r="Q563" s="367">
        <f t="shared" si="422"/>
        <v>37860.627850439007</v>
      </c>
    </row>
    <row r="564" spans="1:17" ht="14.4">
      <c r="A564" s="364" t="s">
        <v>305</v>
      </c>
      <c r="B564" s="378">
        <f t="shared" si="421"/>
        <v>43884.879418749995</v>
      </c>
      <c r="C564" s="367">
        <f>+C553</f>
        <v>4388.4879418749997</v>
      </c>
      <c r="D564" s="367">
        <f t="shared" ref="D564:Q564" si="423">+D553</f>
        <v>4388.4879418749997</v>
      </c>
      <c r="E564" s="367">
        <f t="shared" si="423"/>
        <v>4388.4879418749997</v>
      </c>
      <c r="F564" s="367">
        <f t="shared" si="423"/>
        <v>4388.4879418749997</v>
      </c>
      <c r="G564" s="367">
        <f t="shared" si="423"/>
        <v>4388.4879418749997</v>
      </c>
      <c r="H564" s="367">
        <f t="shared" si="423"/>
        <v>4388.4879418749997</v>
      </c>
      <c r="I564" s="367">
        <f t="shared" si="423"/>
        <v>4388.4879418749997</v>
      </c>
      <c r="J564" s="367">
        <f t="shared" si="423"/>
        <v>4388.4879418749997</v>
      </c>
      <c r="K564" s="367">
        <f t="shared" si="423"/>
        <v>4388.4879418749997</v>
      </c>
      <c r="L564" s="367">
        <f t="shared" si="423"/>
        <v>4388.4879418749997</v>
      </c>
      <c r="M564" s="367">
        <f t="shared" si="423"/>
        <v>0</v>
      </c>
      <c r="N564" s="367">
        <f t="shared" si="423"/>
        <v>0</v>
      </c>
      <c r="O564" s="367">
        <f t="shared" si="423"/>
        <v>0</v>
      </c>
      <c r="P564" s="367">
        <f t="shared" si="423"/>
        <v>0</v>
      </c>
      <c r="Q564" s="367">
        <f t="shared" si="423"/>
        <v>0</v>
      </c>
    </row>
    <row r="565" spans="1:17" ht="14.4">
      <c r="A565" s="364" t="s">
        <v>306</v>
      </c>
      <c r="B565" s="378">
        <f t="shared" si="421"/>
        <v>0</v>
      </c>
      <c r="C565" s="367">
        <f>+'WHRS_Project Scenario'!D538</f>
        <v>0</v>
      </c>
      <c r="D565" s="367">
        <f>+'WHRS_Project Scenario'!E538</f>
        <v>0</v>
      </c>
      <c r="E565" s="367">
        <f>+'WHRS_Project Scenario'!F538</f>
        <v>0</v>
      </c>
      <c r="F565" s="367">
        <f>+'WHRS_Project Scenario'!G538</f>
        <v>0</v>
      </c>
      <c r="G565" s="367">
        <f>+'WHRS_Project Scenario'!H538</f>
        <v>0</v>
      </c>
      <c r="H565" s="367">
        <f>+'WHRS_Project Scenario'!I538</f>
        <v>0</v>
      </c>
      <c r="I565" s="367">
        <f>+'WHRS_Project Scenario'!J538</f>
        <v>0</v>
      </c>
      <c r="J565" s="367">
        <f>+'WHRS_Project Scenario'!K538</f>
        <v>0</v>
      </c>
      <c r="K565" s="367">
        <f>+'WHRS_Project Scenario'!L538</f>
        <v>0</v>
      </c>
      <c r="L565" s="367">
        <f>+'WHRS_Project Scenario'!M538</f>
        <v>0</v>
      </c>
      <c r="M565" s="367">
        <f>+'WHRS_Project Scenario'!N538</f>
        <v>0</v>
      </c>
      <c r="N565" s="367">
        <f>+'WHRS_Project Scenario'!O538</f>
        <v>0</v>
      </c>
      <c r="O565" s="367">
        <f>+'WHRS_Project Scenario'!P538</f>
        <v>0</v>
      </c>
      <c r="P565" s="367">
        <f>+'WHRS_Project Scenario'!Q538</f>
        <v>0</v>
      </c>
      <c r="Q565" s="367">
        <f>+'WHRS_Project Scenario'!R538</f>
        <v>0</v>
      </c>
    </row>
    <row r="566" spans="1:17" ht="14.4">
      <c r="A566" s="364"/>
    </row>
    <row r="567" spans="1:17" ht="14.4">
      <c r="A567" s="364" t="s">
        <v>110</v>
      </c>
      <c r="B567" s="378">
        <f>-'WHRS_Project Scenario'!C8</f>
        <v>-43884.879418749995</v>
      </c>
      <c r="C567" s="367">
        <f>C563+C564+C565</f>
        <v>29216.768513259864</v>
      </c>
      <c r="D567" s="367">
        <f t="shared" ref="D567:Q567" si="424">D563+D564+D565</f>
        <v>29917.449875625651</v>
      </c>
      <c r="E567" s="367">
        <f t="shared" si="424"/>
        <v>30636.909498502835</v>
      </c>
      <c r="F567" s="367">
        <f t="shared" si="424"/>
        <v>31375.650639273132</v>
      </c>
      <c r="G567" s="367">
        <f t="shared" si="424"/>
        <v>32134.190042616079</v>
      </c>
      <c r="H567" s="367">
        <f t="shared" si="424"/>
        <v>32913.058301968609</v>
      </c>
      <c r="I567" s="367">
        <f t="shared" si="424"/>
        <v>33712.80023067179</v>
      </c>
      <c r="J567" s="367">
        <f t="shared" si="424"/>
        <v>34533.975243064218</v>
      </c>
      <c r="K567" s="367">
        <f t="shared" si="424"/>
        <v>35377.157745788769</v>
      </c>
      <c r="L567" s="367">
        <f t="shared" si="424"/>
        <v>36242.937539586324</v>
      </c>
      <c r="M567" s="367">
        <f t="shared" si="424"/>
        <v>34059.978672545156</v>
      </c>
      <c r="N567" s="367">
        <f t="shared" si="424"/>
        <v>34972.786100969359</v>
      </c>
      <c r="O567" s="367">
        <f t="shared" si="424"/>
        <v>35910.056768475333</v>
      </c>
      <c r="P567" s="367">
        <f t="shared" si="424"/>
        <v>36872.446289870481</v>
      </c>
      <c r="Q567" s="367">
        <f t="shared" si="424"/>
        <v>37860.627850439007</v>
      </c>
    </row>
    <row r="568" spans="1:17" ht="15.6">
      <c r="A568" s="364" t="s">
        <v>51</v>
      </c>
      <c r="B568" s="132">
        <f>IRR(B567:Q567)</f>
        <v>0.68914060651175701</v>
      </c>
    </row>
    <row r="569" spans="1:17" ht="15.6">
      <c r="A569" s="364" t="s">
        <v>267</v>
      </c>
      <c r="B569" s="303">
        <f>NPV('Initial Data'!C21/100,B567:Q567)</f>
        <v>158741.49682856447</v>
      </c>
    </row>
    <row r="571" spans="1:17" ht="14.4">
      <c r="A571" s="508" t="s">
        <v>320</v>
      </c>
      <c r="B571" s="509"/>
      <c r="C571" s="509"/>
      <c r="D571" s="509"/>
      <c r="E571" s="509"/>
      <c r="F571" s="509"/>
      <c r="G571" s="509"/>
      <c r="H571" s="509"/>
      <c r="I571" s="509"/>
      <c r="J571" s="509"/>
      <c r="K571" s="509"/>
      <c r="L571" s="509"/>
      <c r="M571" s="509"/>
      <c r="N571" s="509"/>
      <c r="O571" s="509"/>
      <c r="P571" s="509"/>
      <c r="Q571" s="509"/>
    </row>
    <row r="572" spans="1:17" ht="14.4">
      <c r="A572" s="371" t="s">
        <v>322</v>
      </c>
      <c r="B572" s="372"/>
      <c r="C572" s="372"/>
      <c r="D572" s="372"/>
      <c r="E572" s="372"/>
      <c r="F572" s="372"/>
      <c r="G572" s="372"/>
      <c r="H572" s="372"/>
      <c r="I572" s="372"/>
      <c r="J572" s="372"/>
      <c r="K572" s="372"/>
      <c r="L572" s="372"/>
      <c r="M572" s="372"/>
      <c r="N572" s="372"/>
      <c r="O572" s="372"/>
      <c r="P572" s="372"/>
      <c r="Q572" s="372"/>
    </row>
    <row r="573" spans="1:17" ht="27">
      <c r="A573" s="376"/>
      <c r="B573" s="304" t="s">
        <v>35</v>
      </c>
      <c r="C573" s="352" t="s">
        <v>407</v>
      </c>
      <c r="D573" s="352" t="s">
        <v>408</v>
      </c>
      <c r="E573" s="352" t="s">
        <v>409</v>
      </c>
      <c r="F573" s="352" t="s">
        <v>410</v>
      </c>
      <c r="G573" s="352" t="s">
        <v>411</v>
      </c>
      <c r="H573" s="352" t="s">
        <v>412</v>
      </c>
      <c r="I573" s="352" t="s">
        <v>413</v>
      </c>
      <c r="J573" s="352" t="s">
        <v>414</v>
      </c>
      <c r="K573" s="352" t="s">
        <v>415</v>
      </c>
      <c r="L573" s="352" t="s">
        <v>416</v>
      </c>
      <c r="M573" s="352" t="s">
        <v>417</v>
      </c>
      <c r="N573" s="352" t="s">
        <v>418</v>
      </c>
      <c r="O573" s="352" t="s">
        <v>419</v>
      </c>
      <c r="P573" s="352" t="s">
        <v>420</v>
      </c>
      <c r="Q573" s="352" t="s">
        <v>421</v>
      </c>
    </row>
    <row r="574" spans="1:17" ht="14.4">
      <c r="A574" s="363" t="s">
        <v>290</v>
      </c>
      <c r="B574" s="365"/>
      <c r="C574" s="377">
        <f>+'WHRS_Project Scenario'!D15</f>
        <v>215214.92335078961</v>
      </c>
      <c r="D574" s="377">
        <f>+'WHRS_Project Scenario'!E15</f>
        <v>215214.92335078961</v>
      </c>
      <c r="E574" s="377">
        <f>+'WHRS_Project Scenario'!F15</f>
        <v>215214.92335078961</v>
      </c>
      <c r="F574" s="377">
        <f>+'WHRS_Project Scenario'!G15</f>
        <v>215214.92335078961</v>
      </c>
      <c r="G574" s="377">
        <f>+'WHRS_Project Scenario'!H15</f>
        <v>215214.92335078961</v>
      </c>
      <c r="H574" s="377">
        <f>+'WHRS_Project Scenario'!I15</f>
        <v>215214.92335078961</v>
      </c>
      <c r="I574" s="377">
        <f>+'WHRS_Project Scenario'!J15</f>
        <v>215214.92335078961</v>
      </c>
      <c r="J574" s="377">
        <f>+'WHRS_Project Scenario'!K15</f>
        <v>215214.92335078961</v>
      </c>
      <c r="K574" s="377">
        <f>+'WHRS_Project Scenario'!L15</f>
        <v>215214.92335078961</v>
      </c>
      <c r="L574" s="377">
        <f>+'WHRS_Project Scenario'!M15</f>
        <v>215214.92335078961</v>
      </c>
      <c r="M574" s="377">
        <f>+'WHRS_Project Scenario'!N15</f>
        <v>215214.92335078961</v>
      </c>
      <c r="N574" s="377">
        <f>+'WHRS_Project Scenario'!O15</f>
        <v>215214.92335078961</v>
      </c>
      <c r="O574" s="377">
        <f>+'WHRS_Project Scenario'!P15</f>
        <v>215214.92335078961</v>
      </c>
      <c r="P574" s="377">
        <f>+'WHRS_Project Scenario'!Q15</f>
        <v>215214.92335078961</v>
      </c>
      <c r="Q574" s="377">
        <f>+'WHRS_Project Scenario'!R15</f>
        <v>215214.92335078961</v>
      </c>
    </row>
    <row r="575" spans="1:17" ht="14.4">
      <c r="A575" s="364" t="s">
        <v>291</v>
      </c>
      <c r="B575" s="365"/>
      <c r="C575" s="381">
        <f>'Initial Data'!$C$50*(1+'WHRS Sensitivity Analysis'!$E$6)-'Initial Data'!$C$51</f>
        <v>76</v>
      </c>
      <c r="D575" s="381">
        <f>'Initial Data'!$C$50*(1+'WHRS Sensitivity Analysis'!$E$6)-'Initial Data'!$C$51</f>
        <v>76</v>
      </c>
      <c r="E575" s="381">
        <f>'Initial Data'!$C$50*(1+'WHRS Sensitivity Analysis'!$E$6)-'Initial Data'!$C$51</f>
        <v>76</v>
      </c>
      <c r="F575" s="381">
        <f>'Initial Data'!$C$50*(1+'WHRS Sensitivity Analysis'!$E$6)-'Initial Data'!$C$51</f>
        <v>76</v>
      </c>
      <c r="G575" s="381">
        <f>'Initial Data'!$C$50*(1+'WHRS Sensitivity Analysis'!$E$6)-'Initial Data'!$C$51</f>
        <v>76</v>
      </c>
      <c r="H575" s="381">
        <f>'Initial Data'!$C$50*(1+'WHRS Sensitivity Analysis'!$E$6)-'Initial Data'!$C$51</f>
        <v>76</v>
      </c>
      <c r="I575" s="381">
        <f>'Initial Data'!$C$50*(1+'WHRS Sensitivity Analysis'!$E$6)-'Initial Data'!$C$51</f>
        <v>76</v>
      </c>
      <c r="J575" s="381">
        <f>'Initial Data'!$C$50*(1+'WHRS Sensitivity Analysis'!$E$6)-'Initial Data'!$C$51</f>
        <v>76</v>
      </c>
      <c r="K575" s="381">
        <f>'Initial Data'!$C$50*(1+'WHRS Sensitivity Analysis'!$E$6)-'Initial Data'!$C$51</f>
        <v>76</v>
      </c>
      <c r="L575" s="381">
        <f>'Initial Data'!$C$50*(1+'WHRS Sensitivity Analysis'!$E$6)-'Initial Data'!$C$51</f>
        <v>76</v>
      </c>
      <c r="M575" s="381">
        <f>'Initial Data'!$C$50*(1+'WHRS Sensitivity Analysis'!$E$6)-'Initial Data'!$C$51</f>
        <v>76</v>
      </c>
      <c r="N575" s="381">
        <f>'Initial Data'!$C$50*(1+'WHRS Sensitivity Analysis'!$E$6)-'Initial Data'!$C$51</f>
        <v>76</v>
      </c>
      <c r="O575" s="381">
        <f>'Initial Data'!$C$50*(1+'WHRS Sensitivity Analysis'!$E$6)-'Initial Data'!$C$51</f>
        <v>76</v>
      </c>
      <c r="P575" s="381">
        <f>'Initial Data'!$C$50*(1+'WHRS Sensitivity Analysis'!$E$6)-'Initial Data'!$C$51</f>
        <v>76</v>
      </c>
      <c r="Q575" s="381">
        <f>'Initial Data'!$C$50*(1+'WHRS Sensitivity Analysis'!$E$6)-'Initial Data'!$C$51</f>
        <v>76</v>
      </c>
    </row>
    <row r="576" spans="1:17" ht="14.4">
      <c r="A576" s="366" t="s">
        <v>292</v>
      </c>
      <c r="B576" s="365"/>
      <c r="C576" s="385">
        <f>+'WHRS_Project Scenario'!D17</f>
        <v>6.4285714285714288</v>
      </c>
      <c r="D576" s="385">
        <f>+'WHRS_Project Scenario'!E17</f>
        <v>6.6008571428571425</v>
      </c>
      <c r="E576" s="385">
        <f>+'WHRS_Project Scenario'!F17</f>
        <v>6.7777601142857131</v>
      </c>
      <c r="F576" s="385">
        <f>+'WHRS_Project Scenario'!G17</f>
        <v>6.9594040853485701</v>
      </c>
      <c r="G576" s="385">
        <f>+'WHRS_Project Scenario'!H17</f>
        <v>7.1459161148359112</v>
      </c>
      <c r="H576" s="385">
        <f>+'WHRS_Project Scenario'!I17</f>
        <v>7.3374266667135135</v>
      </c>
      <c r="I576" s="385">
        <f>+'WHRS_Project Scenario'!J17</f>
        <v>7.5340697013814353</v>
      </c>
      <c r="J576" s="385">
        <f>+'WHRS_Project Scenario'!K17</f>
        <v>7.7359827693784569</v>
      </c>
      <c r="K576" s="385">
        <f>+'WHRS_Project Scenario'!L17</f>
        <v>7.943307107597799</v>
      </c>
      <c r="L576" s="385">
        <f>+'WHRS_Project Scenario'!M17</f>
        <v>8.1561877380814192</v>
      </c>
      <c r="M576" s="385">
        <f>+'WHRS_Project Scenario'!N17</f>
        <v>8.3747735694620005</v>
      </c>
      <c r="N576" s="385">
        <f>+'WHRS_Project Scenario'!O17</f>
        <v>8.5992175011235812</v>
      </c>
      <c r="O576" s="385">
        <f>+'WHRS_Project Scenario'!P17</f>
        <v>8.8296765301536926</v>
      </c>
      <c r="P576" s="385">
        <f>+'WHRS_Project Scenario'!Q17</f>
        <v>9.066311861161811</v>
      </c>
      <c r="Q576" s="385">
        <f>+'WHRS_Project Scenario'!R17</f>
        <v>9.3092890190409463</v>
      </c>
    </row>
    <row r="577" spans="1:17" ht="14.4">
      <c r="A577" s="366" t="s">
        <v>293</v>
      </c>
      <c r="B577" s="365"/>
      <c r="C577" s="381">
        <f>+C575*C576</f>
        <v>488.57142857142861</v>
      </c>
      <c r="D577" s="381">
        <f t="shared" ref="D577:Q577" si="425">+D575*D576</f>
        <v>501.66514285714283</v>
      </c>
      <c r="E577" s="381">
        <f t="shared" si="425"/>
        <v>515.10976868571424</v>
      </c>
      <c r="F577" s="381">
        <f t="shared" si="425"/>
        <v>528.91471048649134</v>
      </c>
      <c r="G577" s="381">
        <f t="shared" si="425"/>
        <v>543.08962472752921</v>
      </c>
      <c r="H577" s="381">
        <f t="shared" si="425"/>
        <v>557.64442667022706</v>
      </c>
      <c r="I577" s="381">
        <f t="shared" si="425"/>
        <v>572.58929730498903</v>
      </c>
      <c r="J577" s="381">
        <f t="shared" si="425"/>
        <v>587.93469047276267</v>
      </c>
      <c r="K577" s="381">
        <f t="shared" si="425"/>
        <v>603.69134017743272</v>
      </c>
      <c r="L577" s="381">
        <f t="shared" si="425"/>
        <v>619.87026809418785</v>
      </c>
      <c r="M577" s="381">
        <f t="shared" si="425"/>
        <v>636.48279127911201</v>
      </c>
      <c r="N577" s="381">
        <f t="shared" si="425"/>
        <v>653.54053008539222</v>
      </c>
      <c r="O577" s="381">
        <f t="shared" si="425"/>
        <v>671.05541629168067</v>
      </c>
      <c r="P577" s="381">
        <f t="shared" si="425"/>
        <v>689.03970144829759</v>
      </c>
      <c r="Q577" s="381">
        <f t="shared" si="425"/>
        <v>707.50596544711198</v>
      </c>
    </row>
    <row r="578" spans="1:17" ht="14.4">
      <c r="A578" s="370"/>
      <c r="B578" s="373"/>
      <c r="C578" s="373"/>
      <c r="D578" s="373"/>
      <c r="E578" s="373"/>
      <c r="F578" s="373"/>
      <c r="G578" s="373"/>
      <c r="H578" s="373"/>
      <c r="I578" s="373"/>
      <c r="J578" s="373"/>
      <c r="K578" s="373"/>
      <c r="L578" s="373"/>
      <c r="M578" s="373"/>
      <c r="N578" s="373"/>
      <c r="O578" s="373"/>
      <c r="P578" s="373"/>
      <c r="Q578" s="373"/>
    </row>
    <row r="579" spans="1:17" ht="14.4">
      <c r="A579" s="366" t="s">
        <v>294</v>
      </c>
      <c r="B579" s="377">
        <f>+SUM(C579:Q579)</f>
        <v>1910399.4082635145</v>
      </c>
      <c r="C579" s="377">
        <f>C574*C577/1000*'Initial Data'!$C$34/'Initial Data'!$C$33</f>
        <v>105147.86255138578</v>
      </c>
      <c r="D579" s="377">
        <f>D574*D577/1000*'Initial Data'!$C$34/'Initial Data'!$C$33</f>
        <v>107965.82526776292</v>
      </c>
      <c r="E579" s="377">
        <f>E574*E577/1000*'Initial Data'!$C$34/'Initial Data'!$C$33</f>
        <v>110859.30938493896</v>
      </c>
      <c r="F579" s="377">
        <f>F574*F577/1000*'Initial Data'!$C$34/'Initial Data'!$C$33</f>
        <v>113830.33887645531</v>
      </c>
      <c r="G579" s="377">
        <f>G574*G577/1000*'Initial Data'!$C$34/'Initial Data'!$C$33</f>
        <v>116880.9919583443</v>
      </c>
      <c r="H579" s="377">
        <f>H574*H577/1000*'Initial Data'!$C$34/'Initial Data'!$C$33</f>
        <v>120013.40254282793</v>
      </c>
      <c r="I579" s="377">
        <f>I574*I577/1000*'Initial Data'!$C$34/'Initial Data'!$C$33</f>
        <v>123229.7617309757</v>
      </c>
      <c r="J579" s="377">
        <f>J574*J577/1000*'Initial Data'!$C$34/'Initial Data'!$C$33</f>
        <v>126532.31934536585</v>
      </c>
      <c r="K579" s="377">
        <f>K574*K577/1000*'Initial Data'!$C$34/'Initial Data'!$C$33</f>
        <v>129923.38550382164</v>
      </c>
      <c r="L579" s="377">
        <f>L574*L577/1000*'Initial Data'!$C$34/'Initial Data'!$C$33</f>
        <v>133405.33223532405</v>
      </c>
      <c r="M579" s="377">
        <f>M574*M577/1000*'Initial Data'!$C$34/'Initial Data'!$C$33</f>
        <v>136980.59513923072</v>
      </c>
      <c r="N579" s="377">
        <f>N574*N577/1000*'Initial Data'!$C$34/'Initial Data'!$C$33</f>
        <v>140651.6750889621</v>
      </c>
      <c r="O579" s="377">
        <f>O574*O577/1000*'Initial Data'!$C$34/'Initial Data'!$C$33</f>
        <v>144421.13998134629</v>
      </c>
      <c r="P579" s="377">
        <f>P574*P577/1000*'Initial Data'!$C$34/'Initial Data'!$C$33</f>
        <v>148291.62653284633</v>
      </c>
      <c r="Q579" s="377">
        <f>Q574*Q577/1000*'Initial Data'!$C$34/'Initial Data'!$C$33</f>
        <v>152265.84212392662</v>
      </c>
    </row>
    <row r="580" spans="1:17" ht="14.4">
      <c r="A580" s="370"/>
      <c r="B580" s="373"/>
      <c r="C580" s="373"/>
      <c r="D580" s="373"/>
      <c r="E580" s="373"/>
      <c r="F580" s="373"/>
      <c r="G580" s="373"/>
      <c r="H580" s="373"/>
      <c r="I580" s="373"/>
      <c r="J580" s="373"/>
      <c r="K580" s="373"/>
      <c r="L580" s="373"/>
      <c r="M580" s="373"/>
      <c r="N580" s="373"/>
      <c r="O580" s="373"/>
      <c r="P580" s="373"/>
      <c r="Q580" s="373"/>
    </row>
    <row r="581" spans="1:17" ht="14.4">
      <c r="A581" s="366" t="s">
        <v>295</v>
      </c>
      <c r="B581" s="377">
        <f>+SUM(C581:Q581)</f>
        <v>1910399.4082635145</v>
      </c>
      <c r="C581" s="377">
        <f>+C579</f>
        <v>105147.86255138578</v>
      </c>
      <c r="D581" s="377">
        <f t="shared" ref="D581:Q581" si="426">+D579</f>
        <v>107965.82526776292</v>
      </c>
      <c r="E581" s="377">
        <f t="shared" si="426"/>
        <v>110859.30938493896</v>
      </c>
      <c r="F581" s="377">
        <f t="shared" si="426"/>
        <v>113830.33887645531</v>
      </c>
      <c r="G581" s="377">
        <f t="shared" si="426"/>
        <v>116880.9919583443</v>
      </c>
      <c r="H581" s="377">
        <f t="shared" si="426"/>
        <v>120013.40254282793</v>
      </c>
      <c r="I581" s="377">
        <f t="shared" si="426"/>
        <v>123229.7617309757</v>
      </c>
      <c r="J581" s="377">
        <f t="shared" si="426"/>
        <v>126532.31934536585</v>
      </c>
      <c r="K581" s="377">
        <f t="shared" si="426"/>
        <v>129923.38550382164</v>
      </c>
      <c r="L581" s="377">
        <f t="shared" si="426"/>
        <v>133405.33223532405</v>
      </c>
      <c r="M581" s="377">
        <f t="shared" si="426"/>
        <v>136980.59513923072</v>
      </c>
      <c r="N581" s="377">
        <f t="shared" si="426"/>
        <v>140651.6750889621</v>
      </c>
      <c r="O581" s="377">
        <f t="shared" si="426"/>
        <v>144421.13998134629</v>
      </c>
      <c r="P581" s="377">
        <f t="shared" si="426"/>
        <v>148291.62653284633</v>
      </c>
      <c r="Q581" s="377">
        <f t="shared" si="426"/>
        <v>152265.84212392662</v>
      </c>
    </row>
    <row r="582" spans="1:17" ht="14.4">
      <c r="A582" s="370"/>
      <c r="B582" s="374"/>
      <c r="C582" s="374"/>
      <c r="D582" s="374"/>
      <c r="E582" s="374"/>
      <c r="F582" s="374"/>
      <c r="G582" s="374"/>
      <c r="H582" s="374"/>
      <c r="I582" s="374"/>
      <c r="J582" s="374"/>
      <c r="K582" s="374"/>
      <c r="L582" s="374"/>
      <c r="M582" s="374"/>
      <c r="N582" s="374"/>
      <c r="O582" s="374"/>
      <c r="P582" s="374"/>
      <c r="Q582" s="374"/>
    </row>
    <row r="583" spans="1:17" ht="14.4">
      <c r="A583" s="366" t="s">
        <v>68</v>
      </c>
      <c r="B583" s="368"/>
      <c r="C583" s="368"/>
      <c r="D583" s="368"/>
      <c r="E583" s="368"/>
      <c r="F583" s="368"/>
      <c r="G583" s="368"/>
      <c r="H583" s="368"/>
      <c r="I583" s="368"/>
      <c r="J583" s="368"/>
      <c r="K583" s="368"/>
      <c r="L583" s="368"/>
      <c r="M583" s="368"/>
      <c r="N583" s="368"/>
      <c r="O583" s="368"/>
      <c r="P583" s="368"/>
      <c r="Q583" s="368"/>
    </row>
    <row r="584" spans="1:17" ht="14.4">
      <c r="A584" s="366" t="s">
        <v>296</v>
      </c>
      <c r="B584" s="378">
        <f>+SUM(C584:Q584)</f>
        <v>11529.370291765843</v>
      </c>
      <c r="C584" s="367">
        <f>SUM('Initial Data'!$C$77:$C$80)/'Initial Data'!$C$14/1000</f>
        <v>634.57339732142862</v>
      </c>
      <c r="D584" s="367">
        <f>+C584*(1+'Initial Data'!$C$20/100)</f>
        <v>651.57996436964288</v>
      </c>
      <c r="E584" s="367">
        <f>+D584*(1+'Initial Data'!$C$20/100)</f>
        <v>669.0423074147493</v>
      </c>
      <c r="F584" s="367">
        <f>+E584*(1+'Initial Data'!$C$20/100)</f>
        <v>686.97264125346453</v>
      </c>
      <c r="G584" s="367">
        <f>+F584*(1+'Initial Data'!$C$20/100)</f>
        <v>705.38350803905735</v>
      </c>
      <c r="H584" s="367">
        <f>+G584*(1+'Initial Data'!$C$20/100)</f>
        <v>724.28778605450407</v>
      </c>
      <c r="I584" s="367">
        <f>+H584*(1+'Initial Data'!$C$20/100)</f>
        <v>743.6986987207647</v>
      </c>
      <c r="J584" s="367">
        <f>+I584*(1+'Initial Data'!$C$20/100)</f>
        <v>763.62982384648114</v>
      </c>
      <c r="K584" s="367">
        <f>+J584*(1+'Initial Data'!$C$20/100)</f>
        <v>784.09510312556677</v>
      </c>
      <c r="L584" s="367">
        <f>+K584*(1+'Initial Data'!$C$20/100)</f>
        <v>805.10885188933196</v>
      </c>
      <c r="M584" s="367">
        <f>+L584*(1+'Initial Data'!$C$20/100)</f>
        <v>826.68576911996604</v>
      </c>
      <c r="N584" s="367">
        <f>+M584*(1+'Initial Data'!$C$20/100)</f>
        <v>848.8409477323811</v>
      </c>
      <c r="O584" s="367">
        <f>+N584*(1+'Initial Data'!$C$20/100)</f>
        <v>871.58988513160887</v>
      </c>
      <c r="P584" s="367">
        <f>+O584*(1+'Initial Data'!$C$20/100)</f>
        <v>894.94849405313596</v>
      </c>
      <c r="Q584" s="367">
        <f>+P584*(1+'Initial Data'!$C$20/100)</f>
        <v>918.93311369375999</v>
      </c>
    </row>
    <row r="585" spans="1:17" ht="14.4">
      <c r="A585" s="366" t="s">
        <v>297</v>
      </c>
      <c r="B585" s="378">
        <f>+SUM(C585:Q585)</f>
        <v>13836.767075562186</v>
      </c>
      <c r="C585" s="367">
        <f>('Initial Data'!$C$82/1000+('Initial Data'!$C$83*'Initial Data'!$C$15/'Initial Data'!$C$14)/1000+'Initial Data'!$C$84/'Initial Data'!$C$14/1000)</f>
        <v>761.57188717892859</v>
      </c>
      <c r="D585" s="367">
        <f>+C585*(1+'Initial Data'!$C$20/100)</f>
        <v>781.98201375532381</v>
      </c>
      <c r="E585" s="367">
        <f>+D585*(1+'Initial Data'!$C$20/100)</f>
        <v>802.9391317239664</v>
      </c>
      <c r="F585" s="367">
        <f>+E585*(1+'Initial Data'!$C$20/100)</f>
        <v>824.45790045416868</v>
      </c>
      <c r="G585" s="367">
        <f>+F585*(1+'Initial Data'!$C$20/100)</f>
        <v>846.55337218634031</v>
      </c>
      <c r="H585" s="367">
        <f>+G585*(1+'Initial Data'!$C$20/100)</f>
        <v>869.24100256093413</v>
      </c>
      <c r="I585" s="367">
        <f>+H585*(1+'Initial Data'!$C$20/100)</f>
        <v>892.53666142956706</v>
      </c>
      <c r="J585" s="367">
        <f>+I585*(1+'Initial Data'!$C$20/100)</f>
        <v>916.45664395587937</v>
      </c>
      <c r="K585" s="367">
        <f>+J585*(1+'Initial Data'!$C$20/100)</f>
        <v>941.01768201389689</v>
      </c>
      <c r="L585" s="367">
        <f>+K585*(1+'Initial Data'!$C$20/100)</f>
        <v>966.23695589186923</v>
      </c>
      <c r="M585" s="367">
        <f>+L585*(1+'Initial Data'!$C$20/100)</f>
        <v>992.1321063097713</v>
      </c>
      <c r="N585" s="367">
        <f>+M585*(1+'Initial Data'!$C$20/100)</f>
        <v>1018.7212467588731</v>
      </c>
      <c r="O585" s="367">
        <f>+N585*(1+'Initial Data'!$C$20/100)</f>
        <v>1046.0229761720109</v>
      </c>
      <c r="P585" s="367">
        <f>+O585*(1+'Initial Data'!$C$20/100)</f>
        <v>1074.0563919334206</v>
      </c>
      <c r="Q585" s="367">
        <f>+P585*(1+'Initial Data'!$C$20/100)</f>
        <v>1102.8411032372362</v>
      </c>
    </row>
    <row r="586" spans="1:17" ht="14.4">
      <c r="A586" s="370"/>
      <c r="B586" s="369"/>
      <c r="C586" s="382"/>
      <c r="D586" s="369"/>
      <c r="E586" s="369"/>
      <c r="F586" s="369"/>
      <c r="G586" s="369"/>
      <c r="H586" s="369"/>
      <c r="I586" s="369"/>
      <c r="J586" s="369"/>
      <c r="K586" s="369"/>
      <c r="L586" s="369"/>
      <c r="M586" s="369"/>
      <c r="N586" s="369"/>
      <c r="O586" s="369"/>
      <c r="P586" s="369"/>
      <c r="Q586" s="369"/>
    </row>
    <row r="587" spans="1:17" ht="14.4">
      <c r="A587" s="366" t="s">
        <v>71</v>
      </c>
      <c r="B587" s="379"/>
      <c r="C587" s="379"/>
      <c r="D587" s="379"/>
      <c r="E587" s="379"/>
      <c r="F587" s="379"/>
      <c r="G587" s="379"/>
      <c r="H587" s="379"/>
      <c r="I587" s="379"/>
      <c r="J587" s="379"/>
      <c r="K587" s="379"/>
      <c r="L587" s="379"/>
      <c r="M587" s="379"/>
      <c r="N587" s="379"/>
      <c r="O587" s="379"/>
      <c r="P587" s="379"/>
      <c r="Q587" s="379"/>
    </row>
    <row r="588" spans="1:17" ht="14.4">
      <c r="A588" s="370"/>
      <c r="B588" s="379"/>
      <c r="C588" s="379"/>
      <c r="D588" s="379"/>
      <c r="E588" s="379"/>
      <c r="F588" s="379"/>
      <c r="G588" s="379"/>
      <c r="H588" s="379"/>
      <c r="I588" s="379"/>
      <c r="J588" s="379"/>
      <c r="K588" s="379"/>
      <c r="L588" s="379"/>
      <c r="M588" s="379"/>
      <c r="N588" s="379"/>
      <c r="O588" s="379"/>
      <c r="P588" s="379"/>
      <c r="Q588" s="379"/>
    </row>
    <row r="589" spans="1:17" ht="14.4">
      <c r="A589" s="366" t="s">
        <v>298</v>
      </c>
      <c r="B589" s="378">
        <f>+SUM(C589:Q589)</f>
        <v>25366.137367328029</v>
      </c>
      <c r="C589" s="367">
        <f>SUM(C584:C585)</f>
        <v>1396.1452845003573</v>
      </c>
      <c r="D589" s="367">
        <f>SUM(D584:D585)</f>
        <v>1433.5619781249666</v>
      </c>
      <c r="E589" s="367">
        <f t="shared" ref="E589:Q589" si="427">SUM(E584:E585)</f>
        <v>1471.9814391387158</v>
      </c>
      <c r="F589" s="367">
        <f t="shared" si="427"/>
        <v>1511.4305417076332</v>
      </c>
      <c r="G589" s="367">
        <f t="shared" si="427"/>
        <v>1551.9368802253975</v>
      </c>
      <c r="H589" s="367">
        <f t="shared" si="427"/>
        <v>1593.5287886154383</v>
      </c>
      <c r="I589" s="367">
        <f t="shared" si="427"/>
        <v>1636.2353601503319</v>
      </c>
      <c r="J589" s="367">
        <f t="shared" si="427"/>
        <v>1680.0864678023604</v>
      </c>
      <c r="K589" s="367">
        <f t="shared" si="427"/>
        <v>1725.1127851394635</v>
      </c>
      <c r="L589" s="367">
        <f t="shared" si="427"/>
        <v>1771.3458077812011</v>
      </c>
      <c r="M589" s="367">
        <f t="shared" si="427"/>
        <v>1818.8178754297373</v>
      </c>
      <c r="N589" s="367">
        <f t="shared" si="427"/>
        <v>1867.5621944912541</v>
      </c>
      <c r="O589" s="367">
        <f t="shared" si="427"/>
        <v>1917.6128613036199</v>
      </c>
      <c r="P589" s="367">
        <f t="shared" si="427"/>
        <v>1969.0048859865565</v>
      </c>
      <c r="Q589" s="367">
        <f t="shared" si="427"/>
        <v>2021.7742169309963</v>
      </c>
    </row>
    <row r="590" spans="1:17" ht="14.4">
      <c r="A590" s="370"/>
      <c r="B590" s="379"/>
      <c r="C590" s="379"/>
      <c r="D590" s="379"/>
      <c r="E590" s="379"/>
      <c r="F590" s="379"/>
      <c r="G590" s="379"/>
      <c r="H590" s="379"/>
      <c r="I590" s="379"/>
      <c r="J590" s="379"/>
      <c r="K590" s="379"/>
      <c r="L590" s="379"/>
      <c r="M590" s="379"/>
      <c r="N590" s="379"/>
      <c r="O590" s="379"/>
      <c r="P590" s="379"/>
      <c r="Q590" s="379"/>
    </row>
    <row r="591" spans="1:17" ht="14.4">
      <c r="A591" s="366" t="s">
        <v>299</v>
      </c>
      <c r="B591" s="378">
        <f t="shared" ref="B591:B592" si="428">+SUM(C591:Q591)</f>
        <v>43884.879418749995</v>
      </c>
      <c r="C591" s="367">
        <f>'WHRS_Project Scenario'!$C$8/'Initial Data'!$C$19</f>
        <v>4388.4879418749997</v>
      </c>
      <c r="D591" s="367">
        <f>'WHRS_Project Scenario'!$C$8/'Initial Data'!$C$19</f>
        <v>4388.4879418749997</v>
      </c>
      <c r="E591" s="367">
        <f>'WHRS_Project Scenario'!$C$8/'Initial Data'!$C$19</f>
        <v>4388.4879418749997</v>
      </c>
      <c r="F591" s="367">
        <f>'WHRS_Project Scenario'!$C$8/'Initial Data'!$C$19</f>
        <v>4388.4879418749997</v>
      </c>
      <c r="G591" s="367">
        <f>'WHRS_Project Scenario'!$C$8/'Initial Data'!$C$19</f>
        <v>4388.4879418749997</v>
      </c>
      <c r="H591" s="367">
        <f>'WHRS_Project Scenario'!$C$8/'Initial Data'!$C$19</f>
        <v>4388.4879418749997</v>
      </c>
      <c r="I591" s="367">
        <f>'WHRS_Project Scenario'!$C$8/'Initial Data'!$C$19</f>
        <v>4388.4879418749997</v>
      </c>
      <c r="J591" s="367">
        <f>'WHRS_Project Scenario'!$C$8/'Initial Data'!$C$19</f>
        <v>4388.4879418749997</v>
      </c>
      <c r="K591" s="367">
        <f>'WHRS_Project Scenario'!$C$8/'Initial Data'!$C$19</f>
        <v>4388.4879418749997</v>
      </c>
      <c r="L591" s="367">
        <f>'WHRS_Project Scenario'!$C$8/'Initial Data'!$C$19</f>
        <v>4388.4879418749997</v>
      </c>
      <c r="M591" s="367">
        <v>0</v>
      </c>
      <c r="N591" s="367">
        <v>0</v>
      </c>
      <c r="O591" s="367">
        <v>0</v>
      </c>
      <c r="P591" s="367">
        <v>0</v>
      </c>
      <c r="Q591" s="367">
        <v>0</v>
      </c>
    </row>
    <row r="592" spans="1:17" ht="14.4">
      <c r="A592" s="366" t="s">
        <v>300</v>
      </c>
      <c r="B592" s="378">
        <f t="shared" si="428"/>
        <v>43884.879418749995</v>
      </c>
      <c r="C592" s="367">
        <f>SUM(C591:C591)</f>
        <v>4388.4879418749997</v>
      </c>
      <c r="D592" s="367">
        <f t="shared" ref="D592:Q592" si="429">SUM(D591:D591)</f>
        <v>4388.4879418749997</v>
      </c>
      <c r="E592" s="367">
        <f t="shared" si="429"/>
        <v>4388.4879418749997</v>
      </c>
      <c r="F592" s="367">
        <f t="shared" si="429"/>
        <v>4388.4879418749997</v>
      </c>
      <c r="G592" s="367">
        <f t="shared" si="429"/>
        <v>4388.4879418749997</v>
      </c>
      <c r="H592" s="367">
        <f t="shared" si="429"/>
        <v>4388.4879418749997</v>
      </c>
      <c r="I592" s="367">
        <f t="shared" si="429"/>
        <v>4388.4879418749997</v>
      </c>
      <c r="J592" s="367">
        <f t="shared" si="429"/>
        <v>4388.4879418749997</v>
      </c>
      <c r="K592" s="367">
        <f t="shared" si="429"/>
        <v>4388.4879418749997</v>
      </c>
      <c r="L592" s="367">
        <f t="shared" si="429"/>
        <v>4388.4879418749997</v>
      </c>
      <c r="M592" s="367">
        <f t="shared" si="429"/>
        <v>0</v>
      </c>
      <c r="N592" s="367">
        <f t="shared" si="429"/>
        <v>0</v>
      </c>
      <c r="O592" s="367">
        <f t="shared" si="429"/>
        <v>0</v>
      </c>
      <c r="P592" s="367">
        <f t="shared" si="429"/>
        <v>0</v>
      </c>
      <c r="Q592" s="367">
        <f t="shared" si="429"/>
        <v>0</v>
      </c>
    </row>
    <row r="593" spans="1:17" ht="14.4">
      <c r="A593" s="370"/>
      <c r="B593" s="379"/>
      <c r="C593" s="379"/>
      <c r="D593" s="379"/>
      <c r="E593" s="379"/>
      <c r="F593" s="379"/>
      <c r="G593" s="379"/>
      <c r="H593" s="379"/>
      <c r="I593" s="379"/>
      <c r="J593" s="379"/>
      <c r="K593" s="379"/>
      <c r="L593" s="379"/>
      <c r="M593" s="379"/>
      <c r="N593" s="379"/>
      <c r="O593" s="379"/>
      <c r="P593" s="379"/>
      <c r="Q593" s="379"/>
    </row>
    <row r="594" spans="1:17" ht="14.4">
      <c r="A594" s="366" t="s">
        <v>301</v>
      </c>
      <c r="B594" s="378">
        <f>+SUM(C594:Q594)</f>
        <v>69251.016786078035</v>
      </c>
      <c r="C594" s="367">
        <f>+C589+C592</f>
        <v>5784.6332263753575</v>
      </c>
      <c r="D594" s="367">
        <f>+D589+D592</f>
        <v>5822.0499199999667</v>
      </c>
      <c r="E594" s="367">
        <f t="shared" ref="E594:Q594" si="430">+E589+E592</f>
        <v>5860.469381013716</v>
      </c>
      <c r="F594" s="367">
        <f t="shared" si="430"/>
        <v>5899.9184835826327</v>
      </c>
      <c r="G594" s="367">
        <f t="shared" si="430"/>
        <v>5940.4248221003973</v>
      </c>
      <c r="H594" s="367">
        <f t="shared" si="430"/>
        <v>5982.016730490438</v>
      </c>
      <c r="I594" s="367">
        <f t="shared" si="430"/>
        <v>6024.7233020253316</v>
      </c>
      <c r="J594" s="367">
        <f t="shared" si="430"/>
        <v>6068.5744096773597</v>
      </c>
      <c r="K594" s="367">
        <f t="shared" si="430"/>
        <v>6113.6007270144637</v>
      </c>
      <c r="L594" s="367">
        <f t="shared" si="430"/>
        <v>6159.8337496562008</v>
      </c>
      <c r="M594" s="367">
        <f t="shared" si="430"/>
        <v>1818.8178754297373</v>
      </c>
      <c r="N594" s="367">
        <f t="shared" si="430"/>
        <v>1867.5621944912541</v>
      </c>
      <c r="O594" s="367">
        <f t="shared" si="430"/>
        <v>1917.6128613036199</v>
      </c>
      <c r="P594" s="367">
        <f t="shared" si="430"/>
        <v>1969.0048859865565</v>
      </c>
      <c r="Q594" s="367">
        <f t="shared" si="430"/>
        <v>2021.7742169309963</v>
      </c>
    </row>
    <row r="595" spans="1:17" ht="14.4">
      <c r="A595" s="370"/>
      <c r="B595" s="379"/>
      <c r="C595" s="379"/>
      <c r="D595" s="379"/>
      <c r="E595" s="379"/>
      <c r="F595" s="379"/>
      <c r="G595" s="379"/>
      <c r="H595" s="379"/>
      <c r="I595" s="379"/>
      <c r="J595" s="379"/>
      <c r="K595" s="379"/>
      <c r="L595" s="379"/>
      <c r="M595" s="379"/>
      <c r="N595" s="379"/>
      <c r="O595" s="379"/>
      <c r="P595" s="379"/>
      <c r="Q595" s="379"/>
    </row>
    <row r="596" spans="1:17" ht="14.4">
      <c r="A596" s="364" t="s">
        <v>302</v>
      </c>
      <c r="B596" s="378">
        <f>+SUM(C596:Q596)</f>
        <v>1841148.3914774363</v>
      </c>
      <c r="C596" s="367">
        <f>+C581-C594</f>
        <v>99363.229325010427</v>
      </c>
      <c r="D596" s="367">
        <f>+D581-D594</f>
        <v>102143.77534776296</v>
      </c>
      <c r="E596" s="367">
        <f t="shared" ref="E596:Q596" si="431">+E581-E594</f>
        <v>104998.84000392524</v>
      </c>
      <c r="F596" s="367">
        <f t="shared" si="431"/>
        <v>107930.42039287268</v>
      </c>
      <c r="G596" s="367">
        <f t="shared" si="431"/>
        <v>110940.5671362439</v>
      </c>
      <c r="H596" s="367">
        <f t="shared" si="431"/>
        <v>114031.3858123375</v>
      </c>
      <c r="I596" s="367">
        <f t="shared" si="431"/>
        <v>117205.03842895037</v>
      </c>
      <c r="J596" s="367">
        <f t="shared" si="431"/>
        <v>120463.74493568849</v>
      </c>
      <c r="K596" s="367">
        <f t="shared" si="431"/>
        <v>123809.78477680718</v>
      </c>
      <c r="L596" s="367">
        <f t="shared" si="431"/>
        <v>127245.49848566785</v>
      </c>
      <c r="M596" s="367">
        <f t="shared" si="431"/>
        <v>135161.77726380099</v>
      </c>
      <c r="N596" s="367">
        <f t="shared" si="431"/>
        <v>138784.11289447086</v>
      </c>
      <c r="O596" s="367">
        <f t="shared" si="431"/>
        <v>142503.52712004268</v>
      </c>
      <c r="P596" s="367">
        <f t="shared" si="431"/>
        <v>146322.62164685977</v>
      </c>
      <c r="Q596" s="367">
        <f t="shared" si="431"/>
        <v>150244.06790699562</v>
      </c>
    </row>
    <row r="597" spans="1:17" ht="14.4">
      <c r="A597" s="364"/>
    </row>
    <row r="598" spans="1:17" ht="14.4">
      <c r="A598" s="364" t="s">
        <v>222</v>
      </c>
      <c r="B598" s="380">
        <f>+'WHRS_Project Scenario'!C39</f>
        <v>0.7</v>
      </c>
      <c r="C598" s="367">
        <f>IF((+$B$598*C596)&lt;0,"0",(+$B$370*C596))</f>
        <v>69554.2605275073</v>
      </c>
      <c r="D598" s="367">
        <f>IF((+$B$598*D596)&lt;0,"0",(+$B$370*D596))</f>
        <v>71500.642743434073</v>
      </c>
      <c r="E598" s="367">
        <f t="shared" ref="E598:Q598" si="432">IF((+$B$598*E596)&lt;0,"0",(+$B$370*E596))</f>
        <v>73499.188002747673</v>
      </c>
      <c r="F598" s="367">
        <f t="shared" si="432"/>
        <v>75551.294275010863</v>
      </c>
      <c r="G598" s="367">
        <f t="shared" si="432"/>
        <v>77658.396995370727</v>
      </c>
      <c r="H598" s="367">
        <f t="shared" si="432"/>
        <v>79821.970068636248</v>
      </c>
      <c r="I598" s="367">
        <f t="shared" si="432"/>
        <v>82043.526900265249</v>
      </c>
      <c r="J598" s="367">
        <f t="shared" si="432"/>
        <v>84324.621454981941</v>
      </c>
      <c r="K598" s="367">
        <f t="shared" si="432"/>
        <v>86666.849343765018</v>
      </c>
      <c r="L598" s="367">
        <f t="shared" si="432"/>
        <v>89071.848939967487</v>
      </c>
      <c r="M598" s="367">
        <f t="shared" si="432"/>
        <v>94613.244084660691</v>
      </c>
      <c r="N598" s="367">
        <f t="shared" si="432"/>
        <v>97148.879026129594</v>
      </c>
      <c r="O598" s="367">
        <f t="shared" si="432"/>
        <v>99752.468984029867</v>
      </c>
      <c r="P598" s="367">
        <f t="shared" si="432"/>
        <v>102425.83515280184</v>
      </c>
      <c r="Q598" s="367">
        <f t="shared" si="432"/>
        <v>105170.84753489694</v>
      </c>
    </row>
    <row r="599" spans="1:17" ht="14.4">
      <c r="A599" s="364" t="s">
        <v>303</v>
      </c>
      <c r="B599" s="378">
        <f>+SUM(C599:Q599)</f>
        <v>1288803.8740342057</v>
      </c>
      <c r="C599" s="367">
        <f>SUM(C598:C598)</f>
        <v>69554.2605275073</v>
      </c>
      <c r="D599" s="367">
        <f t="shared" ref="D599:Q599" si="433">SUM(D598:D598)</f>
        <v>71500.642743434073</v>
      </c>
      <c r="E599" s="367">
        <f t="shared" si="433"/>
        <v>73499.188002747673</v>
      </c>
      <c r="F599" s="367">
        <f t="shared" si="433"/>
        <v>75551.294275010863</v>
      </c>
      <c r="G599" s="367">
        <f t="shared" si="433"/>
        <v>77658.396995370727</v>
      </c>
      <c r="H599" s="367">
        <f t="shared" si="433"/>
        <v>79821.970068636248</v>
      </c>
      <c r="I599" s="367">
        <f t="shared" si="433"/>
        <v>82043.526900265249</v>
      </c>
      <c r="J599" s="367">
        <f t="shared" si="433"/>
        <v>84324.621454981941</v>
      </c>
      <c r="K599" s="367">
        <f t="shared" si="433"/>
        <v>86666.849343765018</v>
      </c>
      <c r="L599" s="367">
        <f t="shared" si="433"/>
        <v>89071.848939967487</v>
      </c>
      <c r="M599" s="367">
        <f t="shared" si="433"/>
        <v>94613.244084660691</v>
      </c>
      <c r="N599" s="367">
        <f t="shared" si="433"/>
        <v>97148.879026129594</v>
      </c>
      <c r="O599" s="367">
        <f t="shared" si="433"/>
        <v>99752.468984029867</v>
      </c>
      <c r="P599" s="367">
        <f t="shared" si="433"/>
        <v>102425.83515280184</v>
      </c>
      <c r="Q599" s="367">
        <f t="shared" si="433"/>
        <v>105170.84753489694</v>
      </c>
    </row>
    <row r="600" spans="1:17" ht="14.4">
      <c r="A600" s="369"/>
    </row>
    <row r="601" spans="1:17" ht="14.4">
      <c r="A601" s="364" t="s">
        <v>304</v>
      </c>
      <c r="B601" s="378">
        <f t="shared" ref="B601:B603" si="434">+SUM(C601:Q601)</f>
        <v>552344.51744323096</v>
      </c>
      <c r="C601" s="367">
        <f>C596-C599</f>
        <v>29808.968797503127</v>
      </c>
      <c r="D601" s="367">
        <f t="shared" ref="D601:Q601" si="435">D596-D599</f>
        <v>30643.132604328886</v>
      </c>
      <c r="E601" s="367">
        <f t="shared" si="435"/>
        <v>31499.652001177572</v>
      </c>
      <c r="F601" s="367">
        <f t="shared" si="435"/>
        <v>32379.126117861815</v>
      </c>
      <c r="G601" s="367">
        <f t="shared" si="435"/>
        <v>33282.170140873175</v>
      </c>
      <c r="H601" s="367">
        <f t="shared" si="435"/>
        <v>34209.415743701247</v>
      </c>
      <c r="I601" s="367">
        <f t="shared" si="435"/>
        <v>35161.511528685121</v>
      </c>
      <c r="J601" s="367">
        <f t="shared" si="435"/>
        <v>36139.123480706548</v>
      </c>
      <c r="K601" s="367">
        <f t="shared" si="435"/>
        <v>37142.935433042163</v>
      </c>
      <c r="L601" s="367">
        <f t="shared" si="435"/>
        <v>38173.649545700362</v>
      </c>
      <c r="M601" s="367">
        <f t="shared" si="435"/>
        <v>40548.5331791403</v>
      </c>
      <c r="N601" s="367">
        <f t="shared" si="435"/>
        <v>41635.233868341267</v>
      </c>
      <c r="O601" s="367">
        <f t="shared" si="435"/>
        <v>42751.058136012813</v>
      </c>
      <c r="P601" s="367">
        <f t="shared" si="435"/>
        <v>43896.786494057931</v>
      </c>
      <c r="Q601" s="367">
        <f t="shared" si="435"/>
        <v>45073.220372098687</v>
      </c>
    </row>
    <row r="602" spans="1:17" ht="14.4">
      <c r="A602" s="364" t="s">
        <v>305</v>
      </c>
      <c r="B602" s="378">
        <f t="shared" si="434"/>
        <v>43884.879418749995</v>
      </c>
      <c r="C602" s="367">
        <f>+C591</f>
        <v>4388.4879418749997</v>
      </c>
      <c r="D602" s="367">
        <f t="shared" ref="D602:Q602" si="436">+D591</f>
        <v>4388.4879418749997</v>
      </c>
      <c r="E602" s="367">
        <f t="shared" si="436"/>
        <v>4388.4879418749997</v>
      </c>
      <c r="F602" s="367">
        <f t="shared" si="436"/>
        <v>4388.4879418749997</v>
      </c>
      <c r="G602" s="367">
        <f t="shared" si="436"/>
        <v>4388.4879418749997</v>
      </c>
      <c r="H602" s="367">
        <f t="shared" si="436"/>
        <v>4388.4879418749997</v>
      </c>
      <c r="I602" s="367">
        <f t="shared" si="436"/>
        <v>4388.4879418749997</v>
      </c>
      <c r="J602" s="367">
        <f t="shared" si="436"/>
        <v>4388.4879418749997</v>
      </c>
      <c r="K602" s="367">
        <f t="shared" si="436"/>
        <v>4388.4879418749997</v>
      </c>
      <c r="L602" s="367">
        <f t="shared" si="436"/>
        <v>4388.4879418749997</v>
      </c>
      <c r="M602" s="367">
        <f t="shared" si="436"/>
        <v>0</v>
      </c>
      <c r="N602" s="367">
        <f t="shared" si="436"/>
        <v>0</v>
      </c>
      <c r="O602" s="367">
        <f t="shared" si="436"/>
        <v>0</v>
      </c>
      <c r="P602" s="367">
        <f t="shared" si="436"/>
        <v>0</v>
      </c>
      <c r="Q602" s="367">
        <f t="shared" si="436"/>
        <v>0</v>
      </c>
    </row>
    <row r="603" spans="1:17" ht="14.4">
      <c r="A603" s="364" t="s">
        <v>306</v>
      </c>
      <c r="B603" s="378">
        <f t="shared" si="434"/>
        <v>0</v>
      </c>
      <c r="C603" s="367">
        <f>+'WHRS_Project Scenario'!D576</f>
        <v>0</v>
      </c>
      <c r="D603" s="367">
        <f>+'WHRS_Project Scenario'!E576</f>
        <v>0</v>
      </c>
      <c r="E603" s="367">
        <f>+'WHRS_Project Scenario'!F576</f>
        <v>0</v>
      </c>
      <c r="F603" s="367">
        <f>+'WHRS_Project Scenario'!G576</f>
        <v>0</v>
      </c>
      <c r="G603" s="367">
        <f>+'WHRS_Project Scenario'!H576</f>
        <v>0</v>
      </c>
      <c r="H603" s="367">
        <f>+'WHRS_Project Scenario'!I576</f>
        <v>0</v>
      </c>
      <c r="I603" s="367">
        <f>+'WHRS_Project Scenario'!J576</f>
        <v>0</v>
      </c>
      <c r="J603" s="367">
        <f>+'WHRS_Project Scenario'!K576</f>
        <v>0</v>
      </c>
      <c r="K603" s="367">
        <f>+'WHRS_Project Scenario'!L576</f>
        <v>0</v>
      </c>
      <c r="L603" s="367">
        <f>+'WHRS_Project Scenario'!M576</f>
        <v>0</v>
      </c>
      <c r="M603" s="367">
        <f>+'WHRS_Project Scenario'!N576</f>
        <v>0</v>
      </c>
      <c r="N603" s="367">
        <f>+'WHRS_Project Scenario'!O576</f>
        <v>0</v>
      </c>
      <c r="O603" s="367">
        <f>+'WHRS_Project Scenario'!P576</f>
        <v>0</v>
      </c>
      <c r="P603" s="367">
        <f>+'WHRS_Project Scenario'!Q576</f>
        <v>0</v>
      </c>
      <c r="Q603" s="367">
        <f>+'WHRS_Project Scenario'!R576</f>
        <v>0</v>
      </c>
    </row>
    <row r="604" spans="1:17" ht="14.4">
      <c r="A604" s="364"/>
    </row>
    <row r="605" spans="1:17" ht="14.4">
      <c r="A605" s="364" t="s">
        <v>110</v>
      </c>
      <c r="B605" s="378">
        <f>-'WHRS_Project Scenario'!C8</f>
        <v>-43884.879418749995</v>
      </c>
      <c r="C605" s="367">
        <f>C601+C602+C603</f>
        <v>34197.456739378125</v>
      </c>
      <c r="D605" s="367">
        <f t="shared" ref="D605:Q605" si="437">D601+D602+D603</f>
        <v>35031.620546203885</v>
      </c>
      <c r="E605" s="367">
        <f t="shared" si="437"/>
        <v>35888.139943052571</v>
      </c>
      <c r="F605" s="367">
        <f t="shared" si="437"/>
        <v>36767.614059736814</v>
      </c>
      <c r="G605" s="367">
        <f t="shared" si="437"/>
        <v>37670.658082748174</v>
      </c>
      <c r="H605" s="367">
        <f t="shared" si="437"/>
        <v>38597.903685576246</v>
      </c>
      <c r="I605" s="367">
        <f t="shared" si="437"/>
        <v>39549.99947056012</v>
      </c>
      <c r="J605" s="367">
        <f t="shared" si="437"/>
        <v>40527.611422581547</v>
      </c>
      <c r="K605" s="367">
        <f t="shared" si="437"/>
        <v>41531.423374917162</v>
      </c>
      <c r="L605" s="367">
        <f t="shared" si="437"/>
        <v>42562.137487575361</v>
      </c>
      <c r="M605" s="367">
        <f t="shared" si="437"/>
        <v>40548.5331791403</v>
      </c>
      <c r="N605" s="367">
        <f t="shared" si="437"/>
        <v>41635.233868341267</v>
      </c>
      <c r="O605" s="367">
        <f t="shared" si="437"/>
        <v>42751.058136012813</v>
      </c>
      <c r="P605" s="367">
        <f t="shared" si="437"/>
        <v>43896.786494057931</v>
      </c>
      <c r="Q605" s="367">
        <f t="shared" si="437"/>
        <v>45073.220372098687</v>
      </c>
    </row>
    <row r="606" spans="1:17" ht="15.6">
      <c r="A606" s="364" t="s">
        <v>51</v>
      </c>
      <c r="B606" s="132">
        <f>IRR(B605:Q605)</f>
        <v>0.80338064814785004</v>
      </c>
    </row>
    <row r="607" spans="1:17" ht="15.6">
      <c r="A607" s="364" t="s">
        <v>267</v>
      </c>
      <c r="B607" s="303">
        <f>NPV('Initial Data'!C21/100,B605:Q605)</f>
        <v>193494.52230716054</v>
      </c>
    </row>
    <row r="609" spans="1:17" ht="14.4">
      <c r="A609" s="508" t="s">
        <v>320</v>
      </c>
      <c r="B609" s="509"/>
      <c r="C609" s="509"/>
      <c r="D609" s="509"/>
      <c r="E609" s="509"/>
      <c r="F609" s="509"/>
      <c r="G609" s="509"/>
      <c r="H609" s="509"/>
      <c r="I609" s="509"/>
      <c r="J609" s="509"/>
      <c r="K609" s="509"/>
      <c r="L609" s="509"/>
      <c r="M609" s="509"/>
      <c r="N609" s="509"/>
      <c r="O609" s="509"/>
      <c r="P609" s="509"/>
      <c r="Q609" s="509"/>
    </row>
    <row r="610" spans="1:17" ht="14.4">
      <c r="A610" s="371" t="s">
        <v>323</v>
      </c>
      <c r="B610" s="372"/>
      <c r="C610" s="372"/>
      <c r="D610" s="372"/>
      <c r="E610" s="372"/>
      <c r="F610" s="372"/>
      <c r="G610" s="372"/>
      <c r="H610" s="372"/>
      <c r="I610" s="372"/>
      <c r="J610" s="372"/>
      <c r="K610" s="372"/>
      <c r="L610" s="372"/>
      <c r="M610" s="372"/>
      <c r="N610" s="372"/>
      <c r="O610" s="372"/>
      <c r="P610" s="372"/>
      <c r="Q610" s="372"/>
    </row>
    <row r="611" spans="1:17" ht="27">
      <c r="A611" s="376"/>
      <c r="B611" s="304" t="s">
        <v>35</v>
      </c>
      <c r="C611" s="352" t="s">
        <v>407</v>
      </c>
      <c r="D611" s="352" t="s">
        <v>408</v>
      </c>
      <c r="E611" s="352" t="s">
        <v>409</v>
      </c>
      <c r="F611" s="352" t="s">
        <v>410</v>
      </c>
      <c r="G611" s="352" t="s">
        <v>411</v>
      </c>
      <c r="H611" s="352" t="s">
        <v>412</v>
      </c>
      <c r="I611" s="352" t="s">
        <v>413</v>
      </c>
      <c r="J611" s="352" t="s">
        <v>414</v>
      </c>
      <c r="K611" s="352" t="s">
        <v>415</v>
      </c>
      <c r="L611" s="352" t="s">
        <v>416</v>
      </c>
      <c r="M611" s="352" t="s">
        <v>417</v>
      </c>
      <c r="N611" s="352" t="s">
        <v>418</v>
      </c>
      <c r="O611" s="352" t="s">
        <v>419</v>
      </c>
      <c r="P611" s="352" t="s">
        <v>420</v>
      </c>
      <c r="Q611" s="352" t="s">
        <v>421</v>
      </c>
    </row>
    <row r="612" spans="1:17" ht="14.4">
      <c r="A612" s="363" t="s">
        <v>290</v>
      </c>
      <c r="B612" s="365"/>
      <c r="C612" s="377">
        <f>+'WHRS_Project Scenario'!D15</f>
        <v>215214.92335078961</v>
      </c>
      <c r="D612" s="377">
        <f>+'WHRS_Project Scenario'!E15</f>
        <v>215214.92335078961</v>
      </c>
      <c r="E612" s="377">
        <f>+'WHRS_Project Scenario'!F15</f>
        <v>215214.92335078961</v>
      </c>
      <c r="F612" s="377">
        <f>+'WHRS_Project Scenario'!G15</f>
        <v>215214.92335078961</v>
      </c>
      <c r="G612" s="377">
        <f>+'WHRS_Project Scenario'!H15</f>
        <v>215214.92335078961</v>
      </c>
      <c r="H612" s="377">
        <f>+'WHRS_Project Scenario'!I15</f>
        <v>215214.92335078961</v>
      </c>
      <c r="I612" s="377">
        <f>+'WHRS_Project Scenario'!J15</f>
        <v>215214.92335078961</v>
      </c>
      <c r="J612" s="377">
        <f>+'WHRS_Project Scenario'!K15</f>
        <v>215214.92335078961</v>
      </c>
      <c r="K612" s="377">
        <f>+'WHRS_Project Scenario'!L15</f>
        <v>215214.92335078961</v>
      </c>
      <c r="L612" s="377">
        <f>+'WHRS_Project Scenario'!M15</f>
        <v>215214.92335078961</v>
      </c>
      <c r="M612" s="377">
        <f>+'WHRS_Project Scenario'!N15</f>
        <v>215214.92335078961</v>
      </c>
      <c r="N612" s="377">
        <f>+'WHRS_Project Scenario'!O15</f>
        <v>215214.92335078961</v>
      </c>
      <c r="O612" s="377">
        <f>+'WHRS_Project Scenario'!P15</f>
        <v>215214.92335078961</v>
      </c>
      <c r="P612" s="377">
        <f>+'WHRS_Project Scenario'!Q15</f>
        <v>215214.92335078961</v>
      </c>
      <c r="Q612" s="377">
        <f>+'WHRS_Project Scenario'!R15</f>
        <v>215214.92335078961</v>
      </c>
    </row>
    <row r="613" spans="1:17" ht="14.4">
      <c r="A613" s="364" t="s">
        <v>291</v>
      </c>
      <c r="B613" s="365"/>
      <c r="C613" s="381">
        <f>'Initial Data'!$C$50*(1+'WHRS Sensitivity Analysis'!$F$6)-'Initial Data'!$C$51</f>
        <v>82</v>
      </c>
      <c r="D613" s="381">
        <f>'Initial Data'!$C$50*(1+'WHRS Sensitivity Analysis'!$F$6)-'Initial Data'!$C$51</f>
        <v>82</v>
      </c>
      <c r="E613" s="381">
        <f>'Initial Data'!$C$50*(1+'WHRS Sensitivity Analysis'!$F$6)-'Initial Data'!$C$51</f>
        <v>82</v>
      </c>
      <c r="F613" s="381">
        <f>'Initial Data'!$C$50*(1+'WHRS Sensitivity Analysis'!$F$6)-'Initial Data'!$C$51</f>
        <v>82</v>
      </c>
      <c r="G613" s="381">
        <f>'Initial Data'!$C$50*(1+'WHRS Sensitivity Analysis'!$F$6)-'Initial Data'!$C$51</f>
        <v>82</v>
      </c>
      <c r="H613" s="381">
        <f>'Initial Data'!$C$50*(1+'WHRS Sensitivity Analysis'!$F$6)-'Initial Data'!$C$51</f>
        <v>82</v>
      </c>
      <c r="I613" s="381">
        <f>'Initial Data'!$C$50*(1+'WHRS Sensitivity Analysis'!$F$6)-'Initial Data'!$C$51</f>
        <v>82</v>
      </c>
      <c r="J613" s="381">
        <f>'Initial Data'!$C$50*(1+'WHRS Sensitivity Analysis'!$F$6)-'Initial Data'!$C$51</f>
        <v>82</v>
      </c>
      <c r="K613" s="381">
        <f>'Initial Data'!$C$50*(1+'WHRS Sensitivity Analysis'!$F$6)-'Initial Data'!$C$51</f>
        <v>82</v>
      </c>
      <c r="L613" s="381">
        <f>'Initial Data'!$C$50*(1+'WHRS Sensitivity Analysis'!$F$6)-'Initial Data'!$C$51</f>
        <v>82</v>
      </c>
      <c r="M613" s="381">
        <f>'Initial Data'!$C$50*(1+'WHRS Sensitivity Analysis'!$F$6)-'Initial Data'!$C$51</f>
        <v>82</v>
      </c>
      <c r="N613" s="381">
        <f>'Initial Data'!$C$50*(1+'WHRS Sensitivity Analysis'!$F$6)-'Initial Data'!$C$51</f>
        <v>82</v>
      </c>
      <c r="O613" s="381">
        <f>'Initial Data'!$C$50*(1+'WHRS Sensitivity Analysis'!$F$6)-'Initial Data'!$C$51</f>
        <v>82</v>
      </c>
      <c r="P613" s="381">
        <f>'Initial Data'!$C$50*(1+'WHRS Sensitivity Analysis'!$F$6)-'Initial Data'!$C$51</f>
        <v>82</v>
      </c>
      <c r="Q613" s="381">
        <f>'Initial Data'!$C$50*(1+'WHRS Sensitivity Analysis'!$F$6)-'Initial Data'!$C$51</f>
        <v>82</v>
      </c>
    </row>
    <row r="614" spans="1:17" ht="14.4">
      <c r="A614" s="366" t="s">
        <v>292</v>
      </c>
      <c r="B614" s="365"/>
      <c r="C614" s="385">
        <f>+'WHRS_Project Scenario'!D17</f>
        <v>6.4285714285714288</v>
      </c>
      <c r="D614" s="385">
        <f>+'WHRS_Project Scenario'!E17</f>
        <v>6.6008571428571425</v>
      </c>
      <c r="E614" s="385">
        <f>+'WHRS_Project Scenario'!F17</f>
        <v>6.7777601142857131</v>
      </c>
      <c r="F614" s="385">
        <f>+'WHRS_Project Scenario'!G17</f>
        <v>6.9594040853485701</v>
      </c>
      <c r="G614" s="385">
        <f>+'WHRS_Project Scenario'!H17</f>
        <v>7.1459161148359112</v>
      </c>
      <c r="H614" s="385">
        <f>+'WHRS_Project Scenario'!I17</f>
        <v>7.3374266667135135</v>
      </c>
      <c r="I614" s="385">
        <f>+'WHRS_Project Scenario'!J17</f>
        <v>7.5340697013814353</v>
      </c>
      <c r="J614" s="385">
        <f>+'WHRS_Project Scenario'!K17</f>
        <v>7.7359827693784569</v>
      </c>
      <c r="K614" s="385">
        <f>+'WHRS_Project Scenario'!L17</f>
        <v>7.943307107597799</v>
      </c>
      <c r="L614" s="385">
        <f>+'WHRS_Project Scenario'!M17</f>
        <v>8.1561877380814192</v>
      </c>
      <c r="M614" s="385">
        <f>+'WHRS_Project Scenario'!N17</f>
        <v>8.3747735694620005</v>
      </c>
      <c r="N614" s="385">
        <f>+'WHRS_Project Scenario'!O17</f>
        <v>8.5992175011235812</v>
      </c>
      <c r="O614" s="385">
        <f>+'WHRS_Project Scenario'!P17</f>
        <v>8.8296765301536926</v>
      </c>
      <c r="P614" s="385">
        <f>+'WHRS_Project Scenario'!Q17</f>
        <v>9.066311861161811</v>
      </c>
      <c r="Q614" s="385">
        <f>+'WHRS_Project Scenario'!R17</f>
        <v>9.3092890190409463</v>
      </c>
    </row>
    <row r="615" spans="1:17" ht="14.4">
      <c r="A615" s="366" t="s">
        <v>293</v>
      </c>
      <c r="B615" s="365"/>
      <c r="C615" s="381">
        <f>+C613*C614</f>
        <v>527.14285714285711</v>
      </c>
      <c r="D615" s="381">
        <f t="shared" ref="D615:Q615" si="438">+D613*D614</f>
        <v>541.27028571428571</v>
      </c>
      <c r="E615" s="381">
        <f t="shared" si="438"/>
        <v>555.77632937142846</v>
      </c>
      <c r="F615" s="381">
        <f t="shared" si="438"/>
        <v>570.67113499858272</v>
      </c>
      <c r="G615" s="381">
        <f t="shared" si="438"/>
        <v>585.96512141654466</v>
      </c>
      <c r="H615" s="381">
        <f t="shared" si="438"/>
        <v>601.66898667050816</v>
      </c>
      <c r="I615" s="381">
        <f t="shared" si="438"/>
        <v>617.79371551327768</v>
      </c>
      <c r="J615" s="381">
        <f t="shared" si="438"/>
        <v>634.35058708903341</v>
      </c>
      <c r="K615" s="381">
        <f t="shared" si="438"/>
        <v>651.35118282301949</v>
      </c>
      <c r="L615" s="381">
        <f t="shared" si="438"/>
        <v>668.80739452267642</v>
      </c>
      <c r="M615" s="381">
        <f t="shared" si="438"/>
        <v>686.731432695884</v>
      </c>
      <c r="N615" s="381">
        <f t="shared" si="438"/>
        <v>705.13583509213368</v>
      </c>
      <c r="O615" s="381">
        <f t="shared" si="438"/>
        <v>724.03347547260285</v>
      </c>
      <c r="P615" s="381">
        <f t="shared" si="438"/>
        <v>743.43757261526855</v>
      </c>
      <c r="Q615" s="381">
        <f t="shared" si="438"/>
        <v>763.36169956135757</v>
      </c>
    </row>
    <row r="616" spans="1:17" ht="14.4">
      <c r="A616" s="370"/>
      <c r="B616" s="373"/>
      <c r="C616" s="373"/>
      <c r="D616" s="373"/>
      <c r="E616" s="373"/>
      <c r="F616" s="373"/>
      <c r="G616" s="373"/>
      <c r="H616" s="373"/>
      <c r="I616" s="373"/>
      <c r="J616" s="373"/>
      <c r="K616" s="373"/>
      <c r="L616" s="373"/>
      <c r="M616" s="373"/>
      <c r="N616" s="373"/>
      <c r="O616" s="373"/>
      <c r="P616" s="373"/>
      <c r="Q616" s="373"/>
    </row>
    <row r="617" spans="1:17" ht="14.4">
      <c r="A617" s="366" t="s">
        <v>294</v>
      </c>
      <c r="B617" s="377">
        <f>+SUM(C617:Q617)</f>
        <v>2061220.4141790548</v>
      </c>
      <c r="C617" s="377">
        <f>C612*C615/1000*'Initial Data'!$C$34/'Initial Data'!$C$33</f>
        <v>113449.00959491624</v>
      </c>
      <c r="D617" s="377">
        <f>D612*D615/1000*'Initial Data'!$C$34/'Initial Data'!$C$33</f>
        <v>116489.44305206</v>
      </c>
      <c r="E617" s="377">
        <f>E612*E615/1000*'Initial Data'!$C$34/'Initial Data'!$C$33</f>
        <v>119611.36012585518</v>
      </c>
      <c r="F617" s="377">
        <f>F612*F615/1000*'Initial Data'!$C$34/'Initial Data'!$C$33</f>
        <v>122816.9445772281</v>
      </c>
      <c r="G617" s="377">
        <f>G612*G615/1000*'Initial Data'!$C$34/'Initial Data'!$C$33</f>
        <v>126108.43869189781</v>
      </c>
      <c r="H617" s="377">
        <f>H612*H615/1000*'Initial Data'!$C$34/'Initial Data'!$C$33</f>
        <v>129488.14484884066</v>
      </c>
      <c r="I617" s="377">
        <f>I612*I615/1000*'Initial Data'!$C$34/'Initial Data'!$C$33</f>
        <v>132958.42713078958</v>
      </c>
      <c r="J617" s="377">
        <f>J612*J615/1000*'Initial Data'!$C$34/'Initial Data'!$C$33</f>
        <v>136521.71297789473</v>
      </c>
      <c r="K617" s="377">
        <f>K612*K615/1000*'Initial Data'!$C$34/'Initial Data'!$C$33</f>
        <v>140180.49488570227</v>
      </c>
      <c r="L617" s="377">
        <f>L612*L615/1000*'Initial Data'!$C$34/'Initial Data'!$C$33</f>
        <v>143937.33214863911</v>
      </c>
      <c r="M617" s="377">
        <f>M612*M615/1000*'Initial Data'!$C$34/'Initial Data'!$C$33</f>
        <v>147794.8526502226</v>
      </c>
      <c r="N617" s="377">
        <f>N612*N615/1000*'Initial Data'!$C$34/'Initial Data'!$C$33</f>
        <v>151755.75470124857</v>
      </c>
      <c r="O617" s="377">
        <f>O612*O615/1000*'Initial Data'!$C$34/'Initial Data'!$C$33</f>
        <v>155822.80892724203</v>
      </c>
      <c r="P617" s="377">
        <f>P612*P615/1000*'Initial Data'!$C$34/'Initial Data'!$C$33</f>
        <v>159998.8602064921</v>
      </c>
      <c r="Q617" s="377">
        <f>Q612*Q615/1000*'Initial Data'!$C$34/'Initial Data'!$C$33</f>
        <v>164286.82966002604</v>
      </c>
    </row>
    <row r="618" spans="1:17" ht="14.4">
      <c r="A618" s="370"/>
      <c r="B618" s="373"/>
      <c r="C618" s="373"/>
      <c r="D618" s="373"/>
      <c r="E618" s="373"/>
      <c r="F618" s="373"/>
      <c r="G618" s="373"/>
      <c r="H618" s="373"/>
      <c r="I618" s="373"/>
      <c r="J618" s="373"/>
      <c r="K618" s="373"/>
      <c r="L618" s="373"/>
      <c r="M618" s="373"/>
      <c r="N618" s="373"/>
      <c r="O618" s="373"/>
      <c r="P618" s="373"/>
      <c r="Q618" s="373"/>
    </row>
    <row r="619" spans="1:17" ht="14.4">
      <c r="A619" s="366" t="s">
        <v>295</v>
      </c>
      <c r="B619" s="377">
        <f>+SUM(C619:Q619)</f>
        <v>2061220.4141790548</v>
      </c>
      <c r="C619" s="377">
        <f>+C617</f>
        <v>113449.00959491624</v>
      </c>
      <c r="D619" s="377">
        <f t="shared" ref="D619:Q619" si="439">+D617</f>
        <v>116489.44305206</v>
      </c>
      <c r="E619" s="377">
        <f t="shared" si="439"/>
        <v>119611.36012585518</v>
      </c>
      <c r="F619" s="377">
        <f t="shared" si="439"/>
        <v>122816.9445772281</v>
      </c>
      <c r="G619" s="377">
        <f t="shared" si="439"/>
        <v>126108.43869189781</v>
      </c>
      <c r="H619" s="377">
        <f t="shared" si="439"/>
        <v>129488.14484884066</v>
      </c>
      <c r="I619" s="377">
        <f t="shared" si="439"/>
        <v>132958.42713078958</v>
      </c>
      <c r="J619" s="377">
        <f t="shared" si="439"/>
        <v>136521.71297789473</v>
      </c>
      <c r="K619" s="377">
        <f t="shared" si="439"/>
        <v>140180.49488570227</v>
      </c>
      <c r="L619" s="377">
        <f t="shared" si="439"/>
        <v>143937.33214863911</v>
      </c>
      <c r="M619" s="377">
        <f t="shared" si="439"/>
        <v>147794.8526502226</v>
      </c>
      <c r="N619" s="377">
        <f t="shared" si="439"/>
        <v>151755.75470124857</v>
      </c>
      <c r="O619" s="377">
        <f t="shared" si="439"/>
        <v>155822.80892724203</v>
      </c>
      <c r="P619" s="377">
        <f t="shared" si="439"/>
        <v>159998.8602064921</v>
      </c>
      <c r="Q619" s="377">
        <f t="shared" si="439"/>
        <v>164286.82966002604</v>
      </c>
    </row>
    <row r="620" spans="1:17" ht="14.4">
      <c r="A620" s="370"/>
      <c r="B620" s="374"/>
      <c r="C620" s="374"/>
      <c r="D620" s="374"/>
      <c r="E620" s="374"/>
      <c r="F620" s="374"/>
      <c r="G620" s="374"/>
      <c r="H620" s="374"/>
      <c r="I620" s="374"/>
      <c r="J620" s="374"/>
      <c r="K620" s="374"/>
      <c r="L620" s="374"/>
      <c r="M620" s="374"/>
      <c r="N620" s="374"/>
      <c r="O620" s="374"/>
      <c r="P620" s="374"/>
      <c r="Q620" s="374"/>
    </row>
    <row r="621" spans="1:17" ht="14.4">
      <c r="A621" s="366" t="s">
        <v>68</v>
      </c>
      <c r="B621" s="368"/>
      <c r="C621" s="368"/>
      <c r="D621" s="368"/>
      <c r="E621" s="368"/>
      <c r="F621" s="368"/>
      <c r="G621" s="368"/>
      <c r="H621" s="368"/>
      <c r="I621" s="368"/>
      <c r="J621" s="368"/>
      <c r="K621" s="368"/>
      <c r="L621" s="368"/>
      <c r="M621" s="368"/>
      <c r="N621" s="368"/>
      <c r="O621" s="368"/>
      <c r="P621" s="368"/>
      <c r="Q621" s="368"/>
    </row>
    <row r="622" spans="1:17" ht="14.4">
      <c r="A622" s="366" t="s">
        <v>296</v>
      </c>
      <c r="B622" s="378">
        <f>+SUM(C622:Q622)</f>
        <v>11529.370291765843</v>
      </c>
      <c r="C622" s="367">
        <f>SUM('Initial Data'!$C$77:$C$80)/'Initial Data'!$C$14/1000</f>
        <v>634.57339732142862</v>
      </c>
      <c r="D622" s="367">
        <f>+C622*(1+'Initial Data'!$C$20/100)</f>
        <v>651.57996436964288</v>
      </c>
      <c r="E622" s="367">
        <f>+D622*(1+'Initial Data'!$C$20/100)</f>
        <v>669.0423074147493</v>
      </c>
      <c r="F622" s="367">
        <f>+E622*(1+'Initial Data'!$C$20/100)</f>
        <v>686.97264125346453</v>
      </c>
      <c r="G622" s="367">
        <f>+F622*(1+'Initial Data'!$C$20/100)</f>
        <v>705.38350803905735</v>
      </c>
      <c r="H622" s="367">
        <f>+G622*(1+'Initial Data'!$C$20/100)</f>
        <v>724.28778605450407</v>
      </c>
      <c r="I622" s="367">
        <f>+H622*(1+'Initial Data'!$C$20/100)</f>
        <v>743.6986987207647</v>
      </c>
      <c r="J622" s="367">
        <f>+I622*(1+'Initial Data'!$C$20/100)</f>
        <v>763.62982384648114</v>
      </c>
      <c r="K622" s="367">
        <f>+J622*(1+'Initial Data'!$C$20/100)</f>
        <v>784.09510312556677</v>
      </c>
      <c r="L622" s="367">
        <f>+K622*(1+'Initial Data'!$C$20/100)</f>
        <v>805.10885188933196</v>
      </c>
      <c r="M622" s="367">
        <f>+L622*(1+'Initial Data'!$C$20/100)</f>
        <v>826.68576911996604</v>
      </c>
      <c r="N622" s="367">
        <f>+M622*(1+'Initial Data'!$C$20/100)</f>
        <v>848.8409477323811</v>
      </c>
      <c r="O622" s="367">
        <f>+N622*(1+'Initial Data'!$C$20/100)</f>
        <v>871.58988513160887</v>
      </c>
      <c r="P622" s="367">
        <f>+O622*(1+'Initial Data'!$C$20/100)</f>
        <v>894.94849405313596</v>
      </c>
      <c r="Q622" s="367">
        <f>+P622*(1+'Initial Data'!$C$20/100)</f>
        <v>918.93311369375999</v>
      </c>
    </row>
    <row r="623" spans="1:17" ht="14.4">
      <c r="A623" s="366" t="s">
        <v>297</v>
      </c>
      <c r="B623" s="378">
        <f>+SUM(C623:Q623)</f>
        <v>13836.767075562186</v>
      </c>
      <c r="C623" s="367">
        <f>('Initial Data'!$C$82/1000+('Initial Data'!$C$83*'Initial Data'!$C$15/'Initial Data'!$C$14)/1000+'Initial Data'!$C$84/'Initial Data'!$C$14/1000)</f>
        <v>761.57188717892859</v>
      </c>
      <c r="D623" s="367">
        <f>+C623*(1+'Initial Data'!$C$20/100)</f>
        <v>781.98201375532381</v>
      </c>
      <c r="E623" s="367">
        <f>+D623*(1+'Initial Data'!$C$20/100)</f>
        <v>802.9391317239664</v>
      </c>
      <c r="F623" s="367">
        <f>+E623*(1+'Initial Data'!$C$20/100)</f>
        <v>824.45790045416868</v>
      </c>
      <c r="G623" s="367">
        <f>+F623*(1+'Initial Data'!$C$20/100)</f>
        <v>846.55337218634031</v>
      </c>
      <c r="H623" s="367">
        <f>+G623*(1+'Initial Data'!$C$20/100)</f>
        <v>869.24100256093413</v>
      </c>
      <c r="I623" s="367">
        <f>+H623*(1+'Initial Data'!$C$20/100)</f>
        <v>892.53666142956706</v>
      </c>
      <c r="J623" s="367">
        <f>+I623*(1+'Initial Data'!$C$20/100)</f>
        <v>916.45664395587937</v>
      </c>
      <c r="K623" s="367">
        <f>+J623*(1+'Initial Data'!$C$20/100)</f>
        <v>941.01768201389689</v>
      </c>
      <c r="L623" s="367">
        <f>+K623*(1+'Initial Data'!$C$20/100)</f>
        <v>966.23695589186923</v>
      </c>
      <c r="M623" s="367">
        <f>+L623*(1+'Initial Data'!$C$20/100)</f>
        <v>992.1321063097713</v>
      </c>
      <c r="N623" s="367">
        <f>+M623*(1+'Initial Data'!$C$20/100)</f>
        <v>1018.7212467588731</v>
      </c>
      <c r="O623" s="367">
        <f>+N623*(1+'Initial Data'!$C$20/100)</f>
        <v>1046.0229761720109</v>
      </c>
      <c r="P623" s="367">
        <f>+O623*(1+'Initial Data'!$C$20/100)</f>
        <v>1074.0563919334206</v>
      </c>
      <c r="Q623" s="367">
        <f>+P623*(1+'Initial Data'!$C$20/100)</f>
        <v>1102.8411032372362</v>
      </c>
    </row>
    <row r="624" spans="1:17" ht="14.4">
      <c r="A624" s="370"/>
      <c r="B624" s="369"/>
      <c r="C624" s="382"/>
      <c r="D624" s="369"/>
      <c r="E624" s="369"/>
      <c r="F624" s="369"/>
      <c r="G624" s="369"/>
      <c r="H624" s="369"/>
      <c r="I624" s="369"/>
      <c r="J624" s="369"/>
      <c r="K624" s="369"/>
      <c r="L624" s="369"/>
      <c r="M624" s="369"/>
      <c r="N624" s="369"/>
      <c r="O624" s="369"/>
      <c r="P624" s="369"/>
      <c r="Q624" s="369"/>
    </row>
    <row r="625" spans="1:17" ht="14.4">
      <c r="A625" s="366" t="s">
        <v>71</v>
      </c>
      <c r="B625" s="379"/>
      <c r="C625" s="379"/>
      <c r="D625" s="379"/>
      <c r="E625" s="379"/>
      <c r="F625" s="379"/>
      <c r="G625" s="379"/>
      <c r="H625" s="379"/>
      <c r="I625" s="379"/>
      <c r="J625" s="379"/>
      <c r="K625" s="379"/>
      <c r="L625" s="379"/>
      <c r="M625" s="379"/>
      <c r="N625" s="379"/>
      <c r="O625" s="379"/>
      <c r="P625" s="379"/>
      <c r="Q625" s="379"/>
    </row>
    <row r="626" spans="1:17" ht="14.4">
      <c r="A626" s="370"/>
      <c r="B626" s="379"/>
      <c r="C626" s="379"/>
      <c r="D626" s="379"/>
      <c r="E626" s="379"/>
      <c r="F626" s="379"/>
      <c r="G626" s="379"/>
      <c r="H626" s="379"/>
      <c r="I626" s="379"/>
      <c r="J626" s="379"/>
      <c r="K626" s="379"/>
      <c r="L626" s="379"/>
      <c r="M626" s="379"/>
      <c r="N626" s="379"/>
      <c r="O626" s="379"/>
      <c r="P626" s="379"/>
      <c r="Q626" s="379"/>
    </row>
    <row r="627" spans="1:17" ht="14.4">
      <c r="A627" s="366" t="s">
        <v>298</v>
      </c>
      <c r="B627" s="378">
        <f>+SUM(C627:Q627)</f>
        <v>25366.137367328029</v>
      </c>
      <c r="C627" s="367">
        <f>SUM(C622:C623)</f>
        <v>1396.1452845003573</v>
      </c>
      <c r="D627" s="367">
        <f>SUM(D622:D623)</f>
        <v>1433.5619781249666</v>
      </c>
      <c r="E627" s="367">
        <f t="shared" ref="E627:Q627" si="440">SUM(E622:E623)</f>
        <v>1471.9814391387158</v>
      </c>
      <c r="F627" s="367">
        <f t="shared" si="440"/>
        <v>1511.4305417076332</v>
      </c>
      <c r="G627" s="367">
        <f t="shared" si="440"/>
        <v>1551.9368802253975</v>
      </c>
      <c r="H627" s="367">
        <f t="shared" si="440"/>
        <v>1593.5287886154383</v>
      </c>
      <c r="I627" s="367">
        <f t="shared" si="440"/>
        <v>1636.2353601503319</v>
      </c>
      <c r="J627" s="367">
        <f t="shared" si="440"/>
        <v>1680.0864678023604</v>
      </c>
      <c r="K627" s="367">
        <f t="shared" si="440"/>
        <v>1725.1127851394635</v>
      </c>
      <c r="L627" s="367">
        <f t="shared" si="440"/>
        <v>1771.3458077812011</v>
      </c>
      <c r="M627" s="367">
        <f t="shared" si="440"/>
        <v>1818.8178754297373</v>
      </c>
      <c r="N627" s="367">
        <f t="shared" si="440"/>
        <v>1867.5621944912541</v>
      </c>
      <c r="O627" s="367">
        <f t="shared" si="440"/>
        <v>1917.6128613036199</v>
      </c>
      <c r="P627" s="367">
        <f t="shared" si="440"/>
        <v>1969.0048859865565</v>
      </c>
      <c r="Q627" s="367">
        <f t="shared" si="440"/>
        <v>2021.7742169309963</v>
      </c>
    </row>
    <row r="628" spans="1:17" ht="14.4">
      <c r="A628" s="370"/>
      <c r="B628" s="379"/>
      <c r="C628" s="379"/>
      <c r="D628" s="379"/>
      <c r="E628" s="379"/>
      <c r="F628" s="379"/>
      <c r="G628" s="379"/>
      <c r="H628" s="379"/>
      <c r="I628" s="379"/>
      <c r="J628" s="379"/>
      <c r="K628" s="379"/>
      <c r="L628" s="379"/>
      <c r="M628" s="379"/>
      <c r="N628" s="379"/>
      <c r="O628" s="379"/>
      <c r="P628" s="379"/>
      <c r="Q628" s="379"/>
    </row>
    <row r="629" spans="1:17" ht="14.4">
      <c r="A629" s="366" t="s">
        <v>299</v>
      </c>
      <c r="B629" s="378">
        <f t="shared" ref="B629:B630" si="441">+SUM(C629:Q629)</f>
        <v>43884.879418749995</v>
      </c>
      <c r="C629" s="367">
        <f>'WHRS_Project Scenario'!$C$8/'Initial Data'!$C$19</f>
        <v>4388.4879418749997</v>
      </c>
      <c r="D629" s="367">
        <f>'WHRS_Project Scenario'!$C$8/'Initial Data'!$C$19</f>
        <v>4388.4879418749997</v>
      </c>
      <c r="E629" s="367">
        <f>'WHRS_Project Scenario'!$C$8/'Initial Data'!$C$19</f>
        <v>4388.4879418749997</v>
      </c>
      <c r="F629" s="367">
        <f>'WHRS_Project Scenario'!$C$8/'Initial Data'!$C$19</f>
        <v>4388.4879418749997</v>
      </c>
      <c r="G629" s="367">
        <f>'WHRS_Project Scenario'!$C$8/'Initial Data'!$C$19</f>
        <v>4388.4879418749997</v>
      </c>
      <c r="H629" s="367">
        <f>'WHRS_Project Scenario'!$C$8/'Initial Data'!$C$19</f>
        <v>4388.4879418749997</v>
      </c>
      <c r="I629" s="367">
        <f>'WHRS_Project Scenario'!$C$8/'Initial Data'!$C$19</f>
        <v>4388.4879418749997</v>
      </c>
      <c r="J629" s="367">
        <f>'WHRS_Project Scenario'!$C$8/'Initial Data'!$C$19</f>
        <v>4388.4879418749997</v>
      </c>
      <c r="K629" s="367">
        <f>'WHRS_Project Scenario'!$C$8/'Initial Data'!$C$19</f>
        <v>4388.4879418749997</v>
      </c>
      <c r="L629" s="367">
        <f>'WHRS_Project Scenario'!$C$8/'Initial Data'!$C$19</f>
        <v>4388.4879418749997</v>
      </c>
      <c r="M629" s="367">
        <v>0</v>
      </c>
      <c r="N629" s="367">
        <v>0</v>
      </c>
      <c r="O629" s="367">
        <v>0</v>
      </c>
      <c r="P629" s="367">
        <v>0</v>
      </c>
      <c r="Q629" s="367">
        <v>0</v>
      </c>
    </row>
    <row r="630" spans="1:17" ht="14.4">
      <c r="A630" s="366" t="s">
        <v>300</v>
      </c>
      <c r="B630" s="378">
        <f t="shared" si="441"/>
        <v>43884.879418749995</v>
      </c>
      <c r="C630" s="367">
        <f>SUM(C629:C629)</f>
        <v>4388.4879418749997</v>
      </c>
      <c r="D630" s="367">
        <f t="shared" ref="D630:Q630" si="442">SUM(D629:D629)</f>
        <v>4388.4879418749997</v>
      </c>
      <c r="E630" s="367">
        <f t="shared" si="442"/>
        <v>4388.4879418749997</v>
      </c>
      <c r="F630" s="367">
        <f t="shared" si="442"/>
        <v>4388.4879418749997</v>
      </c>
      <c r="G630" s="367">
        <f t="shared" si="442"/>
        <v>4388.4879418749997</v>
      </c>
      <c r="H630" s="367">
        <f t="shared" si="442"/>
        <v>4388.4879418749997</v>
      </c>
      <c r="I630" s="367">
        <f t="shared" si="442"/>
        <v>4388.4879418749997</v>
      </c>
      <c r="J630" s="367">
        <f t="shared" si="442"/>
        <v>4388.4879418749997</v>
      </c>
      <c r="K630" s="367">
        <f t="shared" si="442"/>
        <v>4388.4879418749997</v>
      </c>
      <c r="L630" s="367">
        <f t="shared" si="442"/>
        <v>4388.4879418749997</v>
      </c>
      <c r="M630" s="367">
        <f t="shared" si="442"/>
        <v>0</v>
      </c>
      <c r="N630" s="367">
        <f t="shared" si="442"/>
        <v>0</v>
      </c>
      <c r="O630" s="367">
        <f t="shared" si="442"/>
        <v>0</v>
      </c>
      <c r="P630" s="367">
        <f t="shared" si="442"/>
        <v>0</v>
      </c>
      <c r="Q630" s="367">
        <f t="shared" si="442"/>
        <v>0</v>
      </c>
    </row>
    <row r="631" spans="1:17" ht="14.4">
      <c r="A631" s="370"/>
      <c r="B631" s="379"/>
      <c r="C631" s="379"/>
      <c r="D631" s="379"/>
      <c r="E631" s="379"/>
      <c r="F631" s="379"/>
      <c r="G631" s="379"/>
      <c r="H631" s="379"/>
      <c r="I631" s="379"/>
      <c r="J631" s="379"/>
      <c r="K631" s="379"/>
      <c r="L631" s="379"/>
      <c r="M631" s="379"/>
      <c r="N631" s="379"/>
      <c r="O631" s="379"/>
      <c r="P631" s="379"/>
      <c r="Q631" s="379"/>
    </row>
    <row r="632" spans="1:17" ht="14.4">
      <c r="A632" s="366" t="s">
        <v>301</v>
      </c>
      <c r="B632" s="378">
        <f>+SUM(C632:Q632)</f>
        <v>69251.016786078035</v>
      </c>
      <c r="C632" s="367">
        <f>+C627+C630</f>
        <v>5784.6332263753575</v>
      </c>
      <c r="D632" s="367">
        <f>+D627+D630</f>
        <v>5822.0499199999667</v>
      </c>
      <c r="E632" s="367">
        <f t="shared" ref="E632:Q632" si="443">+E627+E630</f>
        <v>5860.469381013716</v>
      </c>
      <c r="F632" s="367">
        <f t="shared" si="443"/>
        <v>5899.9184835826327</v>
      </c>
      <c r="G632" s="367">
        <f t="shared" si="443"/>
        <v>5940.4248221003973</v>
      </c>
      <c r="H632" s="367">
        <f t="shared" si="443"/>
        <v>5982.016730490438</v>
      </c>
      <c r="I632" s="367">
        <f t="shared" si="443"/>
        <v>6024.7233020253316</v>
      </c>
      <c r="J632" s="367">
        <f t="shared" si="443"/>
        <v>6068.5744096773597</v>
      </c>
      <c r="K632" s="367">
        <f t="shared" si="443"/>
        <v>6113.6007270144637</v>
      </c>
      <c r="L632" s="367">
        <f t="shared" si="443"/>
        <v>6159.8337496562008</v>
      </c>
      <c r="M632" s="367">
        <f t="shared" si="443"/>
        <v>1818.8178754297373</v>
      </c>
      <c r="N632" s="367">
        <f t="shared" si="443"/>
        <v>1867.5621944912541</v>
      </c>
      <c r="O632" s="367">
        <f t="shared" si="443"/>
        <v>1917.6128613036199</v>
      </c>
      <c r="P632" s="367">
        <f t="shared" si="443"/>
        <v>1969.0048859865565</v>
      </c>
      <c r="Q632" s="367">
        <f t="shared" si="443"/>
        <v>2021.7742169309963</v>
      </c>
    </row>
    <row r="633" spans="1:17" ht="14.4">
      <c r="A633" s="370"/>
      <c r="B633" s="379"/>
      <c r="C633" s="379"/>
      <c r="D633" s="379"/>
      <c r="E633" s="379"/>
      <c r="F633" s="379"/>
      <c r="G633" s="379"/>
      <c r="H633" s="379"/>
      <c r="I633" s="379"/>
      <c r="J633" s="379"/>
      <c r="K633" s="379"/>
      <c r="L633" s="379"/>
      <c r="M633" s="379"/>
      <c r="N633" s="379"/>
      <c r="O633" s="379"/>
      <c r="P633" s="379"/>
      <c r="Q633" s="379"/>
    </row>
    <row r="634" spans="1:17" ht="14.4">
      <c r="A634" s="364" t="s">
        <v>302</v>
      </c>
      <c r="B634" s="378">
        <f>+SUM(C634:Q634)</f>
        <v>1991969.397392977</v>
      </c>
      <c r="C634" s="367">
        <f>+C619-C632</f>
        <v>107664.37636854088</v>
      </c>
      <c r="D634" s="367">
        <f>+D619-D632</f>
        <v>110667.39313206004</v>
      </c>
      <c r="E634" s="367">
        <f t="shared" ref="E634:Q634" si="444">+E619-E632</f>
        <v>113750.89074484147</v>
      </c>
      <c r="F634" s="367">
        <f t="shared" si="444"/>
        <v>116917.02609364547</v>
      </c>
      <c r="G634" s="367">
        <f t="shared" si="444"/>
        <v>120168.01386979742</v>
      </c>
      <c r="H634" s="367">
        <f t="shared" si="444"/>
        <v>123506.12811835023</v>
      </c>
      <c r="I634" s="367">
        <f t="shared" si="444"/>
        <v>126933.70382876425</v>
      </c>
      <c r="J634" s="367">
        <f t="shared" si="444"/>
        <v>130453.13856821737</v>
      </c>
      <c r="K634" s="367">
        <f t="shared" si="444"/>
        <v>134066.89415868779</v>
      </c>
      <c r="L634" s="367">
        <f t="shared" si="444"/>
        <v>137777.49839898292</v>
      </c>
      <c r="M634" s="367">
        <f t="shared" si="444"/>
        <v>145976.03477479288</v>
      </c>
      <c r="N634" s="367">
        <f t="shared" si="444"/>
        <v>149888.19250675733</v>
      </c>
      <c r="O634" s="367">
        <f t="shared" si="444"/>
        <v>153905.19606593842</v>
      </c>
      <c r="P634" s="367">
        <f t="shared" si="444"/>
        <v>158029.85532050554</v>
      </c>
      <c r="Q634" s="367">
        <f t="shared" si="444"/>
        <v>162265.05544309504</v>
      </c>
    </row>
    <row r="635" spans="1:17" ht="14.4">
      <c r="A635" s="364"/>
    </row>
    <row r="636" spans="1:17" ht="14.4">
      <c r="A636" s="364" t="s">
        <v>222</v>
      </c>
      <c r="B636" s="380">
        <f>+'WHRS_Project Scenario'!C39</f>
        <v>0.7</v>
      </c>
      <c r="C636" s="367">
        <f>IF((+$B$636*C634)&lt;0,"0",(+$B$636*C634))</f>
        <v>75365.063457978613</v>
      </c>
      <c r="D636" s="367">
        <f t="shared" ref="D636:Q636" si="445">IF((+$B$636*D634)&lt;0,"0",(+$B$636*D634))</f>
        <v>77467.175192442024</v>
      </c>
      <c r="E636" s="367">
        <f t="shared" si="445"/>
        <v>79625.623521389018</v>
      </c>
      <c r="F636" s="367">
        <f t="shared" si="445"/>
        <v>81841.918265551823</v>
      </c>
      <c r="G636" s="367">
        <f t="shared" si="445"/>
        <v>84117.609708858188</v>
      </c>
      <c r="H636" s="367">
        <f t="shared" si="445"/>
        <v>86454.289682845148</v>
      </c>
      <c r="I636" s="367">
        <f t="shared" si="445"/>
        <v>88853.592680134971</v>
      </c>
      <c r="J636" s="367">
        <f t="shared" si="445"/>
        <v>91317.196997752151</v>
      </c>
      <c r="K636" s="367">
        <f t="shared" si="445"/>
        <v>93846.825911081454</v>
      </c>
      <c r="L636" s="367">
        <f t="shared" si="445"/>
        <v>96444.248879288032</v>
      </c>
      <c r="M636" s="367">
        <f t="shared" si="445"/>
        <v>102183.22434235501</v>
      </c>
      <c r="N636" s="367">
        <f t="shared" si="445"/>
        <v>104921.73475473013</v>
      </c>
      <c r="O636" s="367">
        <f t="shared" si="445"/>
        <v>107733.63724615688</v>
      </c>
      <c r="P636" s="367">
        <f t="shared" si="445"/>
        <v>110620.89872435387</v>
      </c>
      <c r="Q636" s="367">
        <f t="shared" si="445"/>
        <v>113585.53881016653</v>
      </c>
    </row>
    <row r="637" spans="1:17" ht="14.4">
      <c r="A637" s="364" t="s">
        <v>303</v>
      </c>
      <c r="B637" s="378">
        <f>+SUM(C637:Q637)</f>
        <v>1394378.578175084</v>
      </c>
      <c r="C637" s="367">
        <f>SUM(C636:C636)</f>
        <v>75365.063457978613</v>
      </c>
      <c r="D637" s="367">
        <f t="shared" ref="D637:Q637" si="446">SUM(D636:D636)</f>
        <v>77467.175192442024</v>
      </c>
      <c r="E637" s="367">
        <f t="shared" si="446"/>
        <v>79625.623521389018</v>
      </c>
      <c r="F637" s="367">
        <f t="shared" si="446"/>
        <v>81841.918265551823</v>
      </c>
      <c r="G637" s="367">
        <f t="shared" si="446"/>
        <v>84117.609708858188</v>
      </c>
      <c r="H637" s="367">
        <f t="shared" si="446"/>
        <v>86454.289682845148</v>
      </c>
      <c r="I637" s="367">
        <f t="shared" si="446"/>
        <v>88853.592680134971</v>
      </c>
      <c r="J637" s="367">
        <f t="shared" si="446"/>
        <v>91317.196997752151</v>
      </c>
      <c r="K637" s="367">
        <f t="shared" si="446"/>
        <v>93846.825911081454</v>
      </c>
      <c r="L637" s="367">
        <f t="shared" si="446"/>
        <v>96444.248879288032</v>
      </c>
      <c r="M637" s="367">
        <f t="shared" si="446"/>
        <v>102183.22434235501</v>
      </c>
      <c r="N637" s="367">
        <f t="shared" si="446"/>
        <v>104921.73475473013</v>
      </c>
      <c r="O637" s="367">
        <f t="shared" si="446"/>
        <v>107733.63724615688</v>
      </c>
      <c r="P637" s="367">
        <f t="shared" si="446"/>
        <v>110620.89872435387</v>
      </c>
      <c r="Q637" s="367">
        <f t="shared" si="446"/>
        <v>113585.53881016653</v>
      </c>
    </row>
    <row r="638" spans="1:17" ht="14.4">
      <c r="A638" s="369"/>
    </row>
    <row r="639" spans="1:17" ht="14.4">
      <c r="A639" s="364" t="s">
        <v>304</v>
      </c>
      <c r="B639" s="378">
        <f t="shared" ref="B639:B641" si="447">+SUM(C639:Q639)</f>
        <v>597590.81921789318</v>
      </c>
      <c r="C639" s="367">
        <f>C634-C637</f>
        <v>32299.312910562265</v>
      </c>
      <c r="D639" s="367">
        <f t="shared" ref="D639:Q639" si="448">D634-D637</f>
        <v>33200.217939618014</v>
      </c>
      <c r="E639" s="367">
        <f t="shared" si="448"/>
        <v>34125.267223452451</v>
      </c>
      <c r="F639" s="367">
        <f t="shared" si="448"/>
        <v>35075.107828093649</v>
      </c>
      <c r="G639" s="367">
        <f t="shared" si="448"/>
        <v>36050.40416093923</v>
      </c>
      <c r="H639" s="367">
        <f t="shared" si="448"/>
        <v>37051.83843550508</v>
      </c>
      <c r="I639" s="367">
        <f t="shared" si="448"/>
        <v>38080.111148629279</v>
      </c>
      <c r="J639" s="367">
        <f t="shared" si="448"/>
        <v>39135.94157046522</v>
      </c>
      <c r="K639" s="367">
        <f t="shared" si="448"/>
        <v>40220.068247606338</v>
      </c>
      <c r="L639" s="367">
        <f t="shared" si="448"/>
        <v>41333.249519694888</v>
      </c>
      <c r="M639" s="367">
        <f t="shared" si="448"/>
        <v>43792.810432437866</v>
      </c>
      <c r="N639" s="367">
        <f t="shared" si="448"/>
        <v>44966.4577520272</v>
      </c>
      <c r="O639" s="367">
        <f t="shared" si="448"/>
        <v>46171.558819781538</v>
      </c>
      <c r="P639" s="367">
        <f t="shared" si="448"/>
        <v>47408.956596151664</v>
      </c>
      <c r="Q639" s="367">
        <f t="shared" si="448"/>
        <v>48679.516632928513</v>
      </c>
    </row>
    <row r="640" spans="1:17" ht="14.4">
      <c r="A640" s="364" t="s">
        <v>305</v>
      </c>
      <c r="B640" s="378">
        <f t="shared" si="447"/>
        <v>43884.879418749995</v>
      </c>
      <c r="C640" s="367">
        <f>+C629</f>
        <v>4388.4879418749997</v>
      </c>
      <c r="D640" s="367">
        <f t="shared" ref="D640:Q640" si="449">+D629</f>
        <v>4388.4879418749997</v>
      </c>
      <c r="E640" s="367">
        <f t="shared" si="449"/>
        <v>4388.4879418749997</v>
      </c>
      <c r="F640" s="367">
        <f t="shared" si="449"/>
        <v>4388.4879418749997</v>
      </c>
      <c r="G640" s="367">
        <f t="shared" si="449"/>
        <v>4388.4879418749997</v>
      </c>
      <c r="H640" s="367">
        <f t="shared" si="449"/>
        <v>4388.4879418749997</v>
      </c>
      <c r="I640" s="367">
        <f t="shared" si="449"/>
        <v>4388.4879418749997</v>
      </c>
      <c r="J640" s="367">
        <f t="shared" si="449"/>
        <v>4388.4879418749997</v>
      </c>
      <c r="K640" s="367">
        <f t="shared" si="449"/>
        <v>4388.4879418749997</v>
      </c>
      <c r="L640" s="367">
        <f t="shared" si="449"/>
        <v>4388.4879418749997</v>
      </c>
      <c r="M640" s="367">
        <f t="shared" si="449"/>
        <v>0</v>
      </c>
      <c r="N640" s="367">
        <f t="shared" si="449"/>
        <v>0</v>
      </c>
      <c r="O640" s="367">
        <f t="shared" si="449"/>
        <v>0</v>
      </c>
      <c r="P640" s="367">
        <f t="shared" si="449"/>
        <v>0</v>
      </c>
      <c r="Q640" s="367">
        <f t="shared" si="449"/>
        <v>0</v>
      </c>
    </row>
    <row r="641" spans="1:17" ht="14.4">
      <c r="A641" s="364" t="s">
        <v>306</v>
      </c>
      <c r="B641" s="378">
        <f t="shared" si="447"/>
        <v>0</v>
      </c>
      <c r="C641" s="367">
        <f>+'WHRS_Project Scenario'!D614</f>
        <v>0</v>
      </c>
      <c r="D641" s="367">
        <f>+'WHRS_Project Scenario'!E614</f>
        <v>0</v>
      </c>
      <c r="E641" s="367">
        <f>+'WHRS_Project Scenario'!F614</f>
        <v>0</v>
      </c>
      <c r="F641" s="367">
        <f>+'WHRS_Project Scenario'!G614</f>
        <v>0</v>
      </c>
      <c r="G641" s="367">
        <f>+'WHRS_Project Scenario'!H614</f>
        <v>0</v>
      </c>
      <c r="H641" s="367">
        <f>+'WHRS_Project Scenario'!I614</f>
        <v>0</v>
      </c>
      <c r="I641" s="367">
        <f>+'WHRS_Project Scenario'!J614</f>
        <v>0</v>
      </c>
      <c r="J641" s="367">
        <f>+'WHRS_Project Scenario'!K614</f>
        <v>0</v>
      </c>
      <c r="K641" s="367">
        <f>+'WHRS_Project Scenario'!L614</f>
        <v>0</v>
      </c>
      <c r="L641" s="367">
        <f>+'WHRS_Project Scenario'!M614</f>
        <v>0</v>
      </c>
      <c r="M641" s="367">
        <f>+'WHRS_Project Scenario'!N614</f>
        <v>0</v>
      </c>
      <c r="N641" s="367">
        <f>+'WHRS_Project Scenario'!O614</f>
        <v>0</v>
      </c>
      <c r="O641" s="367">
        <f>+'WHRS_Project Scenario'!P614</f>
        <v>0</v>
      </c>
      <c r="P641" s="367">
        <f>+'WHRS_Project Scenario'!Q614</f>
        <v>0</v>
      </c>
      <c r="Q641" s="367">
        <f>+'WHRS_Project Scenario'!R614</f>
        <v>0</v>
      </c>
    </row>
    <row r="642" spans="1:17" ht="14.4">
      <c r="A642" s="364"/>
    </row>
    <row r="643" spans="1:17" ht="14.4">
      <c r="A643" s="364" t="s">
        <v>110</v>
      </c>
      <c r="B643" s="378">
        <f>-'WHRS_Project Scenario'!C8</f>
        <v>-43884.879418749995</v>
      </c>
      <c r="C643" s="367">
        <f>C639+C640+C641</f>
        <v>36687.800852437264</v>
      </c>
      <c r="D643" s="367">
        <f t="shared" ref="D643:Q643" si="450">D639+D640+D641</f>
        <v>37588.705881493013</v>
      </c>
      <c r="E643" s="367">
        <f t="shared" si="450"/>
        <v>38513.75516532745</v>
      </c>
      <c r="F643" s="367">
        <f t="shared" si="450"/>
        <v>39463.595769968648</v>
      </c>
      <c r="G643" s="367">
        <f t="shared" si="450"/>
        <v>40438.892102814229</v>
      </c>
      <c r="H643" s="367">
        <f t="shared" si="450"/>
        <v>41440.326377380079</v>
      </c>
      <c r="I643" s="367">
        <f t="shared" si="450"/>
        <v>42468.599090504278</v>
      </c>
      <c r="J643" s="367">
        <f t="shared" si="450"/>
        <v>43524.429512340219</v>
      </c>
      <c r="K643" s="367">
        <f t="shared" si="450"/>
        <v>44608.556189481336</v>
      </c>
      <c r="L643" s="367">
        <f t="shared" si="450"/>
        <v>45721.737461569886</v>
      </c>
      <c r="M643" s="367">
        <f t="shared" si="450"/>
        <v>43792.810432437866</v>
      </c>
      <c r="N643" s="367">
        <f t="shared" si="450"/>
        <v>44966.4577520272</v>
      </c>
      <c r="O643" s="367">
        <f t="shared" si="450"/>
        <v>46171.558819781538</v>
      </c>
      <c r="P643" s="367">
        <f t="shared" si="450"/>
        <v>47408.956596151664</v>
      </c>
      <c r="Q643" s="367">
        <f t="shared" si="450"/>
        <v>48679.516632928513</v>
      </c>
    </row>
    <row r="644" spans="1:17" ht="15.6">
      <c r="A644" s="364" t="s">
        <v>51</v>
      </c>
      <c r="B644" s="132">
        <f>IRR(B643:Q643)</f>
        <v>0.8603810387084655</v>
      </c>
    </row>
    <row r="645" spans="1:17" ht="15.6">
      <c r="A645" s="364" t="s">
        <v>267</v>
      </c>
      <c r="B645" s="303">
        <f>NPV('Initial Data'!C21/100,B643:Q643)</f>
        <v>210871.03504645865</v>
      </c>
    </row>
    <row r="647" spans="1:17" ht="14.4">
      <c r="A647" s="508" t="s">
        <v>324</v>
      </c>
      <c r="B647" s="509"/>
      <c r="C647" s="509"/>
      <c r="D647" s="509"/>
      <c r="E647" s="509"/>
      <c r="F647" s="509"/>
      <c r="G647" s="509"/>
      <c r="H647" s="509"/>
      <c r="I647" s="509"/>
      <c r="J647" s="509"/>
      <c r="K647" s="509"/>
      <c r="L647" s="509"/>
      <c r="M647" s="509"/>
      <c r="N647" s="509"/>
      <c r="O647" s="509"/>
      <c r="P647" s="509"/>
      <c r="Q647" s="509"/>
    </row>
    <row r="648" spans="1:17" ht="14.4">
      <c r="A648" s="371" t="s">
        <v>325</v>
      </c>
      <c r="B648" s="372"/>
      <c r="C648" s="372"/>
      <c r="D648" s="372"/>
      <c r="E648" s="372"/>
      <c r="F648" s="372"/>
      <c r="G648" s="372"/>
      <c r="H648" s="372"/>
      <c r="I648" s="372"/>
      <c r="J648" s="372"/>
      <c r="K648" s="372"/>
      <c r="L648" s="372"/>
      <c r="M648" s="372"/>
      <c r="N648" s="372"/>
      <c r="O648" s="372"/>
      <c r="P648" s="372"/>
      <c r="Q648" s="372"/>
    </row>
    <row r="649" spans="1:17" ht="27">
      <c r="A649" s="376"/>
      <c r="B649" s="304" t="s">
        <v>35</v>
      </c>
      <c r="C649" s="352" t="s">
        <v>407</v>
      </c>
      <c r="D649" s="352" t="s">
        <v>408</v>
      </c>
      <c r="E649" s="352" t="s">
        <v>409</v>
      </c>
      <c r="F649" s="352" t="s">
        <v>410</v>
      </c>
      <c r="G649" s="352" t="s">
        <v>411</v>
      </c>
      <c r="H649" s="352" t="s">
        <v>412</v>
      </c>
      <c r="I649" s="352" t="s">
        <v>413</v>
      </c>
      <c r="J649" s="352" t="s">
        <v>414</v>
      </c>
      <c r="K649" s="352" t="s">
        <v>415</v>
      </c>
      <c r="L649" s="352" t="s">
        <v>416</v>
      </c>
      <c r="M649" s="352" t="s">
        <v>417</v>
      </c>
      <c r="N649" s="352" t="s">
        <v>418</v>
      </c>
      <c r="O649" s="352" t="s">
        <v>419</v>
      </c>
      <c r="P649" s="352" t="s">
        <v>420</v>
      </c>
      <c r="Q649" s="352" t="s">
        <v>421</v>
      </c>
    </row>
    <row r="650" spans="1:17" ht="14.4">
      <c r="A650" s="363" t="s">
        <v>290</v>
      </c>
      <c r="B650" s="365"/>
      <c r="C650" s="381">
        <f>+'WHRS_Project Scenario'!D15*(1+$B$6)</f>
        <v>193693.43101571067</v>
      </c>
      <c r="D650" s="381">
        <f>+'WHRS_Project Scenario'!E15*(1+$B$6)</f>
        <v>193693.43101571067</v>
      </c>
      <c r="E650" s="381">
        <f>+'WHRS_Project Scenario'!F15*(1+$B$6)</f>
        <v>193693.43101571067</v>
      </c>
      <c r="F650" s="381">
        <f>+'WHRS_Project Scenario'!G15*(1+$B$6)</f>
        <v>193693.43101571067</v>
      </c>
      <c r="G650" s="381">
        <f>+'WHRS_Project Scenario'!H15*(1+$B$6)</f>
        <v>193693.43101571067</v>
      </c>
      <c r="H650" s="381">
        <f>+'WHRS_Project Scenario'!I15*(1+$B$6)</f>
        <v>193693.43101571067</v>
      </c>
      <c r="I650" s="381">
        <f>+'WHRS_Project Scenario'!J15*(1+$B$6)</f>
        <v>193693.43101571067</v>
      </c>
      <c r="J650" s="381">
        <f>+'WHRS_Project Scenario'!K15*(1+$B$6)</f>
        <v>193693.43101571067</v>
      </c>
      <c r="K650" s="381">
        <f>+'WHRS_Project Scenario'!L15*(1+$B$6)</f>
        <v>193693.43101571067</v>
      </c>
      <c r="L650" s="381">
        <f>+'WHRS_Project Scenario'!M15*(1+$B$6)</f>
        <v>193693.43101571067</v>
      </c>
      <c r="M650" s="381">
        <f>+'WHRS_Project Scenario'!N15*(1+$B$6)</f>
        <v>193693.43101571067</v>
      </c>
      <c r="N650" s="381">
        <f>+'WHRS_Project Scenario'!O15*(1+$B$6)</f>
        <v>193693.43101571067</v>
      </c>
      <c r="O650" s="381">
        <f>+'WHRS_Project Scenario'!P15*(1+$B$6)</f>
        <v>193693.43101571067</v>
      </c>
      <c r="P650" s="381">
        <f>+'WHRS_Project Scenario'!Q15*(1+$B$6)</f>
        <v>193693.43101571067</v>
      </c>
      <c r="Q650" s="381">
        <f>+'WHRS_Project Scenario'!R15*(1+$B$6)</f>
        <v>193693.43101571067</v>
      </c>
    </row>
    <row r="651" spans="1:17" ht="14.4">
      <c r="A651" s="364" t="s">
        <v>291</v>
      </c>
      <c r="B651" s="365"/>
      <c r="C651" s="377">
        <f>+'WHRS_Project Scenario'!D16</f>
        <v>70</v>
      </c>
      <c r="D651" s="377">
        <f>+'WHRS_Project Scenario'!E16</f>
        <v>70</v>
      </c>
      <c r="E651" s="377">
        <f>+'WHRS_Project Scenario'!F16</f>
        <v>70</v>
      </c>
      <c r="F651" s="377">
        <f>+'WHRS_Project Scenario'!G16</f>
        <v>70</v>
      </c>
      <c r="G651" s="377">
        <f>+'WHRS_Project Scenario'!H16</f>
        <v>70</v>
      </c>
      <c r="H651" s="377">
        <f>+'WHRS_Project Scenario'!I16</f>
        <v>70</v>
      </c>
      <c r="I651" s="377">
        <f>+'WHRS_Project Scenario'!J16</f>
        <v>70</v>
      </c>
      <c r="J651" s="377">
        <f>+'WHRS_Project Scenario'!K16</f>
        <v>70</v>
      </c>
      <c r="K651" s="377">
        <f>+'WHRS_Project Scenario'!L16</f>
        <v>70</v>
      </c>
      <c r="L651" s="377">
        <f>+'WHRS_Project Scenario'!M16</f>
        <v>70</v>
      </c>
      <c r="M651" s="377">
        <f>+'WHRS_Project Scenario'!N16</f>
        <v>70</v>
      </c>
      <c r="N651" s="377">
        <f>+'WHRS_Project Scenario'!O16</f>
        <v>70</v>
      </c>
      <c r="O651" s="377">
        <f>+'WHRS_Project Scenario'!P16</f>
        <v>70</v>
      </c>
      <c r="P651" s="377">
        <f>+'WHRS_Project Scenario'!Q16</f>
        <v>70</v>
      </c>
      <c r="Q651" s="377">
        <f>+'WHRS_Project Scenario'!R16</f>
        <v>70</v>
      </c>
    </row>
    <row r="652" spans="1:17" ht="14.4">
      <c r="A652" s="366" t="s">
        <v>292</v>
      </c>
      <c r="B652" s="365"/>
      <c r="C652" s="385">
        <f>+'WHRS_Project Scenario'!D17</f>
        <v>6.4285714285714288</v>
      </c>
      <c r="D652" s="385">
        <f>+'WHRS_Project Scenario'!E17</f>
        <v>6.6008571428571425</v>
      </c>
      <c r="E652" s="385">
        <f>+'WHRS_Project Scenario'!F17</f>
        <v>6.7777601142857131</v>
      </c>
      <c r="F652" s="385">
        <f>+'WHRS_Project Scenario'!G17</f>
        <v>6.9594040853485701</v>
      </c>
      <c r="G652" s="385">
        <f>+'WHRS_Project Scenario'!H17</f>
        <v>7.1459161148359112</v>
      </c>
      <c r="H652" s="385">
        <f>+'WHRS_Project Scenario'!I17</f>
        <v>7.3374266667135135</v>
      </c>
      <c r="I652" s="385">
        <f>+'WHRS_Project Scenario'!J17</f>
        <v>7.5340697013814353</v>
      </c>
      <c r="J652" s="385">
        <f>+'WHRS_Project Scenario'!K17</f>
        <v>7.7359827693784569</v>
      </c>
      <c r="K652" s="385">
        <f>+'WHRS_Project Scenario'!L17</f>
        <v>7.943307107597799</v>
      </c>
      <c r="L652" s="385">
        <f>+'WHRS_Project Scenario'!M17</f>
        <v>8.1561877380814192</v>
      </c>
      <c r="M652" s="385">
        <f>+'WHRS_Project Scenario'!N17</f>
        <v>8.3747735694620005</v>
      </c>
      <c r="N652" s="385">
        <f>+'WHRS_Project Scenario'!O17</f>
        <v>8.5992175011235812</v>
      </c>
      <c r="O652" s="385">
        <f>+'WHRS_Project Scenario'!P17</f>
        <v>8.8296765301536926</v>
      </c>
      <c r="P652" s="385">
        <f>+'WHRS_Project Scenario'!Q17</f>
        <v>9.066311861161811</v>
      </c>
      <c r="Q652" s="385">
        <f>+'WHRS_Project Scenario'!R17</f>
        <v>9.3092890190409463</v>
      </c>
    </row>
    <row r="653" spans="1:17" ht="14.4">
      <c r="A653" s="366" t="s">
        <v>293</v>
      </c>
      <c r="B653" s="365"/>
      <c r="C653" s="377">
        <f>+C651*C652</f>
        <v>450</v>
      </c>
      <c r="D653" s="377">
        <f t="shared" ref="D653:Q653" si="451">+D651*D652</f>
        <v>462.06</v>
      </c>
      <c r="E653" s="377">
        <f t="shared" si="451"/>
        <v>474.44320799999991</v>
      </c>
      <c r="F653" s="377">
        <f t="shared" si="451"/>
        <v>487.15828597439992</v>
      </c>
      <c r="G653" s="377">
        <f t="shared" si="451"/>
        <v>500.21412803851376</v>
      </c>
      <c r="H653" s="377">
        <f t="shared" si="451"/>
        <v>513.61986666994596</v>
      </c>
      <c r="I653" s="377">
        <f t="shared" si="451"/>
        <v>527.3848790967005</v>
      </c>
      <c r="J653" s="377">
        <f t="shared" si="451"/>
        <v>541.51879385649192</v>
      </c>
      <c r="K653" s="377">
        <f t="shared" si="451"/>
        <v>556.03149753184596</v>
      </c>
      <c r="L653" s="377">
        <f t="shared" si="451"/>
        <v>570.9331416656994</v>
      </c>
      <c r="M653" s="377">
        <f t="shared" si="451"/>
        <v>586.23414986234002</v>
      </c>
      <c r="N653" s="377">
        <f t="shared" si="451"/>
        <v>601.94522507865065</v>
      </c>
      <c r="O653" s="377">
        <f t="shared" si="451"/>
        <v>618.0773571107585</v>
      </c>
      <c r="P653" s="377">
        <f t="shared" si="451"/>
        <v>634.64183028132675</v>
      </c>
      <c r="Q653" s="377">
        <f t="shared" si="451"/>
        <v>651.65023133286627</v>
      </c>
    </row>
    <row r="654" spans="1:17" ht="14.4">
      <c r="A654" s="370"/>
      <c r="B654" s="373"/>
      <c r="C654" s="373"/>
      <c r="D654" s="373"/>
      <c r="E654" s="373"/>
      <c r="F654" s="373"/>
      <c r="G654" s="373"/>
      <c r="H654" s="373"/>
      <c r="I654" s="373"/>
      <c r="J654" s="373"/>
      <c r="K654" s="373"/>
      <c r="L654" s="373"/>
      <c r="M654" s="373"/>
      <c r="N654" s="373"/>
      <c r="O654" s="373"/>
      <c r="P654" s="373"/>
      <c r="Q654" s="373"/>
    </row>
    <row r="655" spans="1:17" ht="14.4">
      <c r="A655" s="366" t="s">
        <v>294</v>
      </c>
      <c r="B655" s="377">
        <f>+SUM(C655:Q655)</f>
        <v>1583620.5621131761</v>
      </c>
      <c r="C655" s="377">
        <f>C650*C653/1000*'Initial Data'!$C$34/'Initial Data'!$C$33</f>
        <v>87162.043957069793</v>
      </c>
      <c r="D655" s="377">
        <f>D650*D653/1000*'Initial Data'!$C$34/'Initial Data'!$C$33</f>
        <v>89497.986735119266</v>
      </c>
      <c r="E655" s="377">
        <f>E650*E653/1000*'Initial Data'!$C$34/'Initial Data'!$C$33</f>
        <v>91896.532779620451</v>
      </c>
      <c r="F655" s="377">
        <f>F650*F653/1000*'Initial Data'!$C$34/'Initial Data'!$C$33</f>
        <v>94359.359858114272</v>
      </c>
      <c r="G655" s="377">
        <f>G650*G653/1000*'Initial Data'!$C$34/'Initial Data'!$C$33</f>
        <v>96888.190702311724</v>
      </c>
      <c r="H655" s="377">
        <f>H650*H653/1000*'Initial Data'!$C$34/'Initial Data'!$C$33</f>
        <v>99484.794213133689</v>
      </c>
      <c r="I655" s="377">
        <f>I650*I653/1000*'Initial Data'!$C$34/'Initial Data'!$C$33</f>
        <v>102150.98669804567</v>
      </c>
      <c r="J655" s="377">
        <f>J650*J653/1000*'Initial Data'!$C$34/'Initial Data'!$C$33</f>
        <v>104888.63314155326</v>
      </c>
      <c r="K655" s="377">
        <f>K650*K653/1000*'Initial Data'!$C$34/'Initial Data'!$C$33</f>
        <v>107699.6485097469</v>
      </c>
      <c r="L655" s="377">
        <f>L650*L653/1000*'Initial Data'!$C$34/'Initial Data'!$C$33</f>
        <v>110585.9990898081</v>
      </c>
      <c r="M655" s="377">
        <f>M650*M653/1000*'Initial Data'!$C$34/'Initial Data'!$C$33</f>
        <v>113549.70386541495</v>
      </c>
      <c r="N655" s="377">
        <f>N650*N653/1000*'Initial Data'!$C$34/'Initial Data'!$C$33</f>
        <v>116592.83592900806</v>
      </c>
      <c r="O655" s="377">
        <f>O650*O653/1000*'Initial Data'!$C$34/'Initial Data'!$C$33</f>
        <v>119717.52393190547</v>
      </c>
      <c r="P655" s="377">
        <f>P650*P653/1000*'Initial Data'!$C$34/'Initial Data'!$C$33</f>
        <v>122925.95357328052</v>
      </c>
      <c r="Q655" s="377">
        <f>Q650*Q653/1000*'Initial Data'!$C$34/'Initial Data'!$C$33</f>
        <v>126220.36912904441</v>
      </c>
    </row>
    <row r="656" spans="1:17" ht="14.4">
      <c r="A656" s="370"/>
      <c r="B656" s="373"/>
      <c r="C656" s="373"/>
      <c r="D656" s="373"/>
      <c r="E656" s="373"/>
      <c r="F656" s="373"/>
      <c r="G656" s="373"/>
      <c r="H656" s="373"/>
      <c r="I656" s="373"/>
      <c r="J656" s="373"/>
      <c r="K656" s="373"/>
      <c r="L656" s="373"/>
      <c r="M656" s="373"/>
      <c r="N656" s="373"/>
      <c r="O656" s="373"/>
      <c r="P656" s="373"/>
      <c r="Q656" s="373"/>
    </row>
    <row r="657" spans="1:17" ht="14.4">
      <c r="A657" s="366" t="s">
        <v>295</v>
      </c>
      <c r="B657" s="377">
        <f>+SUM(C657:Q657)</f>
        <v>1583620.5621131761</v>
      </c>
      <c r="C657" s="377">
        <f>+C655</f>
        <v>87162.043957069793</v>
      </c>
      <c r="D657" s="377">
        <f t="shared" ref="D657:Q657" si="452">+D655</f>
        <v>89497.986735119266</v>
      </c>
      <c r="E657" s="377">
        <f t="shared" si="452"/>
        <v>91896.532779620451</v>
      </c>
      <c r="F657" s="377">
        <f t="shared" si="452"/>
        <v>94359.359858114272</v>
      </c>
      <c r="G657" s="377">
        <f t="shared" si="452"/>
        <v>96888.190702311724</v>
      </c>
      <c r="H657" s="377">
        <f t="shared" si="452"/>
        <v>99484.794213133689</v>
      </c>
      <c r="I657" s="377">
        <f t="shared" si="452"/>
        <v>102150.98669804567</v>
      </c>
      <c r="J657" s="377">
        <f t="shared" si="452"/>
        <v>104888.63314155326</v>
      </c>
      <c r="K657" s="377">
        <f t="shared" si="452"/>
        <v>107699.6485097469</v>
      </c>
      <c r="L657" s="377">
        <f t="shared" si="452"/>
        <v>110585.9990898081</v>
      </c>
      <c r="M657" s="377">
        <f t="shared" si="452"/>
        <v>113549.70386541495</v>
      </c>
      <c r="N657" s="377">
        <f t="shared" si="452"/>
        <v>116592.83592900806</v>
      </c>
      <c r="O657" s="377">
        <f t="shared" si="452"/>
        <v>119717.52393190547</v>
      </c>
      <c r="P657" s="377">
        <f t="shared" si="452"/>
        <v>122925.95357328052</v>
      </c>
      <c r="Q657" s="377">
        <f t="shared" si="452"/>
        <v>126220.36912904441</v>
      </c>
    </row>
    <row r="658" spans="1:17" ht="14.4">
      <c r="A658" s="370"/>
      <c r="B658" s="374"/>
      <c r="C658" s="374"/>
      <c r="D658" s="374"/>
      <c r="E658" s="374"/>
      <c r="F658" s="374"/>
      <c r="G658" s="374"/>
      <c r="H658" s="374"/>
      <c r="I658" s="374"/>
      <c r="J658" s="374"/>
      <c r="K658" s="374"/>
      <c r="L658" s="374"/>
      <c r="M658" s="374"/>
      <c r="N658" s="374"/>
      <c r="O658" s="374"/>
      <c r="P658" s="374"/>
      <c r="Q658" s="374"/>
    </row>
    <row r="659" spans="1:17" ht="14.4">
      <c r="A659" s="366" t="s">
        <v>68</v>
      </c>
      <c r="B659" s="368"/>
      <c r="C659" s="368"/>
      <c r="D659" s="368"/>
      <c r="E659" s="368"/>
      <c r="F659" s="368"/>
      <c r="G659" s="368"/>
      <c r="H659" s="368"/>
      <c r="I659" s="368"/>
      <c r="J659" s="368"/>
      <c r="K659" s="368"/>
      <c r="L659" s="368"/>
      <c r="M659" s="368"/>
      <c r="N659" s="368"/>
      <c r="O659" s="368"/>
      <c r="P659" s="368"/>
      <c r="Q659" s="368"/>
    </row>
    <row r="660" spans="1:17" ht="14.4">
      <c r="A660" s="366" t="s">
        <v>296</v>
      </c>
      <c r="B660" s="378">
        <f>+SUM(C660:Q660)</f>
        <v>11529.370291765843</v>
      </c>
      <c r="C660" s="367">
        <f>SUM('Initial Data'!$C$77:$C$80)/'Initial Data'!$C$14/1000</f>
        <v>634.57339732142862</v>
      </c>
      <c r="D660" s="367">
        <f>+C660*(1+'Initial Data'!$C$20/100)</f>
        <v>651.57996436964288</v>
      </c>
      <c r="E660" s="367">
        <f>+D660*(1+'Initial Data'!$C$20/100)</f>
        <v>669.0423074147493</v>
      </c>
      <c r="F660" s="367">
        <f>+E660*(1+'Initial Data'!$C$20/100)</f>
        <v>686.97264125346453</v>
      </c>
      <c r="G660" s="367">
        <f>+F660*(1+'Initial Data'!$C$20/100)</f>
        <v>705.38350803905735</v>
      </c>
      <c r="H660" s="367">
        <f>+G660*(1+'Initial Data'!$C$20/100)</f>
        <v>724.28778605450407</v>
      </c>
      <c r="I660" s="367">
        <f>+H660*(1+'Initial Data'!$C$20/100)</f>
        <v>743.6986987207647</v>
      </c>
      <c r="J660" s="367">
        <f>+I660*(1+'Initial Data'!$C$20/100)</f>
        <v>763.62982384648114</v>
      </c>
      <c r="K660" s="367">
        <f>+J660*(1+'Initial Data'!$C$20/100)</f>
        <v>784.09510312556677</v>
      </c>
      <c r="L660" s="367">
        <f>+K660*(1+'Initial Data'!$C$20/100)</f>
        <v>805.10885188933196</v>
      </c>
      <c r="M660" s="367">
        <f>+L660*(1+'Initial Data'!$C$20/100)</f>
        <v>826.68576911996604</v>
      </c>
      <c r="N660" s="367">
        <f>+M660*(1+'Initial Data'!$C$20/100)</f>
        <v>848.8409477323811</v>
      </c>
      <c r="O660" s="367">
        <f>+N660*(1+'Initial Data'!$C$20/100)</f>
        <v>871.58988513160887</v>
      </c>
      <c r="P660" s="367">
        <f>+O660*(1+'Initial Data'!$C$20/100)</f>
        <v>894.94849405313596</v>
      </c>
      <c r="Q660" s="367">
        <f>+P660*(1+'Initial Data'!$C$20/100)</f>
        <v>918.93311369375999</v>
      </c>
    </row>
    <row r="661" spans="1:17" ht="14.4">
      <c r="A661" s="366" t="s">
        <v>297</v>
      </c>
      <c r="B661" s="378">
        <f>+SUM(C661:Q661)</f>
        <v>13836.767075562186</v>
      </c>
      <c r="C661" s="367">
        <f>('Initial Data'!$C$82/1000+('Initial Data'!$C$83*'Initial Data'!$C$15/'Initial Data'!$C$14)/1000+'Initial Data'!$C$84/'Initial Data'!$C$14/1000)</f>
        <v>761.57188717892859</v>
      </c>
      <c r="D661" s="367">
        <f>+C661*(1+'Initial Data'!$C$20/100)</f>
        <v>781.98201375532381</v>
      </c>
      <c r="E661" s="367">
        <f>+D661*(1+'Initial Data'!$C$20/100)</f>
        <v>802.9391317239664</v>
      </c>
      <c r="F661" s="367">
        <f>+E661*(1+'Initial Data'!$C$20/100)</f>
        <v>824.45790045416868</v>
      </c>
      <c r="G661" s="367">
        <f>+F661*(1+'Initial Data'!$C$20/100)</f>
        <v>846.55337218634031</v>
      </c>
      <c r="H661" s="367">
        <f>+G661*(1+'Initial Data'!$C$20/100)</f>
        <v>869.24100256093413</v>
      </c>
      <c r="I661" s="367">
        <f>+H661*(1+'Initial Data'!$C$20/100)</f>
        <v>892.53666142956706</v>
      </c>
      <c r="J661" s="367">
        <f>+I661*(1+'Initial Data'!$C$20/100)</f>
        <v>916.45664395587937</v>
      </c>
      <c r="K661" s="367">
        <f>+J661*(1+'Initial Data'!$C$20/100)</f>
        <v>941.01768201389689</v>
      </c>
      <c r="L661" s="367">
        <f>+K661*(1+'Initial Data'!$C$20/100)</f>
        <v>966.23695589186923</v>
      </c>
      <c r="M661" s="367">
        <f>+L661*(1+'Initial Data'!$C$20/100)</f>
        <v>992.1321063097713</v>
      </c>
      <c r="N661" s="367">
        <f>+M661*(1+'Initial Data'!$C$20/100)</f>
        <v>1018.7212467588731</v>
      </c>
      <c r="O661" s="367">
        <f>+N661*(1+'Initial Data'!$C$20/100)</f>
        <v>1046.0229761720109</v>
      </c>
      <c r="P661" s="367">
        <f>+O661*(1+'Initial Data'!$C$20/100)</f>
        <v>1074.0563919334206</v>
      </c>
      <c r="Q661" s="367">
        <f>+P661*(1+'Initial Data'!$C$20/100)</f>
        <v>1102.8411032372362</v>
      </c>
    </row>
    <row r="662" spans="1:17" ht="14.4">
      <c r="A662" s="370"/>
      <c r="B662" s="369"/>
      <c r="C662" s="382"/>
      <c r="D662" s="369"/>
      <c r="E662" s="369"/>
      <c r="F662" s="369"/>
      <c r="G662" s="369"/>
      <c r="H662" s="369"/>
      <c r="I662" s="369"/>
      <c r="J662" s="369"/>
      <c r="K662" s="369"/>
      <c r="L662" s="369"/>
      <c r="M662" s="369"/>
      <c r="N662" s="369"/>
      <c r="O662" s="369"/>
      <c r="P662" s="369"/>
      <c r="Q662" s="369"/>
    </row>
    <row r="663" spans="1:17" ht="14.4">
      <c r="A663" s="366" t="s">
        <v>71</v>
      </c>
      <c r="B663" s="379"/>
      <c r="C663" s="379"/>
      <c r="D663" s="379"/>
      <c r="E663" s="379"/>
      <c r="F663" s="379"/>
      <c r="G663" s="379"/>
      <c r="H663" s="379"/>
      <c r="I663" s="379"/>
      <c r="J663" s="379"/>
      <c r="K663" s="379"/>
      <c r="L663" s="379"/>
      <c r="M663" s="379"/>
      <c r="N663" s="379"/>
      <c r="O663" s="379"/>
      <c r="P663" s="379"/>
      <c r="Q663" s="379"/>
    </row>
    <row r="664" spans="1:17" ht="14.4">
      <c r="A664" s="370"/>
      <c r="B664" s="379"/>
      <c r="C664" s="379"/>
      <c r="D664" s="379"/>
      <c r="E664" s="379"/>
      <c r="F664" s="379"/>
      <c r="G664" s="379"/>
      <c r="H664" s="379"/>
      <c r="I664" s="379"/>
      <c r="J664" s="379"/>
      <c r="K664" s="379"/>
      <c r="L664" s="379"/>
      <c r="M664" s="379"/>
      <c r="N664" s="379"/>
      <c r="O664" s="379"/>
      <c r="P664" s="379"/>
      <c r="Q664" s="379"/>
    </row>
    <row r="665" spans="1:17" ht="14.4">
      <c r="A665" s="366" t="s">
        <v>298</v>
      </c>
      <c r="B665" s="378">
        <f>+SUM(C665:Q665)</f>
        <v>25366.137367328029</v>
      </c>
      <c r="C665" s="367">
        <f>SUM(C660:C661)</f>
        <v>1396.1452845003573</v>
      </c>
      <c r="D665" s="367">
        <f>SUM(D660:D661)</f>
        <v>1433.5619781249666</v>
      </c>
      <c r="E665" s="367">
        <f t="shared" ref="E665:Q665" si="453">SUM(E660:E661)</f>
        <v>1471.9814391387158</v>
      </c>
      <c r="F665" s="367">
        <f t="shared" si="453"/>
        <v>1511.4305417076332</v>
      </c>
      <c r="G665" s="367">
        <f t="shared" si="453"/>
        <v>1551.9368802253975</v>
      </c>
      <c r="H665" s="367">
        <f t="shared" si="453"/>
        <v>1593.5287886154383</v>
      </c>
      <c r="I665" s="367">
        <f t="shared" si="453"/>
        <v>1636.2353601503319</v>
      </c>
      <c r="J665" s="367">
        <f t="shared" si="453"/>
        <v>1680.0864678023604</v>
      </c>
      <c r="K665" s="367">
        <f t="shared" si="453"/>
        <v>1725.1127851394635</v>
      </c>
      <c r="L665" s="367">
        <f t="shared" si="453"/>
        <v>1771.3458077812011</v>
      </c>
      <c r="M665" s="367">
        <f t="shared" si="453"/>
        <v>1818.8178754297373</v>
      </c>
      <c r="N665" s="367">
        <f t="shared" si="453"/>
        <v>1867.5621944912541</v>
      </c>
      <c r="O665" s="367">
        <f t="shared" si="453"/>
        <v>1917.6128613036199</v>
      </c>
      <c r="P665" s="367">
        <f t="shared" si="453"/>
        <v>1969.0048859865565</v>
      </c>
      <c r="Q665" s="367">
        <f t="shared" si="453"/>
        <v>2021.7742169309963</v>
      </c>
    </row>
    <row r="666" spans="1:17" ht="14.4">
      <c r="A666" s="370"/>
      <c r="B666" s="379"/>
      <c r="C666" s="379"/>
      <c r="D666" s="379"/>
      <c r="E666" s="379"/>
      <c r="F666" s="379"/>
      <c r="G666" s="379"/>
      <c r="H666" s="379"/>
      <c r="I666" s="379"/>
      <c r="J666" s="379"/>
      <c r="K666" s="379"/>
      <c r="L666" s="379"/>
      <c r="M666" s="379"/>
      <c r="N666" s="379"/>
      <c r="O666" s="379"/>
      <c r="P666" s="379"/>
      <c r="Q666" s="379"/>
    </row>
    <row r="667" spans="1:17" ht="14.4">
      <c r="A667" s="366" t="s">
        <v>299</v>
      </c>
      <c r="B667" s="378">
        <f t="shared" ref="B667:B668" si="454">+SUM(C667:Q667)</f>
        <v>43884.879418749995</v>
      </c>
      <c r="C667" s="367">
        <f>'WHRS_Project Scenario'!$C$8/'Initial Data'!$C$19</f>
        <v>4388.4879418749997</v>
      </c>
      <c r="D667" s="367">
        <f>'WHRS_Project Scenario'!$C$8/'Initial Data'!$C$19</f>
        <v>4388.4879418749997</v>
      </c>
      <c r="E667" s="367">
        <f>'WHRS_Project Scenario'!$C$8/'Initial Data'!$C$19</f>
        <v>4388.4879418749997</v>
      </c>
      <c r="F667" s="367">
        <f>'WHRS_Project Scenario'!$C$8/'Initial Data'!$C$19</f>
        <v>4388.4879418749997</v>
      </c>
      <c r="G667" s="367">
        <f>'WHRS_Project Scenario'!$C$8/'Initial Data'!$C$19</f>
        <v>4388.4879418749997</v>
      </c>
      <c r="H667" s="367">
        <f>'WHRS_Project Scenario'!$C$8/'Initial Data'!$C$19</f>
        <v>4388.4879418749997</v>
      </c>
      <c r="I667" s="367">
        <f>'WHRS_Project Scenario'!$C$8/'Initial Data'!$C$19</f>
        <v>4388.4879418749997</v>
      </c>
      <c r="J667" s="367">
        <f>'WHRS_Project Scenario'!$C$8/'Initial Data'!$C$19</f>
        <v>4388.4879418749997</v>
      </c>
      <c r="K667" s="367">
        <f>'WHRS_Project Scenario'!$C$8/'Initial Data'!$C$19</f>
        <v>4388.4879418749997</v>
      </c>
      <c r="L667" s="367">
        <f>'WHRS_Project Scenario'!$C$8/'Initial Data'!$C$19</f>
        <v>4388.4879418749997</v>
      </c>
      <c r="M667" s="367">
        <v>0</v>
      </c>
      <c r="N667" s="367">
        <v>0</v>
      </c>
      <c r="O667" s="367">
        <v>0</v>
      </c>
      <c r="P667" s="367">
        <v>0</v>
      </c>
      <c r="Q667" s="367">
        <v>0</v>
      </c>
    </row>
    <row r="668" spans="1:17" ht="14.4">
      <c r="A668" s="366" t="s">
        <v>300</v>
      </c>
      <c r="B668" s="378">
        <f t="shared" si="454"/>
        <v>43884.879418749995</v>
      </c>
      <c r="C668" s="367">
        <f>SUM(C667:C667)</f>
        <v>4388.4879418749997</v>
      </c>
      <c r="D668" s="367">
        <f t="shared" ref="D668:Q668" si="455">SUM(D667:D667)</f>
        <v>4388.4879418749997</v>
      </c>
      <c r="E668" s="367">
        <f t="shared" si="455"/>
        <v>4388.4879418749997</v>
      </c>
      <c r="F668" s="367">
        <f t="shared" si="455"/>
        <v>4388.4879418749997</v>
      </c>
      <c r="G668" s="367">
        <f t="shared" si="455"/>
        <v>4388.4879418749997</v>
      </c>
      <c r="H668" s="367">
        <f t="shared" si="455"/>
        <v>4388.4879418749997</v>
      </c>
      <c r="I668" s="367">
        <f t="shared" si="455"/>
        <v>4388.4879418749997</v>
      </c>
      <c r="J668" s="367">
        <f t="shared" si="455"/>
        <v>4388.4879418749997</v>
      </c>
      <c r="K668" s="367">
        <f t="shared" si="455"/>
        <v>4388.4879418749997</v>
      </c>
      <c r="L668" s="367">
        <f t="shared" si="455"/>
        <v>4388.4879418749997</v>
      </c>
      <c r="M668" s="367">
        <f t="shared" si="455"/>
        <v>0</v>
      </c>
      <c r="N668" s="367">
        <f t="shared" si="455"/>
        <v>0</v>
      </c>
      <c r="O668" s="367">
        <f t="shared" si="455"/>
        <v>0</v>
      </c>
      <c r="P668" s="367">
        <f t="shared" si="455"/>
        <v>0</v>
      </c>
      <c r="Q668" s="367">
        <f t="shared" si="455"/>
        <v>0</v>
      </c>
    </row>
    <row r="669" spans="1:17" ht="14.4">
      <c r="A669" s="370"/>
      <c r="B669" s="379"/>
      <c r="C669" s="379"/>
      <c r="D669" s="379"/>
      <c r="E669" s="379"/>
      <c r="F669" s="379"/>
      <c r="G669" s="379"/>
      <c r="H669" s="379"/>
      <c r="I669" s="379"/>
      <c r="J669" s="379"/>
      <c r="K669" s="379"/>
      <c r="L669" s="379"/>
      <c r="M669" s="379"/>
      <c r="N669" s="379"/>
      <c r="O669" s="379"/>
      <c r="P669" s="379"/>
      <c r="Q669" s="379"/>
    </row>
    <row r="670" spans="1:17" ht="14.4">
      <c r="A670" s="366" t="s">
        <v>301</v>
      </c>
      <c r="B670" s="378">
        <f>+SUM(C670:Q670)</f>
        <v>69251.016786078035</v>
      </c>
      <c r="C670" s="367">
        <f>+C665+C668</f>
        <v>5784.6332263753575</v>
      </c>
      <c r="D670" s="367">
        <f>+D665+D668</f>
        <v>5822.0499199999667</v>
      </c>
      <c r="E670" s="367">
        <f t="shared" ref="E670:Q670" si="456">+E665+E668</f>
        <v>5860.469381013716</v>
      </c>
      <c r="F670" s="367">
        <f t="shared" si="456"/>
        <v>5899.9184835826327</v>
      </c>
      <c r="G670" s="367">
        <f t="shared" si="456"/>
        <v>5940.4248221003973</v>
      </c>
      <c r="H670" s="367">
        <f t="shared" si="456"/>
        <v>5982.016730490438</v>
      </c>
      <c r="I670" s="367">
        <f t="shared" si="456"/>
        <v>6024.7233020253316</v>
      </c>
      <c r="J670" s="367">
        <f t="shared" si="456"/>
        <v>6068.5744096773597</v>
      </c>
      <c r="K670" s="367">
        <f t="shared" si="456"/>
        <v>6113.6007270144637</v>
      </c>
      <c r="L670" s="367">
        <f t="shared" si="456"/>
        <v>6159.8337496562008</v>
      </c>
      <c r="M670" s="367">
        <f t="shared" si="456"/>
        <v>1818.8178754297373</v>
      </c>
      <c r="N670" s="367">
        <f t="shared" si="456"/>
        <v>1867.5621944912541</v>
      </c>
      <c r="O670" s="367">
        <f t="shared" si="456"/>
        <v>1917.6128613036199</v>
      </c>
      <c r="P670" s="367">
        <f t="shared" si="456"/>
        <v>1969.0048859865565</v>
      </c>
      <c r="Q670" s="367">
        <f t="shared" si="456"/>
        <v>2021.7742169309963</v>
      </c>
    </row>
    <row r="671" spans="1:17" ht="14.4">
      <c r="A671" s="370"/>
      <c r="B671" s="379"/>
      <c r="C671" s="379"/>
      <c r="D671" s="379"/>
      <c r="E671" s="379"/>
      <c r="F671" s="379"/>
      <c r="G671" s="379"/>
      <c r="H671" s="379"/>
      <c r="I671" s="379"/>
      <c r="J671" s="379"/>
      <c r="K671" s="379"/>
      <c r="L671" s="379"/>
      <c r="M671" s="379"/>
      <c r="N671" s="379"/>
      <c r="O671" s="379"/>
      <c r="P671" s="379"/>
      <c r="Q671" s="379"/>
    </row>
    <row r="672" spans="1:17" ht="14.4">
      <c r="A672" s="364" t="s">
        <v>302</v>
      </c>
      <c r="B672" s="378">
        <f>+SUM(C672:Q672)</f>
        <v>1514369.5453270983</v>
      </c>
      <c r="C672" s="367">
        <f>+C657-C670</f>
        <v>81377.410730694435</v>
      </c>
      <c r="D672" s="367">
        <f>+D657-D670</f>
        <v>83675.936815119305</v>
      </c>
      <c r="E672" s="367">
        <f t="shared" ref="E672:Q672" si="457">+E657-E670</f>
        <v>86036.063398606741</v>
      </c>
      <c r="F672" s="367">
        <f t="shared" si="457"/>
        <v>88459.441374531641</v>
      </c>
      <c r="G672" s="367">
        <f t="shared" si="457"/>
        <v>90947.765880211329</v>
      </c>
      <c r="H672" s="367">
        <f t="shared" si="457"/>
        <v>93502.777482643258</v>
      </c>
      <c r="I672" s="367">
        <f t="shared" si="457"/>
        <v>96126.263396020338</v>
      </c>
      <c r="J672" s="367">
        <f t="shared" si="457"/>
        <v>98820.058731875906</v>
      </c>
      <c r="K672" s="367">
        <f t="shared" si="457"/>
        <v>101586.04778273244</v>
      </c>
      <c r="L672" s="367">
        <f t="shared" si="457"/>
        <v>104426.1653401519</v>
      </c>
      <c r="M672" s="367">
        <f t="shared" si="457"/>
        <v>111730.88598998521</v>
      </c>
      <c r="N672" s="367">
        <f t="shared" si="457"/>
        <v>114725.2737345168</v>
      </c>
      <c r="O672" s="367">
        <f t="shared" si="457"/>
        <v>117799.91107060184</v>
      </c>
      <c r="P672" s="367">
        <f t="shared" si="457"/>
        <v>120956.94868729397</v>
      </c>
      <c r="Q672" s="367">
        <f t="shared" si="457"/>
        <v>124198.59491211342</v>
      </c>
    </row>
    <row r="673" spans="1:17" ht="14.4">
      <c r="A673" s="364"/>
    </row>
    <row r="674" spans="1:17" ht="14.4">
      <c r="A674" s="364" t="s">
        <v>222</v>
      </c>
      <c r="B674" s="380">
        <f>+'WHRS_Project Scenario'!C39</f>
        <v>0.7</v>
      </c>
      <c r="C674" s="367">
        <f>IF((+$B$674*C672)&lt;0,"0",(+$B$674*C672))</f>
        <v>56964.187511486103</v>
      </c>
      <c r="D674" s="367">
        <f t="shared" ref="D674:Q674" si="458">IF((+$B$674*D672)&lt;0,"0",(+$B$674*D672))</f>
        <v>58573.155770583508</v>
      </c>
      <c r="E674" s="367">
        <f t="shared" si="458"/>
        <v>60225.244379024713</v>
      </c>
      <c r="F674" s="367">
        <f t="shared" si="458"/>
        <v>61921.608962172148</v>
      </c>
      <c r="G674" s="367">
        <f t="shared" si="458"/>
        <v>63663.436116147925</v>
      </c>
      <c r="H674" s="367">
        <f t="shared" si="458"/>
        <v>65451.944237850279</v>
      </c>
      <c r="I674" s="367">
        <f t="shared" si="458"/>
        <v>67288.384377214228</v>
      </c>
      <c r="J674" s="367">
        <f t="shared" si="458"/>
        <v>69174.041112313134</v>
      </c>
      <c r="K674" s="367">
        <f t="shared" si="458"/>
        <v>71110.233447912702</v>
      </c>
      <c r="L674" s="367">
        <f t="shared" si="458"/>
        <v>73098.315738106321</v>
      </c>
      <c r="M674" s="367">
        <f t="shared" si="458"/>
        <v>78211.620192989649</v>
      </c>
      <c r="N674" s="367">
        <f t="shared" si="458"/>
        <v>80307.691614161755</v>
      </c>
      <c r="O674" s="367">
        <f t="shared" si="458"/>
        <v>82459.937749421282</v>
      </c>
      <c r="P674" s="367">
        <f t="shared" si="458"/>
        <v>84669.86408110577</v>
      </c>
      <c r="Q674" s="367">
        <f t="shared" si="458"/>
        <v>86939.01643847939</v>
      </c>
    </row>
    <row r="675" spans="1:17" ht="14.4">
      <c r="A675" s="364" t="s">
        <v>303</v>
      </c>
      <c r="B675" s="378">
        <f>+SUM(C675:Q675)</f>
        <v>1060058.6817289689</v>
      </c>
      <c r="C675" s="367">
        <f>SUM(C674:C674)</f>
        <v>56964.187511486103</v>
      </c>
      <c r="D675" s="367">
        <f t="shared" ref="D675:Q675" si="459">SUM(D674:D674)</f>
        <v>58573.155770583508</v>
      </c>
      <c r="E675" s="367">
        <f t="shared" si="459"/>
        <v>60225.244379024713</v>
      </c>
      <c r="F675" s="367">
        <f t="shared" si="459"/>
        <v>61921.608962172148</v>
      </c>
      <c r="G675" s="367">
        <f t="shared" si="459"/>
        <v>63663.436116147925</v>
      </c>
      <c r="H675" s="367">
        <f t="shared" si="459"/>
        <v>65451.944237850279</v>
      </c>
      <c r="I675" s="367">
        <f t="shared" si="459"/>
        <v>67288.384377214228</v>
      </c>
      <c r="J675" s="367">
        <f t="shared" si="459"/>
        <v>69174.041112313134</v>
      </c>
      <c r="K675" s="367">
        <f t="shared" si="459"/>
        <v>71110.233447912702</v>
      </c>
      <c r="L675" s="367">
        <f t="shared" si="459"/>
        <v>73098.315738106321</v>
      </c>
      <c r="M675" s="367">
        <f t="shared" si="459"/>
        <v>78211.620192989649</v>
      </c>
      <c r="N675" s="367">
        <f t="shared" si="459"/>
        <v>80307.691614161755</v>
      </c>
      <c r="O675" s="367">
        <f t="shared" si="459"/>
        <v>82459.937749421282</v>
      </c>
      <c r="P675" s="367">
        <f t="shared" si="459"/>
        <v>84669.86408110577</v>
      </c>
      <c r="Q675" s="367">
        <f t="shared" si="459"/>
        <v>86939.01643847939</v>
      </c>
    </row>
    <row r="676" spans="1:17" ht="14.4">
      <c r="A676" s="369"/>
    </row>
    <row r="677" spans="1:17" ht="14.4">
      <c r="A677" s="364" t="s">
        <v>304</v>
      </c>
      <c r="B677" s="378">
        <f t="shared" ref="B677:B679" si="460">+SUM(C677:Q677)</f>
        <v>454310.86359812965</v>
      </c>
      <c r="C677" s="367">
        <f>C672-C675</f>
        <v>24413.223219208332</v>
      </c>
      <c r="D677" s="367">
        <f t="shared" ref="D677:Q677" si="461">D672-D675</f>
        <v>25102.781044535797</v>
      </c>
      <c r="E677" s="367">
        <f t="shared" si="461"/>
        <v>25810.819019582028</v>
      </c>
      <c r="F677" s="367">
        <f t="shared" si="461"/>
        <v>26537.832412359494</v>
      </c>
      <c r="G677" s="367">
        <f t="shared" si="461"/>
        <v>27284.329764063405</v>
      </c>
      <c r="H677" s="367">
        <f t="shared" si="461"/>
        <v>28050.833244792979</v>
      </c>
      <c r="I677" s="367">
        <f t="shared" si="461"/>
        <v>28837.87901880611</v>
      </c>
      <c r="J677" s="367">
        <f t="shared" si="461"/>
        <v>29646.017619562772</v>
      </c>
      <c r="K677" s="367">
        <f t="shared" si="461"/>
        <v>30475.814334819734</v>
      </c>
      <c r="L677" s="367">
        <f t="shared" si="461"/>
        <v>31327.849602045579</v>
      </c>
      <c r="M677" s="367">
        <f t="shared" si="461"/>
        <v>33519.265796995562</v>
      </c>
      <c r="N677" s="367">
        <f t="shared" si="461"/>
        <v>34417.582120355044</v>
      </c>
      <c r="O677" s="367">
        <f t="shared" si="461"/>
        <v>35339.973321180558</v>
      </c>
      <c r="P677" s="367">
        <f t="shared" si="461"/>
        <v>36287.084606188204</v>
      </c>
      <c r="Q677" s="367">
        <f t="shared" si="461"/>
        <v>37259.578473634028</v>
      </c>
    </row>
    <row r="678" spans="1:17" ht="14.4">
      <c r="A678" s="364" t="s">
        <v>305</v>
      </c>
      <c r="B678" s="378">
        <f t="shared" si="460"/>
        <v>43884.879418749995</v>
      </c>
      <c r="C678" s="367">
        <f>+C667</f>
        <v>4388.4879418749997</v>
      </c>
      <c r="D678" s="367">
        <f t="shared" ref="D678:Q678" si="462">+D667</f>
        <v>4388.4879418749997</v>
      </c>
      <c r="E678" s="367">
        <f t="shared" si="462"/>
        <v>4388.4879418749997</v>
      </c>
      <c r="F678" s="367">
        <f t="shared" si="462"/>
        <v>4388.4879418749997</v>
      </c>
      <c r="G678" s="367">
        <f t="shared" si="462"/>
        <v>4388.4879418749997</v>
      </c>
      <c r="H678" s="367">
        <f t="shared" si="462"/>
        <v>4388.4879418749997</v>
      </c>
      <c r="I678" s="367">
        <f t="shared" si="462"/>
        <v>4388.4879418749997</v>
      </c>
      <c r="J678" s="367">
        <f t="shared" si="462"/>
        <v>4388.4879418749997</v>
      </c>
      <c r="K678" s="367">
        <f t="shared" si="462"/>
        <v>4388.4879418749997</v>
      </c>
      <c r="L678" s="367">
        <f t="shared" si="462"/>
        <v>4388.4879418749997</v>
      </c>
      <c r="M678" s="367">
        <f t="shared" si="462"/>
        <v>0</v>
      </c>
      <c r="N678" s="367">
        <f t="shared" si="462"/>
        <v>0</v>
      </c>
      <c r="O678" s="367">
        <f t="shared" si="462"/>
        <v>0</v>
      </c>
      <c r="P678" s="367">
        <f t="shared" si="462"/>
        <v>0</v>
      </c>
      <c r="Q678" s="367">
        <f t="shared" si="462"/>
        <v>0</v>
      </c>
    </row>
    <row r="679" spans="1:17" ht="14.4">
      <c r="A679" s="364" t="s">
        <v>306</v>
      </c>
      <c r="B679" s="378">
        <f t="shared" si="460"/>
        <v>0</v>
      </c>
      <c r="C679" s="367">
        <f>+'WHRS_Project Scenario'!D652</f>
        <v>0</v>
      </c>
      <c r="D679" s="367">
        <f>+'WHRS_Project Scenario'!E652</f>
        <v>0</v>
      </c>
      <c r="E679" s="367">
        <f>+'WHRS_Project Scenario'!F652</f>
        <v>0</v>
      </c>
      <c r="F679" s="367">
        <f>+'WHRS_Project Scenario'!G652</f>
        <v>0</v>
      </c>
      <c r="G679" s="367">
        <f>+'WHRS_Project Scenario'!H652</f>
        <v>0</v>
      </c>
      <c r="H679" s="367">
        <f>+'WHRS_Project Scenario'!I652</f>
        <v>0</v>
      </c>
      <c r="I679" s="367">
        <f>+'WHRS_Project Scenario'!J652</f>
        <v>0</v>
      </c>
      <c r="J679" s="367">
        <f>+'WHRS_Project Scenario'!K652</f>
        <v>0</v>
      </c>
      <c r="K679" s="367">
        <f>+'WHRS_Project Scenario'!L652</f>
        <v>0</v>
      </c>
      <c r="L679" s="367">
        <f>+'WHRS_Project Scenario'!M652</f>
        <v>0</v>
      </c>
      <c r="M679" s="367">
        <f>+'WHRS_Project Scenario'!N652</f>
        <v>0</v>
      </c>
      <c r="N679" s="367">
        <f>+'WHRS_Project Scenario'!O652</f>
        <v>0</v>
      </c>
      <c r="O679" s="367">
        <f>+'WHRS_Project Scenario'!P652</f>
        <v>0</v>
      </c>
      <c r="P679" s="367">
        <f>+'WHRS_Project Scenario'!Q652</f>
        <v>0</v>
      </c>
      <c r="Q679" s="367">
        <f>+'WHRS_Project Scenario'!R652</f>
        <v>0</v>
      </c>
    </row>
    <row r="680" spans="1:17" ht="14.4">
      <c r="A680" s="364"/>
    </row>
    <row r="681" spans="1:17" ht="14.4">
      <c r="A681" s="364" t="s">
        <v>110</v>
      </c>
      <c r="B681" s="378">
        <f>-'WHRS_Project Scenario'!C8</f>
        <v>-43884.879418749995</v>
      </c>
      <c r="C681" s="367">
        <f>C677+C678+C679</f>
        <v>28801.711161083331</v>
      </c>
      <c r="D681" s="367">
        <f t="shared" ref="D681:Q681" si="463">D677+D678+D679</f>
        <v>29491.268986410796</v>
      </c>
      <c r="E681" s="367">
        <f t="shared" si="463"/>
        <v>30199.306961457027</v>
      </c>
      <c r="F681" s="367">
        <f t="shared" si="463"/>
        <v>30926.320354234493</v>
      </c>
      <c r="G681" s="367">
        <f t="shared" si="463"/>
        <v>31672.817705938403</v>
      </c>
      <c r="H681" s="367">
        <f t="shared" si="463"/>
        <v>32439.321186667978</v>
      </c>
      <c r="I681" s="367">
        <f t="shared" si="463"/>
        <v>33226.366960681109</v>
      </c>
      <c r="J681" s="367">
        <f t="shared" si="463"/>
        <v>34034.505561437771</v>
      </c>
      <c r="K681" s="367">
        <f t="shared" si="463"/>
        <v>34864.302276694732</v>
      </c>
      <c r="L681" s="367">
        <f t="shared" si="463"/>
        <v>35716.337543920577</v>
      </c>
      <c r="M681" s="367">
        <f t="shared" si="463"/>
        <v>33519.265796995562</v>
      </c>
      <c r="N681" s="367">
        <f t="shared" si="463"/>
        <v>34417.582120355044</v>
      </c>
      <c r="O681" s="367">
        <f t="shared" si="463"/>
        <v>35339.973321180558</v>
      </c>
      <c r="P681" s="367">
        <f t="shared" si="463"/>
        <v>36287.084606188204</v>
      </c>
      <c r="Q681" s="367">
        <f t="shared" si="463"/>
        <v>37259.578473634028</v>
      </c>
    </row>
    <row r="682" spans="1:17" ht="15.6">
      <c r="A682" s="364" t="s">
        <v>51</v>
      </c>
      <c r="B682" s="132">
        <f>IRR(B681:Q681)</f>
        <v>0.6795996748989418</v>
      </c>
    </row>
    <row r="683" spans="1:17" ht="15.6">
      <c r="A683" s="364" t="s">
        <v>267</v>
      </c>
      <c r="B683" s="303">
        <f>NPV('Initial Data'!C21/100,B681:Q681)</f>
        <v>155845.41137201482</v>
      </c>
    </row>
    <row r="685" spans="1:17" ht="14.4">
      <c r="A685" s="508" t="s">
        <v>324</v>
      </c>
      <c r="B685" s="509"/>
      <c r="C685" s="509"/>
      <c r="D685" s="509"/>
      <c r="E685" s="509"/>
      <c r="F685" s="509"/>
      <c r="G685" s="509"/>
      <c r="H685" s="509"/>
      <c r="I685" s="509"/>
      <c r="J685" s="509"/>
      <c r="K685" s="509"/>
      <c r="L685" s="509"/>
      <c r="M685" s="509"/>
      <c r="N685" s="509"/>
      <c r="O685" s="509"/>
      <c r="P685" s="509"/>
      <c r="Q685" s="509"/>
    </row>
    <row r="686" spans="1:17" ht="14.4">
      <c r="A686" s="371" t="s">
        <v>326</v>
      </c>
      <c r="B686" s="372"/>
      <c r="C686" s="372"/>
      <c r="D686" s="372"/>
      <c r="E686" s="372"/>
      <c r="F686" s="372"/>
      <c r="G686" s="372"/>
      <c r="H686" s="372"/>
      <c r="I686" s="372"/>
      <c r="J686" s="372"/>
      <c r="K686" s="372"/>
      <c r="L686" s="372"/>
      <c r="M686" s="372"/>
      <c r="N686" s="372"/>
      <c r="O686" s="372"/>
      <c r="P686" s="372"/>
      <c r="Q686" s="372"/>
    </row>
    <row r="687" spans="1:17" ht="27">
      <c r="A687" s="376"/>
      <c r="B687" s="304" t="s">
        <v>35</v>
      </c>
      <c r="C687" s="352" t="s">
        <v>407</v>
      </c>
      <c r="D687" s="352" t="s">
        <v>408</v>
      </c>
      <c r="E687" s="352" t="s">
        <v>409</v>
      </c>
      <c r="F687" s="352" t="s">
        <v>410</v>
      </c>
      <c r="G687" s="352" t="s">
        <v>411</v>
      </c>
      <c r="H687" s="352" t="s">
        <v>412</v>
      </c>
      <c r="I687" s="352" t="s">
        <v>413</v>
      </c>
      <c r="J687" s="352" t="s">
        <v>414</v>
      </c>
      <c r="K687" s="352" t="s">
        <v>415</v>
      </c>
      <c r="L687" s="352" t="s">
        <v>416</v>
      </c>
      <c r="M687" s="352" t="s">
        <v>417</v>
      </c>
      <c r="N687" s="352" t="s">
        <v>418</v>
      </c>
      <c r="O687" s="352" t="s">
        <v>419</v>
      </c>
      <c r="P687" s="352" t="s">
        <v>420</v>
      </c>
      <c r="Q687" s="352" t="s">
        <v>421</v>
      </c>
    </row>
    <row r="688" spans="1:17" ht="14.4">
      <c r="A688" s="363" t="s">
        <v>290</v>
      </c>
      <c r="B688" s="365"/>
      <c r="C688" s="381">
        <f>+'WHRS_Project Scenario'!D15*(1+$C$6)</f>
        <v>204454.17718325011</v>
      </c>
      <c r="D688" s="381">
        <f>+'WHRS_Project Scenario'!E15*(1+$C$6)</f>
        <v>204454.17718325011</v>
      </c>
      <c r="E688" s="381">
        <f>+'WHRS_Project Scenario'!F15*(1+$C$6)</f>
        <v>204454.17718325011</v>
      </c>
      <c r="F688" s="381">
        <f>+'WHRS_Project Scenario'!G15*(1+$C$6)</f>
        <v>204454.17718325011</v>
      </c>
      <c r="G688" s="381">
        <f>+'WHRS_Project Scenario'!H15*(1+$C$6)</f>
        <v>204454.17718325011</v>
      </c>
      <c r="H688" s="381">
        <f>+'WHRS_Project Scenario'!I15*(1+$C$6)</f>
        <v>204454.17718325011</v>
      </c>
      <c r="I688" s="381">
        <f>+'WHRS_Project Scenario'!J15*(1+$C$6)</f>
        <v>204454.17718325011</v>
      </c>
      <c r="J688" s="381">
        <f>+'WHRS_Project Scenario'!K15*(1+$C$6)</f>
        <v>204454.17718325011</v>
      </c>
      <c r="K688" s="381">
        <f>+'WHRS_Project Scenario'!L15*(1+$C$6)</f>
        <v>204454.17718325011</v>
      </c>
      <c r="L688" s="381">
        <f>+'WHRS_Project Scenario'!M15*(1+$C$6)</f>
        <v>204454.17718325011</v>
      </c>
      <c r="M688" s="381">
        <f>+'WHRS_Project Scenario'!N15*(1+$C$6)</f>
        <v>204454.17718325011</v>
      </c>
      <c r="N688" s="381">
        <f>+'WHRS_Project Scenario'!O15*(1+$C$6)</f>
        <v>204454.17718325011</v>
      </c>
      <c r="O688" s="381">
        <f>+'WHRS_Project Scenario'!P15*(1+$C$6)</f>
        <v>204454.17718325011</v>
      </c>
      <c r="P688" s="381">
        <f>+'WHRS_Project Scenario'!Q15*(1+$C$6)</f>
        <v>204454.17718325011</v>
      </c>
      <c r="Q688" s="381">
        <f>+'WHRS_Project Scenario'!R15*(1+$C$6)</f>
        <v>204454.17718325011</v>
      </c>
    </row>
    <row r="689" spans="1:17" ht="14.4">
      <c r="A689" s="364" t="s">
        <v>291</v>
      </c>
      <c r="B689" s="365"/>
      <c r="C689" s="377">
        <f>+'WHRS_Project Scenario'!D16</f>
        <v>70</v>
      </c>
      <c r="D689" s="377">
        <f>+'WHRS_Project Scenario'!E16</f>
        <v>70</v>
      </c>
      <c r="E689" s="377">
        <f>+'WHRS_Project Scenario'!F16</f>
        <v>70</v>
      </c>
      <c r="F689" s="377">
        <f>+'WHRS_Project Scenario'!G16</f>
        <v>70</v>
      </c>
      <c r="G689" s="377">
        <f>+'WHRS_Project Scenario'!H16</f>
        <v>70</v>
      </c>
      <c r="H689" s="377">
        <f>+'WHRS_Project Scenario'!I16</f>
        <v>70</v>
      </c>
      <c r="I689" s="377">
        <f>+'WHRS_Project Scenario'!J16</f>
        <v>70</v>
      </c>
      <c r="J689" s="377">
        <f>+'WHRS_Project Scenario'!K16</f>
        <v>70</v>
      </c>
      <c r="K689" s="377">
        <f>+'WHRS_Project Scenario'!L16</f>
        <v>70</v>
      </c>
      <c r="L689" s="377">
        <f>+'WHRS_Project Scenario'!M16</f>
        <v>70</v>
      </c>
      <c r="M689" s="377">
        <f>+'WHRS_Project Scenario'!N16</f>
        <v>70</v>
      </c>
      <c r="N689" s="377">
        <f>+'WHRS_Project Scenario'!O16</f>
        <v>70</v>
      </c>
      <c r="O689" s="377">
        <f>+'WHRS_Project Scenario'!P16</f>
        <v>70</v>
      </c>
      <c r="P689" s="377">
        <f>+'WHRS_Project Scenario'!Q16</f>
        <v>70</v>
      </c>
      <c r="Q689" s="377">
        <f>+'WHRS_Project Scenario'!R16</f>
        <v>70</v>
      </c>
    </row>
    <row r="690" spans="1:17" ht="14.4">
      <c r="A690" s="366" t="s">
        <v>292</v>
      </c>
      <c r="B690" s="365"/>
      <c r="C690" s="385">
        <f>+'WHRS_Project Scenario'!D17</f>
        <v>6.4285714285714288</v>
      </c>
      <c r="D690" s="385">
        <f>+'WHRS_Project Scenario'!E17</f>
        <v>6.6008571428571425</v>
      </c>
      <c r="E690" s="385">
        <f>+'WHRS_Project Scenario'!F17</f>
        <v>6.7777601142857131</v>
      </c>
      <c r="F690" s="385">
        <f>+'WHRS_Project Scenario'!G17</f>
        <v>6.9594040853485701</v>
      </c>
      <c r="G690" s="385">
        <f>+'WHRS_Project Scenario'!H17</f>
        <v>7.1459161148359112</v>
      </c>
      <c r="H690" s="385">
        <f>+'WHRS_Project Scenario'!I17</f>
        <v>7.3374266667135135</v>
      </c>
      <c r="I690" s="385">
        <f>+'WHRS_Project Scenario'!J17</f>
        <v>7.5340697013814353</v>
      </c>
      <c r="J690" s="385">
        <f>+'WHRS_Project Scenario'!K17</f>
        <v>7.7359827693784569</v>
      </c>
      <c r="K690" s="385">
        <f>+'WHRS_Project Scenario'!L17</f>
        <v>7.943307107597799</v>
      </c>
      <c r="L690" s="385">
        <f>+'WHRS_Project Scenario'!M17</f>
        <v>8.1561877380814192</v>
      </c>
      <c r="M690" s="385">
        <f>+'WHRS_Project Scenario'!N17</f>
        <v>8.3747735694620005</v>
      </c>
      <c r="N690" s="385">
        <f>+'WHRS_Project Scenario'!O17</f>
        <v>8.5992175011235812</v>
      </c>
      <c r="O690" s="385">
        <f>+'WHRS_Project Scenario'!P17</f>
        <v>8.8296765301536926</v>
      </c>
      <c r="P690" s="385">
        <f>+'WHRS_Project Scenario'!Q17</f>
        <v>9.066311861161811</v>
      </c>
      <c r="Q690" s="385">
        <f>+'WHRS_Project Scenario'!R17</f>
        <v>9.3092890190409463</v>
      </c>
    </row>
    <row r="691" spans="1:17" ht="14.4">
      <c r="A691" s="366" t="s">
        <v>293</v>
      </c>
      <c r="B691" s="365"/>
      <c r="C691" s="377">
        <f>+C689*C690</f>
        <v>450</v>
      </c>
      <c r="D691" s="377">
        <f t="shared" ref="D691" si="464">+D689*D690</f>
        <v>462.06</v>
      </c>
      <c r="E691" s="377">
        <f t="shared" ref="E691" si="465">+E689*E690</f>
        <v>474.44320799999991</v>
      </c>
      <c r="F691" s="377">
        <f t="shared" ref="F691" si="466">+F689*F690</f>
        <v>487.15828597439992</v>
      </c>
      <c r="G691" s="377">
        <f t="shared" ref="G691" si="467">+G689*G690</f>
        <v>500.21412803851376</v>
      </c>
      <c r="H691" s="377">
        <f t="shared" ref="H691" si="468">+H689*H690</f>
        <v>513.61986666994596</v>
      </c>
      <c r="I691" s="377">
        <f t="shared" ref="I691" si="469">+I689*I690</f>
        <v>527.3848790967005</v>
      </c>
      <c r="J691" s="377">
        <f t="shared" ref="J691" si="470">+J689*J690</f>
        <v>541.51879385649192</v>
      </c>
      <c r="K691" s="377">
        <f t="shared" ref="K691" si="471">+K689*K690</f>
        <v>556.03149753184596</v>
      </c>
      <c r="L691" s="377">
        <f t="shared" ref="L691" si="472">+L689*L690</f>
        <v>570.9331416656994</v>
      </c>
      <c r="M691" s="377">
        <f t="shared" ref="M691" si="473">+M689*M690</f>
        <v>586.23414986234002</v>
      </c>
      <c r="N691" s="377">
        <f t="shared" ref="N691" si="474">+N689*N690</f>
        <v>601.94522507865065</v>
      </c>
      <c r="O691" s="377">
        <f t="shared" ref="O691" si="475">+O689*O690</f>
        <v>618.0773571107585</v>
      </c>
      <c r="P691" s="377">
        <f t="shared" ref="P691" si="476">+P689*P690</f>
        <v>634.64183028132675</v>
      </c>
      <c r="Q691" s="377">
        <f t="shared" ref="Q691" si="477">+Q689*Q690</f>
        <v>651.65023133286627</v>
      </c>
    </row>
    <row r="692" spans="1:17" ht="14.4">
      <c r="A692" s="370"/>
      <c r="B692" s="373"/>
      <c r="C692" s="373"/>
      <c r="D692" s="373"/>
      <c r="E692" s="373"/>
      <c r="F692" s="373"/>
      <c r="G692" s="373"/>
      <c r="H692" s="373"/>
      <c r="I692" s="373"/>
      <c r="J692" s="373"/>
      <c r="K692" s="373"/>
      <c r="L692" s="373"/>
      <c r="M692" s="373"/>
      <c r="N692" s="373"/>
      <c r="O692" s="373"/>
      <c r="P692" s="373"/>
      <c r="Q692" s="373"/>
    </row>
    <row r="693" spans="1:17" ht="14.4">
      <c r="A693" s="366" t="s">
        <v>294</v>
      </c>
      <c r="B693" s="377">
        <f>+SUM(C693:Q693)</f>
        <v>1671599.4822305748</v>
      </c>
      <c r="C693" s="377">
        <f>C688*C691/1000*'Initial Data'!$C$34/'Initial Data'!$C$33</f>
        <v>92004.379732462548</v>
      </c>
      <c r="D693" s="377">
        <f>D688*D691/1000*'Initial Data'!$C$34/'Initial Data'!$C$33</f>
        <v>94470.097109292547</v>
      </c>
      <c r="E693" s="377">
        <f>E688*E691/1000*'Initial Data'!$C$34/'Initial Data'!$C$33</f>
        <v>97001.895711821577</v>
      </c>
      <c r="F693" s="377">
        <f>F688*F691/1000*'Initial Data'!$C$34/'Initial Data'!$C$33</f>
        <v>99601.546516898394</v>
      </c>
      <c r="G693" s="377">
        <f>G688*G691/1000*'Initial Data'!$C$34/'Initial Data'!$C$33</f>
        <v>102270.86796355125</v>
      </c>
      <c r="H693" s="377">
        <f>H688*H691/1000*'Initial Data'!$C$34/'Initial Data'!$C$33</f>
        <v>105011.72722497443</v>
      </c>
      <c r="I693" s="377">
        <f>I688*I691/1000*'Initial Data'!$C$34/'Initial Data'!$C$33</f>
        <v>107826.04151460376</v>
      </c>
      <c r="J693" s="377">
        <f>J688*J691/1000*'Initial Data'!$C$34/'Initial Data'!$C$33</f>
        <v>110715.77942719508</v>
      </c>
      <c r="K693" s="377">
        <f>K688*K691/1000*'Initial Data'!$C$34/'Initial Data'!$C$33</f>
        <v>113682.96231584392</v>
      </c>
      <c r="L693" s="377">
        <f>L688*L691/1000*'Initial Data'!$C$34/'Initial Data'!$C$33</f>
        <v>116729.66570590854</v>
      </c>
      <c r="M693" s="377">
        <f>M688*M691/1000*'Initial Data'!$C$34/'Initial Data'!$C$33</f>
        <v>119858.02074682686</v>
      </c>
      <c r="N693" s="377">
        <f>N688*N691/1000*'Initial Data'!$C$34/'Initial Data'!$C$33</f>
        <v>123070.21570284179</v>
      </c>
      <c r="O693" s="377">
        <f>O688*O691/1000*'Initial Data'!$C$34/'Initial Data'!$C$33</f>
        <v>126368.49748367797</v>
      </c>
      <c r="P693" s="377">
        <f>P688*P691/1000*'Initial Data'!$C$34/'Initial Data'!$C$33</f>
        <v>129755.17321624054</v>
      </c>
      <c r="Q693" s="377">
        <f>Q688*Q691/1000*'Initial Data'!$C$34/'Initial Data'!$C$33</f>
        <v>133232.61185843576</v>
      </c>
    </row>
    <row r="694" spans="1:17" ht="14.4">
      <c r="A694" s="370"/>
      <c r="B694" s="373"/>
      <c r="C694" s="373"/>
      <c r="D694" s="373"/>
      <c r="E694" s="373"/>
      <c r="F694" s="373"/>
      <c r="G694" s="373"/>
      <c r="H694" s="373"/>
      <c r="I694" s="373"/>
      <c r="J694" s="373"/>
      <c r="K694" s="373"/>
      <c r="L694" s="373"/>
      <c r="M694" s="373"/>
      <c r="N694" s="373"/>
      <c r="O694" s="373"/>
      <c r="P694" s="373"/>
      <c r="Q694" s="373"/>
    </row>
    <row r="695" spans="1:17" ht="14.4">
      <c r="A695" s="366" t="s">
        <v>295</v>
      </c>
      <c r="B695" s="377">
        <f>+SUM(C695:Q695)</f>
        <v>1671599.4822305748</v>
      </c>
      <c r="C695" s="377">
        <f>+C693</f>
        <v>92004.379732462548</v>
      </c>
      <c r="D695" s="377">
        <f t="shared" ref="D695:Q695" si="478">+D693</f>
        <v>94470.097109292547</v>
      </c>
      <c r="E695" s="377">
        <f t="shared" si="478"/>
        <v>97001.895711821577</v>
      </c>
      <c r="F695" s="377">
        <f t="shared" si="478"/>
        <v>99601.546516898394</v>
      </c>
      <c r="G695" s="377">
        <f t="shared" si="478"/>
        <v>102270.86796355125</v>
      </c>
      <c r="H695" s="377">
        <f t="shared" si="478"/>
        <v>105011.72722497443</v>
      </c>
      <c r="I695" s="377">
        <f t="shared" si="478"/>
        <v>107826.04151460376</v>
      </c>
      <c r="J695" s="377">
        <f t="shared" si="478"/>
        <v>110715.77942719508</v>
      </c>
      <c r="K695" s="377">
        <f t="shared" si="478"/>
        <v>113682.96231584392</v>
      </c>
      <c r="L695" s="377">
        <f t="shared" si="478"/>
        <v>116729.66570590854</v>
      </c>
      <c r="M695" s="377">
        <f t="shared" si="478"/>
        <v>119858.02074682686</v>
      </c>
      <c r="N695" s="377">
        <f t="shared" si="478"/>
        <v>123070.21570284179</v>
      </c>
      <c r="O695" s="377">
        <f t="shared" si="478"/>
        <v>126368.49748367797</v>
      </c>
      <c r="P695" s="377">
        <f t="shared" si="478"/>
        <v>129755.17321624054</v>
      </c>
      <c r="Q695" s="377">
        <f t="shared" si="478"/>
        <v>133232.61185843576</v>
      </c>
    </row>
    <row r="696" spans="1:17" ht="14.4">
      <c r="A696" s="370"/>
      <c r="B696" s="374"/>
      <c r="C696" s="374"/>
      <c r="D696" s="374"/>
      <c r="E696" s="374"/>
      <c r="F696" s="374"/>
      <c r="G696" s="374"/>
      <c r="H696" s="374"/>
      <c r="I696" s="374"/>
      <c r="J696" s="374"/>
      <c r="K696" s="374"/>
      <c r="L696" s="374"/>
      <c r="M696" s="374"/>
      <c r="N696" s="374"/>
      <c r="O696" s="374"/>
      <c r="P696" s="374"/>
      <c r="Q696" s="374"/>
    </row>
    <row r="697" spans="1:17" ht="14.4">
      <c r="A697" s="366" t="s">
        <v>68</v>
      </c>
      <c r="B697" s="368"/>
      <c r="C697" s="368"/>
      <c r="D697" s="368"/>
      <c r="E697" s="368"/>
      <c r="F697" s="368"/>
      <c r="G697" s="368"/>
      <c r="H697" s="368"/>
      <c r="I697" s="368"/>
      <c r="J697" s="368"/>
      <c r="K697" s="368"/>
      <c r="L697" s="368"/>
      <c r="M697" s="368"/>
      <c r="N697" s="368"/>
      <c r="O697" s="368"/>
      <c r="P697" s="368"/>
      <c r="Q697" s="368"/>
    </row>
    <row r="698" spans="1:17" ht="14.4">
      <c r="A698" s="366" t="s">
        <v>296</v>
      </c>
      <c r="B698" s="378">
        <f>+SUM(C698:Q698)</f>
        <v>11529.370291765843</v>
      </c>
      <c r="C698" s="367">
        <f>SUM('Initial Data'!$C$77:$C$80)/'Initial Data'!$C$14/1000</f>
        <v>634.57339732142862</v>
      </c>
      <c r="D698" s="367">
        <f>+C698*(1+'Initial Data'!$C$20/100)</f>
        <v>651.57996436964288</v>
      </c>
      <c r="E698" s="367">
        <f>+D698*(1+'Initial Data'!$C$20/100)</f>
        <v>669.0423074147493</v>
      </c>
      <c r="F698" s="367">
        <f>+E698*(1+'Initial Data'!$C$20/100)</f>
        <v>686.97264125346453</v>
      </c>
      <c r="G698" s="367">
        <f>+F698*(1+'Initial Data'!$C$20/100)</f>
        <v>705.38350803905735</v>
      </c>
      <c r="H698" s="367">
        <f>+G698*(1+'Initial Data'!$C$20/100)</f>
        <v>724.28778605450407</v>
      </c>
      <c r="I698" s="367">
        <f>+H698*(1+'Initial Data'!$C$20/100)</f>
        <v>743.6986987207647</v>
      </c>
      <c r="J698" s="367">
        <f>+I698*(1+'Initial Data'!$C$20/100)</f>
        <v>763.62982384648114</v>
      </c>
      <c r="K698" s="367">
        <f>+J698*(1+'Initial Data'!$C$20/100)</f>
        <v>784.09510312556677</v>
      </c>
      <c r="L698" s="367">
        <f>+K698*(1+'Initial Data'!$C$20/100)</f>
        <v>805.10885188933196</v>
      </c>
      <c r="M698" s="367">
        <f>+L698*(1+'Initial Data'!$C$20/100)</f>
        <v>826.68576911996604</v>
      </c>
      <c r="N698" s="367">
        <f>+M698*(1+'Initial Data'!$C$20/100)</f>
        <v>848.8409477323811</v>
      </c>
      <c r="O698" s="367">
        <f>+N698*(1+'Initial Data'!$C$20/100)</f>
        <v>871.58988513160887</v>
      </c>
      <c r="P698" s="367">
        <f>+O698*(1+'Initial Data'!$C$20/100)</f>
        <v>894.94849405313596</v>
      </c>
      <c r="Q698" s="367">
        <f>+P698*(1+'Initial Data'!$C$20/100)</f>
        <v>918.93311369375999</v>
      </c>
    </row>
    <row r="699" spans="1:17" ht="14.4">
      <c r="A699" s="366" t="s">
        <v>297</v>
      </c>
      <c r="B699" s="378">
        <f>+SUM(C699:Q699)</f>
        <v>13836.767075562186</v>
      </c>
      <c r="C699" s="367">
        <f>('Initial Data'!$C$82/1000+('Initial Data'!$C$83*'Initial Data'!$C$15/'Initial Data'!$C$14)/1000+'Initial Data'!$C$84/'Initial Data'!$C$14/1000)</f>
        <v>761.57188717892859</v>
      </c>
      <c r="D699" s="367">
        <f>+C699*(1+'Initial Data'!$C$20/100)</f>
        <v>781.98201375532381</v>
      </c>
      <c r="E699" s="367">
        <f>+D699*(1+'Initial Data'!$C$20/100)</f>
        <v>802.9391317239664</v>
      </c>
      <c r="F699" s="367">
        <f>+E699*(1+'Initial Data'!$C$20/100)</f>
        <v>824.45790045416868</v>
      </c>
      <c r="G699" s="367">
        <f>+F699*(1+'Initial Data'!$C$20/100)</f>
        <v>846.55337218634031</v>
      </c>
      <c r="H699" s="367">
        <f>+G699*(1+'Initial Data'!$C$20/100)</f>
        <v>869.24100256093413</v>
      </c>
      <c r="I699" s="367">
        <f>+H699*(1+'Initial Data'!$C$20/100)</f>
        <v>892.53666142956706</v>
      </c>
      <c r="J699" s="367">
        <f>+I699*(1+'Initial Data'!$C$20/100)</f>
        <v>916.45664395587937</v>
      </c>
      <c r="K699" s="367">
        <f>+J699*(1+'Initial Data'!$C$20/100)</f>
        <v>941.01768201389689</v>
      </c>
      <c r="L699" s="367">
        <f>+K699*(1+'Initial Data'!$C$20/100)</f>
        <v>966.23695589186923</v>
      </c>
      <c r="M699" s="367">
        <f>+L699*(1+'Initial Data'!$C$20/100)</f>
        <v>992.1321063097713</v>
      </c>
      <c r="N699" s="367">
        <f>+M699*(1+'Initial Data'!$C$20/100)</f>
        <v>1018.7212467588731</v>
      </c>
      <c r="O699" s="367">
        <f>+N699*(1+'Initial Data'!$C$20/100)</f>
        <v>1046.0229761720109</v>
      </c>
      <c r="P699" s="367">
        <f>+O699*(1+'Initial Data'!$C$20/100)</f>
        <v>1074.0563919334206</v>
      </c>
      <c r="Q699" s="367">
        <f>+P699*(1+'Initial Data'!$C$20/100)</f>
        <v>1102.8411032372362</v>
      </c>
    </row>
    <row r="700" spans="1:17" ht="14.4">
      <c r="A700" s="370"/>
      <c r="B700" s="369"/>
      <c r="C700" s="382"/>
      <c r="D700" s="369"/>
      <c r="E700" s="369"/>
      <c r="F700" s="369"/>
      <c r="G700" s="369"/>
      <c r="H700" s="369"/>
      <c r="I700" s="369"/>
      <c r="J700" s="369"/>
      <c r="K700" s="369"/>
      <c r="L700" s="369"/>
      <c r="M700" s="369"/>
      <c r="N700" s="369"/>
      <c r="O700" s="369"/>
      <c r="P700" s="369"/>
      <c r="Q700" s="369"/>
    </row>
    <row r="701" spans="1:17" ht="14.4">
      <c r="A701" s="366" t="s">
        <v>71</v>
      </c>
      <c r="B701" s="379"/>
      <c r="C701" s="379"/>
      <c r="D701" s="379"/>
      <c r="E701" s="379"/>
      <c r="F701" s="379"/>
      <c r="G701" s="379"/>
      <c r="H701" s="379"/>
      <c r="I701" s="379"/>
      <c r="J701" s="379"/>
      <c r="K701" s="379"/>
      <c r="L701" s="379"/>
      <c r="M701" s="379"/>
      <c r="N701" s="379"/>
      <c r="O701" s="379"/>
      <c r="P701" s="379"/>
      <c r="Q701" s="379"/>
    </row>
    <row r="702" spans="1:17" ht="14.4">
      <c r="A702" s="370"/>
      <c r="B702" s="379"/>
      <c r="C702" s="379"/>
      <c r="D702" s="379"/>
      <c r="E702" s="379"/>
      <c r="F702" s="379"/>
      <c r="G702" s="379"/>
      <c r="H702" s="379"/>
      <c r="I702" s="379"/>
      <c r="J702" s="379"/>
      <c r="K702" s="379"/>
      <c r="L702" s="379"/>
      <c r="M702" s="379"/>
      <c r="N702" s="379"/>
      <c r="O702" s="379"/>
      <c r="P702" s="379"/>
      <c r="Q702" s="379"/>
    </row>
    <row r="703" spans="1:17" ht="14.4">
      <c r="A703" s="366" t="s">
        <v>298</v>
      </c>
      <c r="B703" s="378">
        <f>+SUM(C703:Q703)</f>
        <v>25366.137367328029</v>
      </c>
      <c r="C703" s="367">
        <f>SUM(C698:C699)</f>
        <v>1396.1452845003573</v>
      </c>
      <c r="D703" s="367">
        <f>SUM(D698:D699)</f>
        <v>1433.5619781249666</v>
      </c>
      <c r="E703" s="367">
        <f t="shared" ref="E703:Q703" si="479">SUM(E698:E699)</f>
        <v>1471.9814391387158</v>
      </c>
      <c r="F703" s="367">
        <f t="shared" si="479"/>
        <v>1511.4305417076332</v>
      </c>
      <c r="G703" s="367">
        <f t="shared" si="479"/>
        <v>1551.9368802253975</v>
      </c>
      <c r="H703" s="367">
        <f t="shared" si="479"/>
        <v>1593.5287886154383</v>
      </c>
      <c r="I703" s="367">
        <f t="shared" si="479"/>
        <v>1636.2353601503319</v>
      </c>
      <c r="J703" s="367">
        <f t="shared" si="479"/>
        <v>1680.0864678023604</v>
      </c>
      <c r="K703" s="367">
        <f t="shared" si="479"/>
        <v>1725.1127851394635</v>
      </c>
      <c r="L703" s="367">
        <f t="shared" si="479"/>
        <v>1771.3458077812011</v>
      </c>
      <c r="M703" s="367">
        <f t="shared" si="479"/>
        <v>1818.8178754297373</v>
      </c>
      <c r="N703" s="367">
        <f t="shared" si="479"/>
        <v>1867.5621944912541</v>
      </c>
      <c r="O703" s="367">
        <f t="shared" si="479"/>
        <v>1917.6128613036199</v>
      </c>
      <c r="P703" s="367">
        <f t="shared" si="479"/>
        <v>1969.0048859865565</v>
      </c>
      <c r="Q703" s="367">
        <f t="shared" si="479"/>
        <v>2021.7742169309963</v>
      </c>
    </row>
    <row r="704" spans="1:17" ht="14.4">
      <c r="A704" s="370"/>
      <c r="B704" s="379"/>
      <c r="C704" s="379"/>
      <c r="D704" s="379"/>
      <c r="E704" s="379"/>
      <c r="F704" s="379"/>
      <c r="G704" s="379"/>
      <c r="H704" s="379"/>
      <c r="I704" s="379"/>
      <c r="J704" s="379"/>
      <c r="K704" s="379"/>
      <c r="L704" s="379"/>
      <c r="M704" s="379"/>
      <c r="N704" s="379"/>
      <c r="O704" s="379"/>
      <c r="P704" s="379"/>
      <c r="Q704" s="379"/>
    </row>
    <row r="705" spans="1:17" ht="14.4">
      <c r="A705" s="366" t="s">
        <v>299</v>
      </c>
      <c r="B705" s="378">
        <f t="shared" ref="B705:B706" si="480">+SUM(C705:Q705)</f>
        <v>43884.879418749995</v>
      </c>
      <c r="C705" s="367">
        <f>'WHRS_Project Scenario'!$C$8/'Initial Data'!$C$19</f>
        <v>4388.4879418749997</v>
      </c>
      <c r="D705" s="367">
        <f>'WHRS_Project Scenario'!$C$8/'Initial Data'!$C$19</f>
        <v>4388.4879418749997</v>
      </c>
      <c r="E705" s="367">
        <f>'WHRS_Project Scenario'!$C$8/'Initial Data'!$C$19</f>
        <v>4388.4879418749997</v>
      </c>
      <c r="F705" s="367">
        <f>'WHRS_Project Scenario'!$C$8/'Initial Data'!$C$19</f>
        <v>4388.4879418749997</v>
      </c>
      <c r="G705" s="367">
        <f>'WHRS_Project Scenario'!$C$8/'Initial Data'!$C$19</f>
        <v>4388.4879418749997</v>
      </c>
      <c r="H705" s="367">
        <f>'WHRS_Project Scenario'!$C$8/'Initial Data'!$C$19</f>
        <v>4388.4879418749997</v>
      </c>
      <c r="I705" s="367">
        <f>'WHRS_Project Scenario'!$C$8/'Initial Data'!$C$19</f>
        <v>4388.4879418749997</v>
      </c>
      <c r="J705" s="367">
        <f>'WHRS_Project Scenario'!$C$8/'Initial Data'!$C$19</f>
        <v>4388.4879418749997</v>
      </c>
      <c r="K705" s="367">
        <f>'WHRS_Project Scenario'!$C$8/'Initial Data'!$C$19</f>
        <v>4388.4879418749997</v>
      </c>
      <c r="L705" s="367">
        <f>'WHRS_Project Scenario'!$C$8/'Initial Data'!$C$19</f>
        <v>4388.4879418749997</v>
      </c>
      <c r="M705" s="367">
        <v>0</v>
      </c>
      <c r="N705" s="367">
        <v>0</v>
      </c>
      <c r="O705" s="367">
        <v>0</v>
      </c>
      <c r="P705" s="367">
        <v>0</v>
      </c>
      <c r="Q705" s="367">
        <v>0</v>
      </c>
    </row>
    <row r="706" spans="1:17" ht="14.4">
      <c r="A706" s="366" t="s">
        <v>300</v>
      </c>
      <c r="B706" s="378">
        <f t="shared" si="480"/>
        <v>43884.879418749995</v>
      </c>
      <c r="C706" s="367">
        <f>SUM(C705:C705)</f>
        <v>4388.4879418749997</v>
      </c>
      <c r="D706" s="367">
        <f t="shared" ref="D706:Q706" si="481">SUM(D705:D705)</f>
        <v>4388.4879418749997</v>
      </c>
      <c r="E706" s="367">
        <f t="shared" si="481"/>
        <v>4388.4879418749997</v>
      </c>
      <c r="F706" s="367">
        <f t="shared" si="481"/>
        <v>4388.4879418749997</v>
      </c>
      <c r="G706" s="367">
        <f t="shared" si="481"/>
        <v>4388.4879418749997</v>
      </c>
      <c r="H706" s="367">
        <f t="shared" si="481"/>
        <v>4388.4879418749997</v>
      </c>
      <c r="I706" s="367">
        <f t="shared" si="481"/>
        <v>4388.4879418749997</v>
      </c>
      <c r="J706" s="367">
        <f t="shared" si="481"/>
        <v>4388.4879418749997</v>
      </c>
      <c r="K706" s="367">
        <f t="shared" si="481"/>
        <v>4388.4879418749997</v>
      </c>
      <c r="L706" s="367">
        <f t="shared" si="481"/>
        <v>4388.4879418749997</v>
      </c>
      <c r="M706" s="367">
        <f t="shared" si="481"/>
        <v>0</v>
      </c>
      <c r="N706" s="367">
        <f t="shared" si="481"/>
        <v>0</v>
      </c>
      <c r="O706" s="367">
        <f t="shared" si="481"/>
        <v>0</v>
      </c>
      <c r="P706" s="367">
        <f t="shared" si="481"/>
        <v>0</v>
      </c>
      <c r="Q706" s="367">
        <f t="shared" si="481"/>
        <v>0</v>
      </c>
    </row>
    <row r="707" spans="1:17" ht="14.4">
      <c r="A707" s="370"/>
      <c r="B707" s="379"/>
      <c r="C707" s="379"/>
      <c r="D707" s="379"/>
      <c r="E707" s="379"/>
      <c r="F707" s="379"/>
      <c r="G707" s="379"/>
      <c r="H707" s="379"/>
      <c r="I707" s="379"/>
      <c r="J707" s="379"/>
      <c r="K707" s="379"/>
      <c r="L707" s="379"/>
      <c r="M707" s="379"/>
      <c r="N707" s="379"/>
      <c r="O707" s="379"/>
      <c r="P707" s="379"/>
      <c r="Q707" s="379"/>
    </row>
    <row r="708" spans="1:17" ht="14.4">
      <c r="A708" s="366" t="s">
        <v>301</v>
      </c>
      <c r="B708" s="378">
        <f>+SUM(C708:Q708)</f>
        <v>69251.016786078035</v>
      </c>
      <c r="C708" s="367">
        <f>+C703+C706</f>
        <v>5784.6332263753575</v>
      </c>
      <c r="D708" s="367">
        <f>+D703+D706</f>
        <v>5822.0499199999667</v>
      </c>
      <c r="E708" s="367">
        <f t="shared" ref="E708:Q708" si="482">+E703+E706</f>
        <v>5860.469381013716</v>
      </c>
      <c r="F708" s="367">
        <f t="shared" si="482"/>
        <v>5899.9184835826327</v>
      </c>
      <c r="G708" s="367">
        <f t="shared" si="482"/>
        <v>5940.4248221003973</v>
      </c>
      <c r="H708" s="367">
        <f t="shared" si="482"/>
        <v>5982.016730490438</v>
      </c>
      <c r="I708" s="367">
        <f t="shared" si="482"/>
        <v>6024.7233020253316</v>
      </c>
      <c r="J708" s="367">
        <f t="shared" si="482"/>
        <v>6068.5744096773597</v>
      </c>
      <c r="K708" s="367">
        <f t="shared" si="482"/>
        <v>6113.6007270144637</v>
      </c>
      <c r="L708" s="367">
        <f t="shared" si="482"/>
        <v>6159.8337496562008</v>
      </c>
      <c r="M708" s="367">
        <f t="shared" si="482"/>
        <v>1818.8178754297373</v>
      </c>
      <c r="N708" s="367">
        <f t="shared" si="482"/>
        <v>1867.5621944912541</v>
      </c>
      <c r="O708" s="367">
        <f t="shared" si="482"/>
        <v>1917.6128613036199</v>
      </c>
      <c r="P708" s="367">
        <f t="shared" si="482"/>
        <v>1969.0048859865565</v>
      </c>
      <c r="Q708" s="367">
        <f t="shared" si="482"/>
        <v>2021.7742169309963</v>
      </c>
    </row>
    <row r="709" spans="1:17" ht="14.4">
      <c r="A709" s="370"/>
      <c r="B709" s="379"/>
      <c r="C709" s="379"/>
      <c r="D709" s="379"/>
      <c r="E709" s="379"/>
      <c r="F709" s="379"/>
      <c r="G709" s="379"/>
      <c r="H709" s="379"/>
      <c r="I709" s="379"/>
      <c r="J709" s="379"/>
      <c r="K709" s="379"/>
      <c r="L709" s="379"/>
      <c r="M709" s="379"/>
      <c r="N709" s="379"/>
      <c r="O709" s="379"/>
      <c r="P709" s="379"/>
      <c r="Q709" s="379"/>
    </row>
    <row r="710" spans="1:17" ht="14.4">
      <c r="A710" s="364" t="s">
        <v>302</v>
      </c>
      <c r="B710" s="378">
        <f>+SUM(C710:Q710)</f>
        <v>1602348.4654444968</v>
      </c>
      <c r="C710" s="367">
        <f>+C695-C708</f>
        <v>86219.746506087191</v>
      </c>
      <c r="D710" s="367">
        <f>+D695-D708</f>
        <v>88648.047189292585</v>
      </c>
      <c r="E710" s="367">
        <f t="shared" ref="E710:Q710" si="483">+E695-E708</f>
        <v>91141.426330807866</v>
      </c>
      <c r="F710" s="367">
        <f t="shared" si="483"/>
        <v>93701.628033315763</v>
      </c>
      <c r="G710" s="367">
        <f t="shared" si="483"/>
        <v>96330.443141450858</v>
      </c>
      <c r="H710" s="367">
        <f t="shared" si="483"/>
        <v>99029.710494483996</v>
      </c>
      <c r="I710" s="367">
        <f t="shared" si="483"/>
        <v>101801.31821257842</v>
      </c>
      <c r="J710" s="367">
        <f t="shared" si="483"/>
        <v>104647.20501751773</v>
      </c>
      <c r="K710" s="367">
        <f t="shared" si="483"/>
        <v>107569.36158882946</v>
      </c>
      <c r="L710" s="367">
        <f t="shared" si="483"/>
        <v>110569.83195625234</v>
      </c>
      <c r="M710" s="367">
        <f t="shared" si="483"/>
        <v>118039.20287139712</v>
      </c>
      <c r="N710" s="367">
        <f t="shared" si="483"/>
        <v>121202.65350835053</v>
      </c>
      <c r="O710" s="367">
        <f t="shared" si="483"/>
        <v>124450.88462237435</v>
      </c>
      <c r="P710" s="367">
        <f t="shared" si="483"/>
        <v>127786.16833025398</v>
      </c>
      <c r="Q710" s="367">
        <f t="shared" si="483"/>
        <v>131210.83764150477</v>
      </c>
    </row>
    <row r="711" spans="1:17" ht="14.4">
      <c r="A711" s="364"/>
    </row>
    <row r="712" spans="1:17" ht="14.4">
      <c r="A712" s="364" t="s">
        <v>222</v>
      </c>
      <c r="B712" s="380">
        <f>+'WHRS_Project Scenario'!C39</f>
        <v>0.7</v>
      </c>
      <c r="C712" s="367">
        <f>IF((+$B$712*C710)&lt;0,"0",(+$B$712*C710))</f>
        <v>60353.822554261031</v>
      </c>
      <c r="D712" s="367">
        <f t="shared" ref="D712:Q712" si="484">IF((+$B$674*D710)&lt;0,"0",(+$B$674*D710))</f>
        <v>62053.633032504804</v>
      </c>
      <c r="E712" s="367">
        <f t="shared" si="484"/>
        <v>63798.998431565502</v>
      </c>
      <c r="F712" s="367">
        <f t="shared" si="484"/>
        <v>65591.139623321025</v>
      </c>
      <c r="G712" s="367">
        <f t="shared" si="484"/>
        <v>67431.310199015599</v>
      </c>
      <c r="H712" s="367">
        <f t="shared" si="484"/>
        <v>69320.797346138788</v>
      </c>
      <c r="I712" s="367">
        <f t="shared" si="484"/>
        <v>71260.922748804893</v>
      </c>
      <c r="J712" s="367">
        <f t="shared" si="484"/>
        <v>73253.043512262404</v>
      </c>
      <c r="K712" s="367">
        <f t="shared" si="484"/>
        <v>75298.553112180613</v>
      </c>
      <c r="L712" s="367">
        <f t="shared" si="484"/>
        <v>77398.882369376632</v>
      </c>
      <c r="M712" s="367">
        <f t="shared" si="484"/>
        <v>82627.442009977982</v>
      </c>
      <c r="N712" s="367">
        <f t="shared" si="484"/>
        <v>84841.857455845369</v>
      </c>
      <c r="O712" s="367">
        <f t="shared" si="484"/>
        <v>87115.61923566203</v>
      </c>
      <c r="P712" s="367">
        <f t="shared" si="484"/>
        <v>89450.317831177774</v>
      </c>
      <c r="Q712" s="367">
        <f t="shared" si="484"/>
        <v>91847.586349053337</v>
      </c>
    </row>
    <row r="713" spans="1:17" ht="14.4">
      <c r="A713" s="364" t="s">
        <v>303</v>
      </c>
      <c r="B713" s="378">
        <f>+SUM(C713:Q713)</f>
        <v>1121643.9258111478</v>
      </c>
      <c r="C713" s="367">
        <f>SUM(C712:C712)</f>
        <v>60353.822554261031</v>
      </c>
      <c r="D713" s="367">
        <f t="shared" ref="D713:Q713" si="485">SUM(D712:D712)</f>
        <v>62053.633032504804</v>
      </c>
      <c r="E713" s="367">
        <f t="shared" si="485"/>
        <v>63798.998431565502</v>
      </c>
      <c r="F713" s="367">
        <f t="shared" si="485"/>
        <v>65591.139623321025</v>
      </c>
      <c r="G713" s="367">
        <f t="shared" si="485"/>
        <v>67431.310199015599</v>
      </c>
      <c r="H713" s="367">
        <f t="shared" si="485"/>
        <v>69320.797346138788</v>
      </c>
      <c r="I713" s="367">
        <f t="shared" si="485"/>
        <v>71260.922748804893</v>
      </c>
      <c r="J713" s="367">
        <f t="shared" si="485"/>
        <v>73253.043512262404</v>
      </c>
      <c r="K713" s="367">
        <f t="shared" si="485"/>
        <v>75298.553112180613</v>
      </c>
      <c r="L713" s="367">
        <f t="shared" si="485"/>
        <v>77398.882369376632</v>
      </c>
      <c r="M713" s="367">
        <f t="shared" si="485"/>
        <v>82627.442009977982</v>
      </c>
      <c r="N713" s="367">
        <f t="shared" si="485"/>
        <v>84841.857455845369</v>
      </c>
      <c r="O713" s="367">
        <f t="shared" si="485"/>
        <v>87115.61923566203</v>
      </c>
      <c r="P713" s="367">
        <f t="shared" si="485"/>
        <v>89450.317831177774</v>
      </c>
      <c r="Q713" s="367">
        <f t="shared" si="485"/>
        <v>91847.586349053337</v>
      </c>
    </row>
    <row r="714" spans="1:17" ht="14.4">
      <c r="A714" s="369"/>
    </row>
    <row r="715" spans="1:17" ht="14.4">
      <c r="A715" s="364" t="s">
        <v>304</v>
      </c>
      <c r="B715" s="378">
        <f t="shared" ref="B715:B717" si="486">+SUM(C715:Q715)</f>
        <v>480704.53963334917</v>
      </c>
      <c r="C715" s="367">
        <f>C710-C713</f>
        <v>25865.92395182616</v>
      </c>
      <c r="D715" s="367">
        <f t="shared" ref="D715:Q715" si="487">D710-D713</f>
        <v>26594.414156787781</v>
      </c>
      <c r="E715" s="367">
        <f t="shared" si="487"/>
        <v>27342.427899242364</v>
      </c>
      <c r="F715" s="367">
        <f t="shared" si="487"/>
        <v>28110.488409994738</v>
      </c>
      <c r="G715" s="367">
        <f t="shared" si="487"/>
        <v>28899.132942435259</v>
      </c>
      <c r="H715" s="367">
        <f t="shared" si="487"/>
        <v>29708.913148345207</v>
      </c>
      <c r="I715" s="367">
        <f t="shared" si="487"/>
        <v>30540.39546377353</v>
      </c>
      <c r="J715" s="367">
        <f t="shared" si="487"/>
        <v>31394.161505255324</v>
      </c>
      <c r="K715" s="367">
        <f t="shared" si="487"/>
        <v>32270.808476648846</v>
      </c>
      <c r="L715" s="367">
        <f t="shared" si="487"/>
        <v>33170.949586875708</v>
      </c>
      <c r="M715" s="367">
        <f t="shared" si="487"/>
        <v>35411.760861419141</v>
      </c>
      <c r="N715" s="367">
        <f t="shared" si="487"/>
        <v>36360.79605250516</v>
      </c>
      <c r="O715" s="367">
        <f t="shared" si="487"/>
        <v>37335.265386712315</v>
      </c>
      <c r="P715" s="367">
        <f t="shared" si="487"/>
        <v>38335.850499076201</v>
      </c>
      <c r="Q715" s="367">
        <f t="shared" si="487"/>
        <v>39363.25129245143</v>
      </c>
    </row>
    <row r="716" spans="1:17" ht="14.4">
      <c r="A716" s="364" t="s">
        <v>305</v>
      </c>
      <c r="B716" s="378">
        <f t="shared" si="486"/>
        <v>43884.879418749995</v>
      </c>
      <c r="C716" s="367">
        <f>+C705</f>
        <v>4388.4879418749997</v>
      </c>
      <c r="D716" s="367">
        <f t="shared" ref="D716:Q716" si="488">+D705</f>
        <v>4388.4879418749997</v>
      </c>
      <c r="E716" s="367">
        <f t="shared" si="488"/>
        <v>4388.4879418749997</v>
      </c>
      <c r="F716" s="367">
        <f t="shared" si="488"/>
        <v>4388.4879418749997</v>
      </c>
      <c r="G716" s="367">
        <f t="shared" si="488"/>
        <v>4388.4879418749997</v>
      </c>
      <c r="H716" s="367">
        <f t="shared" si="488"/>
        <v>4388.4879418749997</v>
      </c>
      <c r="I716" s="367">
        <f t="shared" si="488"/>
        <v>4388.4879418749997</v>
      </c>
      <c r="J716" s="367">
        <f t="shared" si="488"/>
        <v>4388.4879418749997</v>
      </c>
      <c r="K716" s="367">
        <f t="shared" si="488"/>
        <v>4388.4879418749997</v>
      </c>
      <c r="L716" s="367">
        <f t="shared" si="488"/>
        <v>4388.4879418749997</v>
      </c>
      <c r="M716" s="367">
        <f t="shared" si="488"/>
        <v>0</v>
      </c>
      <c r="N716" s="367">
        <f t="shared" si="488"/>
        <v>0</v>
      </c>
      <c r="O716" s="367">
        <f t="shared" si="488"/>
        <v>0</v>
      </c>
      <c r="P716" s="367">
        <f t="shared" si="488"/>
        <v>0</v>
      </c>
      <c r="Q716" s="367">
        <f t="shared" si="488"/>
        <v>0</v>
      </c>
    </row>
    <row r="717" spans="1:17" ht="14.4">
      <c r="A717" s="364" t="s">
        <v>306</v>
      </c>
      <c r="B717" s="378">
        <f t="shared" si="486"/>
        <v>0</v>
      </c>
      <c r="C717" s="367">
        <f>+'WHRS_Project Scenario'!D690</f>
        <v>0</v>
      </c>
      <c r="D717" s="367">
        <f>+'WHRS_Project Scenario'!E690</f>
        <v>0</v>
      </c>
      <c r="E717" s="367">
        <f>+'WHRS_Project Scenario'!F690</f>
        <v>0</v>
      </c>
      <c r="F717" s="367">
        <f>+'WHRS_Project Scenario'!G690</f>
        <v>0</v>
      </c>
      <c r="G717" s="367">
        <f>+'WHRS_Project Scenario'!H690</f>
        <v>0</v>
      </c>
      <c r="H717" s="367">
        <f>+'WHRS_Project Scenario'!I690</f>
        <v>0</v>
      </c>
      <c r="I717" s="367">
        <f>+'WHRS_Project Scenario'!J690</f>
        <v>0</v>
      </c>
      <c r="J717" s="367">
        <f>+'WHRS_Project Scenario'!K690</f>
        <v>0</v>
      </c>
      <c r="K717" s="367">
        <f>+'WHRS_Project Scenario'!L690</f>
        <v>0</v>
      </c>
      <c r="L717" s="367">
        <f>+'WHRS_Project Scenario'!M690</f>
        <v>0</v>
      </c>
      <c r="M717" s="367">
        <f>+'WHRS_Project Scenario'!N690</f>
        <v>0</v>
      </c>
      <c r="N717" s="367">
        <f>+'WHRS_Project Scenario'!O690</f>
        <v>0</v>
      </c>
      <c r="O717" s="367">
        <f>+'WHRS_Project Scenario'!P690</f>
        <v>0</v>
      </c>
      <c r="P717" s="367">
        <f>+'WHRS_Project Scenario'!Q690</f>
        <v>0</v>
      </c>
      <c r="Q717" s="367">
        <f>+'WHRS_Project Scenario'!R690</f>
        <v>0</v>
      </c>
    </row>
    <row r="718" spans="1:17" ht="14.4">
      <c r="A718" s="364"/>
    </row>
    <row r="719" spans="1:17" ht="14.4">
      <c r="A719" s="364" t="s">
        <v>110</v>
      </c>
      <c r="B719" s="378">
        <f>-'WHRS_Project Scenario'!C8</f>
        <v>-43884.879418749995</v>
      </c>
      <c r="C719" s="367">
        <f>C715+C716+C717</f>
        <v>30254.411893701159</v>
      </c>
      <c r="D719" s="367">
        <f t="shared" ref="D719:Q719" si="489">D715+D716+D717</f>
        <v>30982.90209866278</v>
      </c>
      <c r="E719" s="367">
        <f t="shared" si="489"/>
        <v>31730.915841117363</v>
      </c>
      <c r="F719" s="367">
        <f t="shared" si="489"/>
        <v>32498.976351869736</v>
      </c>
      <c r="G719" s="367">
        <f t="shared" si="489"/>
        <v>33287.620884310258</v>
      </c>
      <c r="H719" s="367">
        <f t="shared" si="489"/>
        <v>34097.401090220206</v>
      </c>
      <c r="I719" s="367">
        <f t="shared" si="489"/>
        <v>34928.883405648528</v>
      </c>
      <c r="J719" s="367">
        <f t="shared" si="489"/>
        <v>35782.649447130323</v>
      </c>
      <c r="K719" s="367">
        <f t="shared" si="489"/>
        <v>36659.296418523845</v>
      </c>
      <c r="L719" s="367">
        <f t="shared" si="489"/>
        <v>37559.437528750706</v>
      </c>
      <c r="M719" s="367">
        <f t="shared" si="489"/>
        <v>35411.760861419141</v>
      </c>
      <c r="N719" s="367">
        <f t="shared" si="489"/>
        <v>36360.79605250516</v>
      </c>
      <c r="O719" s="367">
        <f t="shared" si="489"/>
        <v>37335.265386712315</v>
      </c>
      <c r="P719" s="367">
        <f t="shared" si="489"/>
        <v>38335.850499076201</v>
      </c>
      <c r="Q719" s="367">
        <f t="shared" si="489"/>
        <v>39363.25129245143</v>
      </c>
    </row>
    <row r="720" spans="1:17" ht="15.6">
      <c r="A720" s="364" t="s">
        <v>51</v>
      </c>
      <c r="B720" s="132">
        <f>IRR(B719:Q719)</f>
        <v>0.71297600988335852</v>
      </c>
    </row>
    <row r="721" spans="1:17" ht="15.6">
      <c r="A721" s="364" t="s">
        <v>267</v>
      </c>
      <c r="B721" s="303">
        <f>NPV('Initial Data'!C21/100,B719:Q719)</f>
        <v>165981.71046993864</v>
      </c>
    </row>
    <row r="723" spans="1:17" ht="14.4">
      <c r="A723" s="508" t="s">
        <v>324</v>
      </c>
      <c r="B723" s="509"/>
      <c r="C723" s="509"/>
      <c r="D723" s="509"/>
      <c r="E723" s="509"/>
      <c r="F723" s="509"/>
      <c r="G723" s="509"/>
      <c r="H723" s="509"/>
      <c r="I723" s="509"/>
      <c r="J723" s="509"/>
      <c r="K723" s="509"/>
      <c r="L723" s="509"/>
      <c r="M723" s="509"/>
      <c r="N723" s="509"/>
      <c r="O723" s="509"/>
      <c r="P723" s="509"/>
      <c r="Q723" s="509"/>
    </row>
    <row r="724" spans="1:17" ht="14.4">
      <c r="A724" s="371" t="s">
        <v>327</v>
      </c>
      <c r="B724" s="372"/>
      <c r="C724" s="372"/>
      <c r="D724" s="372"/>
      <c r="E724" s="372"/>
      <c r="F724" s="372"/>
      <c r="G724" s="372"/>
      <c r="H724" s="372"/>
      <c r="I724" s="372"/>
      <c r="J724" s="372"/>
      <c r="K724" s="372"/>
      <c r="L724" s="372"/>
      <c r="M724" s="372"/>
      <c r="N724" s="372"/>
      <c r="O724" s="372"/>
      <c r="P724" s="372"/>
      <c r="Q724" s="372"/>
    </row>
    <row r="725" spans="1:17" ht="27">
      <c r="A725" s="376"/>
      <c r="B725" s="304" t="s">
        <v>35</v>
      </c>
      <c r="C725" s="352" t="s">
        <v>407</v>
      </c>
      <c r="D725" s="352" t="s">
        <v>408</v>
      </c>
      <c r="E725" s="352" t="s">
        <v>409</v>
      </c>
      <c r="F725" s="352" t="s">
        <v>410</v>
      </c>
      <c r="G725" s="352" t="s">
        <v>411</v>
      </c>
      <c r="H725" s="352" t="s">
        <v>412</v>
      </c>
      <c r="I725" s="352" t="s">
        <v>413</v>
      </c>
      <c r="J725" s="352" t="s">
        <v>414</v>
      </c>
      <c r="K725" s="352" t="s">
        <v>415</v>
      </c>
      <c r="L725" s="352" t="s">
        <v>416</v>
      </c>
      <c r="M725" s="352" t="s">
        <v>417</v>
      </c>
      <c r="N725" s="352" t="s">
        <v>418</v>
      </c>
      <c r="O725" s="352" t="s">
        <v>419</v>
      </c>
      <c r="P725" s="352" t="s">
        <v>420</v>
      </c>
      <c r="Q725" s="352" t="s">
        <v>421</v>
      </c>
    </row>
    <row r="726" spans="1:17" ht="14.4">
      <c r="A726" s="363" t="s">
        <v>290</v>
      </c>
      <c r="B726" s="365"/>
      <c r="C726" s="381">
        <f>+'WHRS_Project Scenario'!D15*(1+$E$6)</f>
        <v>225975.66951832912</v>
      </c>
      <c r="D726" s="381">
        <f>+'WHRS_Project Scenario'!E15*(1+$E$6)</f>
        <v>225975.66951832912</v>
      </c>
      <c r="E726" s="381">
        <f>+'WHRS_Project Scenario'!F15*(1+$E$6)</f>
        <v>225975.66951832912</v>
      </c>
      <c r="F726" s="381">
        <f>+'WHRS_Project Scenario'!G15*(1+$E$6)</f>
        <v>225975.66951832912</v>
      </c>
      <c r="G726" s="381">
        <f>+'WHRS_Project Scenario'!H15*(1+$E$6)</f>
        <v>225975.66951832912</v>
      </c>
      <c r="H726" s="381">
        <f>+'WHRS_Project Scenario'!I15*(1+$E$6)</f>
        <v>225975.66951832912</v>
      </c>
      <c r="I726" s="381">
        <f>+'WHRS_Project Scenario'!J15*(1+$E$6)</f>
        <v>225975.66951832912</v>
      </c>
      <c r="J726" s="381">
        <f>+'WHRS_Project Scenario'!K15*(1+$E$6)</f>
        <v>225975.66951832912</v>
      </c>
      <c r="K726" s="381">
        <f>+'WHRS_Project Scenario'!L15*(1+$E$6)</f>
        <v>225975.66951832912</v>
      </c>
      <c r="L726" s="381">
        <f>+'WHRS_Project Scenario'!M15*(1+$E$6)</f>
        <v>225975.66951832912</v>
      </c>
      <c r="M726" s="381">
        <f>+'WHRS_Project Scenario'!N15*(1+$E$6)</f>
        <v>225975.66951832912</v>
      </c>
      <c r="N726" s="381">
        <f>+'WHRS_Project Scenario'!O15*(1+$E$6)</f>
        <v>225975.66951832912</v>
      </c>
      <c r="O726" s="381">
        <f>+'WHRS_Project Scenario'!P15*(1+$E$6)</f>
        <v>225975.66951832912</v>
      </c>
      <c r="P726" s="381">
        <f>+'WHRS_Project Scenario'!Q15*(1+$E$6)</f>
        <v>225975.66951832912</v>
      </c>
      <c r="Q726" s="381">
        <f>+'WHRS_Project Scenario'!R15*(1+$E$6)</f>
        <v>225975.66951832912</v>
      </c>
    </row>
    <row r="727" spans="1:17" ht="14.4">
      <c r="A727" s="364" t="s">
        <v>291</v>
      </c>
      <c r="B727" s="365"/>
      <c r="C727" s="377">
        <f>+'WHRS_Project Scenario'!D16</f>
        <v>70</v>
      </c>
      <c r="D727" s="377">
        <f>+'WHRS_Project Scenario'!E16</f>
        <v>70</v>
      </c>
      <c r="E727" s="377">
        <f>+'WHRS_Project Scenario'!F16</f>
        <v>70</v>
      </c>
      <c r="F727" s="377">
        <f>+'WHRS_Project Scenario'!G16</f>
        <v>70</v>
      </c>
      <c r="G727" s="377">
        <f>+'WHRS_Project Scenario'!H16</f>
        <v>70</v>
      </c>
      <c r="H727" s="377">
        <f>+'WHRS_Project Scenario'!I16</f>
        <v>70</v>
      </c>
      <c r="I727" s="377">
        <f>+'WHRS_Project Scenario'!J16</f>
        <v>70</v>
      </c>
      <c r="J727" s="377">
        <f>+'WHRS_Project Scenario'!K16</f>
        <v>70</v>
      </c>
      <c r="K727" s="377">
        <f>+'WHRS_Project Scenario'!L16</f>
        <v>70</v>
      </c>
      <c r="L727" s="377">
        <f>+'WHRS_Project Scenario'!M16</f>
        <v>70</v>
      </c>
      <c r="M727" s="377">
        <f>+'WHRS_Project Scenario'!N16</f>
        <v>70</v>
      </c>
      <c r="N727" s="377">
        <f>+'WHRS_Project Scenario'!O16</f>
        <v>70</v>
      </c>
      <c r="O727" s="377">
        <f>+'WHRS_Project Scenario'!P16</f>
        <v>70</v>
      </c>
      <c r="P727" s="377">
        <f>+'WHRS_Project Scenario'!Q16</f>
        <v>70</v>
      </c>
      <c r="Q727" s="377">
        <f>+'WHRS_Project Scenario'!R16</f>
        <v>70</v>
      </c>
    </row>
    <row r="728" spans="1:17" ht="14.4">
      <c r="A728" s="366" t="s">
        <v>292</v>
      </c>
      <c r="B728" s="365"/>
      <c r="C728" s="377">
        <f>+'WHRS_Project Scenario'!D17</f>
        <v>6.4285714285714288</v>
      </c>
      <c r="D728" s="377">
        <f>+'WHRS_Project Scenario'!E17</f>
        <v>6.6008571428571425</v>
      </c>
      <c r="E728" s="377">
        <f>+'WHRS_Project Scenario'!F17</f>
        <v>6.7777601142857131</v>
      </c>
      <c r="F728" s="377">
        <f>+'WHRS_Project Scenario'!G17</f>
        <v>6.9594040853485701</v>
      </c>
      <c r="G728" s="377">
        <f>+'WHRS_Project Scenario'!H17</f>
        <v>7.1459161148359112</v>
      </c>
      <c r="H728" s="377">
        <f>+'WHRS_Project Scenario'!I17</f>
        <v>7.3374266667135135</v>
      </c>
      <c r="I728" s="377">
        <f>+'WHRS_Project Scenario'!J17</f>
        <v>7.5340697013814353</v>
      </c>
      <c r="J728" s="377">
        <f>+'WHRS_Project Scenario'!K17</f>
        <v>7.7359827693784569</v>
      </c>
      <c r="K728" s="377">
        <f>+'WHRS_Project Scenario'!L17</f>
        <v>7.943307107597799</v>
      </c>
      <c r="L728" s="377">
        <f>+'WHRS_Project Scenario'!M17</f>
        <v>8.1561877380814192</v>
      </c>
      <c r="M728" s="377">
        <f>+'WHRS_Project Scenario'!N17</f>
        <v>8.3747735694620005</v>
      </c>
      <c r="N728" s="377">
        <f>+'WHRS_Project Scenario'!O17</f>
        <v>8.5992175011235812</v>
      </c>
      <c r="O728" s="377">
        <f>+'WHRS_Project Scenario'!P17</f>
        <v>8.8296765301536926</v>
      </c>
      <c r="P728" s="377">
        <f>+'WHRS_Project Scenario'!Q17</f>
        <v>9.066311861161811</v>
      </c>
      <c r="Q728" s="377">
        <f>+'WHRS_Project Scenario'!R17</f>
        <v>9.3092890190409463</v>
      </c>
    </row>
    <row r="729" spans="1:17" ht="14.4">
      <c r="A729" s="366" t="s">
        <v>293</v>
      </c>
      <c r="B729" s="365"/>
      <c r="C729" s="377">
        <f>+C727*C728</f>
        <v>450</v>
      </c>
      <c r="D729" s="377">
        <f t="shared" ref="D729" si="490">+D727*D728</f>
        <v>462.06</v>
      </c>
      <c r="E729" s="377">
        <f t="shared" ref="E729" si="491">+E727*E728</f>
        <v>474.44320799999991</v>
      </c>
      <c r="F729" s="377">
        <f t="shared" ref="F729" si="492">+F727*F728</f>
        <v>487.15828597439992</v>
      </c>
      <c r="G729" s="377">
        <f t="shared" ref="G729" si="493">+G727*G728</f>
        <v>500.21412803851376</v>
      </c>
      <c r="H729" s="377">
        <f t="shared" ref="H729" si="494">+H727*H728</f>
        <v>513.61986666994596</v>
      </c>
      <c r="I729" s="377">
        <f t="shared" ref="I729" si="495">+I727*I728</f>
        <v>527.3848790967005</v>
      </c>
      <c r="J729" s="377">
        <f t="shared" ref="J729" si="496">+J727*J728</f>
        <v>541.51879385649192</v>
      </c>
      <c r="K729" s="377">
        <f t="shared" ref="K729" si="497">+K727*K728</f>
        <v>556.03149753184596</v>
      </c>
      <c r="L729" s="377">
        <f t="shared" ref="L729" si="498">+L727*L728</f>
        <v>570.9331416656994</v>
      </c>
      <c r="M729" s="377">
        <f t="shared" ref="M729" si="499">+M727*M728</f>
        <v>586.23414986234002</v>
      </c>
      <c r="N729" s="377">
        <f t="shared" ref="N729" si="500">+N727*N728</f>
        <v>601.94522507865065</v>
      </c>
      <c r="O729" s="377">
        <f t="shared" ref="O729" si="501">+O727*O728</f>
        <v>618.0773571107585</v>
      </c>
      <c r="P729" s="377">
        <f t="shared" ref="P729" si="502">+P727*P728</f>
        <v>634.64183028132675</v>
      </c>
      <c r="Q729" s="377">
        <f t="shared" ref="Q729" si="503">+Q727*Q728</f>
        <v>651.65023133286627</v>
      </c>
    </row>
    <row r="730" spans="1:17" ht="14.4">
      <c r="A730" s="370"/>
      <c r="B730" s="373"/>
      <c r="C730" s="373"/>
      <c r="D730" s="373"/>
      <c r="E730" s="373"/>
      <c r="F730" s="373"/>
      <c r="G730" s="373"/>
      <c r="H730" s="373"/>
      <c r="I730" s="373"/>
      <c r="J730" s="373"/>
      <c r="K730" s="373"/>
      <c r="L730" s="373"/>
      <c r="M730" s="373"/>
      <c r="N730" s="373"/>
      <c r="O730" s="373"/>
      <c r="P730" s="373"/>
      <c r="Q730" s="373"/>
    </row>
    <row r="731" spans="1:17" ht="14.4">
      <c r="A731" s="366" t="s">
        <v>294</v>
      </c>
      <c r="B731" s="377">
        <f>+SUM(C731:Q731)</f>
        <v>1847557.3224653725</v>
      </c>
      <c r="C731" s="377">
        <f>C726*C729/1000*'Initial Data'!$C$34/'Initial Data'!$C$33</f>
        <v>101689.0512832481</v>
      </c>
      <c r="D731" s="377">
        <f>D726*D729/1000*'Initial Data'!$C$34/'Initial Data'!$C$33</f>
        <v>104414.31785763915</v>
      </c>
      <c r="E731" s="377">
        <f>E726*E729/1000*'Initial Data'!$C$34/'Initial Data'!$C$33</f>
        <v>107212.62157622387</v>
      </c>
      <c r="F731" s="377">
        <f>F726*F729/1000*'Initial Data'!$C$34/'Initial Data'!$C$33</f>
        <v>110085.91983446667</v>
      </c>
      <c r="G731" s="377">
        <f>G726*G729/1000*'Initial Data'!$C$34/'Initial Data'!$C$33</f>
        <v>113036.22248603035</v>
      </c>
      <c r="H731" s="377">
        <f>H726*H729/1000*'Initial Data'!$C$34/'Initial Data'!$C$33</f>
        <v>116065.59324865598</v>
      </c>
      <c r="I731" s="377">
        <f>I726*I729/1000*'Initial Data'!$C$34/'Initial Data'!$C$33</f>
        <v>119176.15114771995</v>
      </c>
      <c r="J731" s="377">
        <f>J726*J729/1000*'Initial Data'!$C$34/'Initial Data'!$C$33</f>
        <v>122370.07199847882</v>
      </c>
      <c r="K731" s="377">
        <f>K726*K729/1000*'Initial Data'!$C$34/'Initial Data'!$C$33</f>
        <v>125649.58992803804</v>
      </c>
      <c r="L731" s="377">
        <f>L726*L729/1000*'Initial Data'!$C$34/'Initial Data'!$C$33</f>
        <v>129016.99893810948</v>
      </c>
      <c r="M731" s="377">
        <f>M726*M729/1000*'Initial Data'!$C$34/'Initial Data'!$C$33</f>
        <v>132474.65450965078</v>
      </c>
      <c r="N731" s="377">
        <f>N726*N729/1000*'Initial Data'!$C$34/'Initial Data'!$C$33</f>
        <v>136024.97525050939</v>
      </c>
      <c r="O731" s="377">
        <f>O726*O729/1000*'Initial Data'!$C$34/'Initial Data'!$C$33</f>
        <v>139670.44458722306</v>
      </c>
      <c r="P731" s="377">
        <f>P726*P729/1000*'Initial Data'!$C$34/'Initial Data'!$C$33</f>
        <v>143413.6125021606</v>
      </c>
      <c r="Q731" s="377">
        <f>Q726*Q729/1000*'Initial Data'!$C$34/'Initial Data'!$C$33</f>
        <v>147257.09731721852</v>
      </c>
    </row>
    <row r="732" spans="1:17" ht="14.4">
      <c r="A732" s="370"/>
      <c r="B732" s="373"/>
      <c r="C732" s="373"/>
      <c r="D732" s="373"/>
      <c r="E732" s="373"/>
      <c r="F732" s="373"/>
      <c r="G732" s="373"/>
      <c r="H732" s="373"/>
      <c r="I732" s="373"/>
      <c r="J732" s="373"/>
      <c r="K732" s="373"/>
      <c r="L732" s="373"/>
      <c r="M732" s="373"/>
      <c r="N732" s="373"/>
      <c r="O732" s="373"/>
      <c r="P732" s="373"/>
      <c r="Q732" s="373"/>
    </row>
    <row r="733" spans="1:17" ht="14.4">
      <c r="A733" s="366" t="s">
        <v>295</v>
      </c>
      <c r="B733" s="377">
        <f>+SUM(C733:Q733)</f>
        <v>1847557.3224653725</v>
      </c>
      <c r="C733" s="377">
        <f>+C731</f>
        <v>101689.0512832481</v>
      </c>
      <c r="D733" s="377">
        <f t="shared" ref="D733:Q733" si="504">+D731</f>
        <v>104414.31785763915</v>
      </c>
      <c r="E733" s="377">
        <f t="shared" si="504"/>
        <v>107212.62157622387</v>
      </c>
      <c r="F733" s="377">
        <f t="shared" si="504"/>
        <v>110085.91983446667</v>
      </c>
      <c r="G733" s="377">
        <f t="shared" si="504"/>
        <v>113036.22248603035</v>
      </c>
      <c r="H733" s="377">
        <f t="shared" si="504"/>
        <v>116065.59324865598</v>
      </c>
      <c r="I733" s="377">
        <f t="shared" si="504"/>
        <v>119176.15114771995</v>
      </c>
      <c r="J733" s="377">
        <f t="shared" si="504"/>
        <v>122370.07199847882</v>
      </c>
      <c r="K733" s="377">
        <f t="shared" si="504"/>
        <v>125649.58992803804</v>
      </c>
      <c r="L733" s="377">
        <f t="shared" si="504"/>
        <v>129016.99893810948</v>
      </c>
      <c r="M733" s="377">
        <f t="shared" si="504"/>
        <v>132474.65450965078</v>
      </c>
      <c r="N733" s="377">
        <f t="shared" si="504"/>
        <v>136024.97525050939</v>
      </c>
      <c r="O733" s="377">
        <f t="shared" si="504"/>
        <v>139670.44458722306</v>
      </c>
      <c r="P733" s="377">
        <f t="shared" si="504"/>
        <v>143413.6125021606</v>
      </c>
      <c r="Q733" s="377">
        <f t="shared" si="504"/>
        <v>147257.09731721852</v>
      </c>
    </row>
    <row r="734" spans="1:17" ht="14.4">
      <c r="A734" s="370"/>
      <c r="B734" s="374"/>
      <c r="C734" s="374"/>
      <c r="D734" s="374"/>
      <c r="E734" s="374"/>
      <c r="F734" s="374"/>
      <c r="G734" s="374"/>
      <c r="H734" s="374"/>
      <c r="I734" s="374"/>
      <c r="J734" s="374"/>
      <c r="K734" s="374"/>
      <c r="L734" s="374"/>
      <c r="M734" s="374"/>
      <c r="N734" s="374"/>
      <c r="O734" s="374"/>
      <c r="P734" s="374"/>
      <c r="Q734" s="374"/>
    </row>
    <row r="735" spans="1:17" ht="14.4">
      <c r="A735" s="366" t="s">
        <v>68</v>
      </c>
      <c r="B735" s="368"/>
      <c r="C735" s="368"/>
      <c r="D735" s="368"/>
      <c r="E735" s="368"/>
      <c r="F735" s="368"/>
      <c r="G735" s="368"/>
      <c r="H735" s="368"/>
      <c r="I735" s="368"/>
      <c r="J735" s="368"/>
      <c r="K735" s="368"/>
      <c r="L735" s="368"/>
      <c r="M735" s="368"/>
      <c r="N735" s="368"/>
      <c r="O735" s="368"/>
      <c r="P735" s="368"/>
      <c r="Q735" s="368"/>
    </row>
    <row r="736" spans="1:17" ht="14.4">
      <c r="A736" s="366" t="s">
        <v>296</v>
      </c>
      <c r="B736" s="378">
        <f>+SUM(C736:Q736)</f>
        <v>11529.370291765843</v>
      </c>
      <c r="C736" s="367">
        <f>SUM('Initial Data'!$C$77:$C$80)/'Initial Data'!$C$14/1000</f>
        <v>634.57339732142862</v>
      </c>
      <c r="D736" s="367">
        <f>+C736*(1+'Initial Data'!$C$20/100)</f>
        <v>651.57996436964288</v>
      </c>
      <c r="E736" s="367">
        <f>+D736*(1+'Initial Data'!$C$20/100)</f>
        <v>669.0423074147493</v>
      </c>
      <c r="F736" s="367">
        <f>+E736*(1+'Initial Data'!$C$20/100)</f>
        <v>686.97264125346453</v>
      </c>
      <c r="G736" s="367">
        <f>+F736*(1+'Initial Data'!$C$20/100)</f>
        <v>705.38350803905735</v>
      </c>
      <c r="H736" s="367">
        <f>+G736*(1+'Initial Data'!$C$20/100)</f>
        <v>724.28778605450407</v>
      </c>
      <c r="I736" s="367">
        <f>+H736*(1+'Initial Data'!$C$20/100)</f>
        <v>743.6986987207647</v>
      </c>
      <c r="J736" s="367">
        <f>+I736*(1+'Initial Data'!$C$20/100)</f>
        <v>763.62982384648114</v>
      </c>
      <c r="K736" s="367">
        <f>+J736*(1+'Initial Data'!$C$20/100)</f>
        <v>784.09510312556677</v>
      </c>
      <c r="L736" s="367">
        <f>+K736*(1+'Initial Data'!$C$20/100)</f>
        <v>805.10885188933196</v>
      </c>
      <c r="M736" s="367">
        <f>+L736*(1+'Initial Data'!$C$20/100)</f>
        <v>826.68576911996604</v>
      </c>
      <c r="N736" s="367">
        <f>+M736*(1+'Initial Data'!$C$20/100)</f>
        <v>848.8409477323811</v>
      </c>
      <c r="O736" s="367">
        <f>+N736*(1+'Initial Data'!$C$20/100)</f>
        <v>871.58988513160887</v>
      </c>
      <c r="P736" s="367">
        <f>+O736*(1+'Initial Data'!$C$20/100)</f>
        <v>894.94849405313596</v>
      </c>
      <c r="Q736" s="367">
        <f>+P736*(1+'Initial Data'!$C$20/100)</f>
        <v>918.93311369375999</v>
      </c>
    </row>
    <row r="737" spans="1:17" ht="14.4">
      <c r="A737" s="366" t="s">
        <v>297</v>
      </c>
      <c r="B737" s="378">
        <f>+SUM(C737:Q737)</f>
        <v>13836.767075562186</v>
      </c>
      <c r="C737" s="367">
        <f>('Initial Data'!$C$82/1000+('Initial Data'!$C$83*'Initial Data'!$C$15/'Initial Data'!$C$14)/1000+'Initial Data'!$C$84/'Initial Data'!$C$14/1000)</f>
        <v>761.57188717892859</v>
      </c>
      <c r="D737" s="367">
        <f>+C737*(1+'Initial Data'!$C$20/100)</f>
        <v>781.98201375532381</v>
      </c>
      <c r="E737" s="367">
        <f>+D737*(1+'Initial Data'!$C$20/100)</f>
        <v>802.9391317239664</v>
      </c>
      <c r="F737" s="367">
        <f>+E737*(1+'Initial Data'!$C$20/100)</f>
        <v>824.45790045416868</v>
      </c>
      <c r="G737" s="367">
        <f>+F737*(1+'Initial Data'!$C$20/100)</f>
        <v>846.55337218634031</v>
      </c>
      <c r="H737" s="367">
        <f>+G737*(1+'Initial Data'!$C$20/100)</f>
        <v>869.24100256093413</v>
      </c>
      <c r="I737" s="367">
        <f>+H737*(1+'Initial Data'!$C$20/100)</f>
        <v>892.53666142956706</v>
      </c>
      <c r="J737" s="367">
        <f>+I737*(1+'Initial Data'!$C$20/100)</f>
        <v>916.45664395587937</v>
      </c>
      <c r="K737" s="367">
        <f>+J737*(1+'Initial Data'!$C$20/100)</f>
        <v>941.01768201389689</v>
      </c>
      <c r="L737" s="367">
        <f>+K737*(1+'Initial Data'!$C$20/100)</f>
        <v>966.23695589186923</v>
      </c>
      <c r="M737" s="367">
        <f>+L737*(1+'Initial Data'!$C$20/100)</f>
        <v>992.1321063097713</v>
      </c>
      <c r="N737" s="367">
        <f>+M737*(1+'Initial Data'!$C$20/100)</f>
        <v>1018.7212467588731</v>
      </c>
      <c r="O737" s="367">
        <f>+N737*(1+'Initial Data'!$C$20/100)</f>
        <v>1046.0229761720109</v>
      </c>
      <c r="P737" s="367">
        <f>+O737*(1+'Initial Data'!$C$20/100)</f>
        <v>1074.0563919334206</v>
      </c>
      <c r="Q737" s="367">
        <f>+P737*(1+'Initial Data'!$C$20/100)</f>
        <v>1102.8411032372362</v>
      </c>
    </row>
    <row r="738" spans="1:17" ht="14.4">
      <c r="A738" s="370"/>
      <c r="B738" s="369"/>
      <c r="C738" s="382"/>
      <c r="D738" s="369"/>
      <c r="E738" s="369"/>
      <c r="F738" s="369"/>
      <c r="G738" s="369"/>
      <c r="H738" s="369"/>
      <c r="I738" s="369"/>
      <c r="J738" s="369"/>
      <c r="K738" s="369"/>
      <c r="L738" s="369"/>
      <c r="M738" s="369"/>
      <c r="N738" s="369"/>
      <c r="O738" s="369"/>
      <c r="P738" s="369"/>
      <c r="Q738" s="369"/>
    </row>
    <row r="739" spans="1:17" ht="14.4">
      <c r="A739" s="366" t="s">
        <v>71</v>
      </c>
      <c r="B739" s="379"/>
      <c r="C739" s="379"/>
      <c r="D739" s="379"/>
      <c r="E739" s="379"/>
      <c r="F739" s="379"/>
      <c r="G739" s="379"/>
      <c r="H739" s="379"/>
      <c r="I739" s="379"/>
      <c r="J739" s="379"/>
      <c r="K739" s="379"/>
      <c r="L739" s="379"/>
      <c r="M739" s="379"/>
      <c r="N739" s="379"/>
      <c r="O739" s="379"/>
      <c r="P739" s="379"/>
      <c r="Q739" s="379"/>
    </row>
    <row r="740" spans="1:17" ht="14.4">
      <c r="A740" s="370"/>
      <c r="B740" s="379"/>
      <c r="C740" s="379"/>
      <c r="D740" s="379"/>
      <c r="E740" s="379"/>
      <c r="F740" s="379"/>
      <c r="G740" s="379"/>
      <c r="H740" s="379"/>
      <c r="I740" s="379"/>
      <c r="J740" s="379"/>
      <c r="K740" s="379"/>
      <c r="L740" s="379"/>
      <c r="M740" s="379"/>
      <c r="N740" s="379"/>
      <c r="O740" s="379"/>
      <c r="P740" s="379"/>
      <c r="Q740" s="379"/>
    </row>
    <row r="741" spans="1:17" ht="14.4">
      <c r="A741" s="366" t="s">
        <v>298</v>
      </c>
      <c r="B741" s="378">
        <f>+SUM(C741:Q741)</f>
        <v>25366.137367328029</v>
      </c>
      <c r="C741" s="367">
        <f>SUM(C736:C737)</f>
        <v>1396.1452845003573</v>
      </c>
      <c r="D741" s="367">
        <f>SUM(D736:D737)</f>
        <v>1433.5619781249666</v>
      </c>
      <c r="E741" s="367">
        <f t="shared" ref="E741:Q741" si="505">SUM(E736:E737)</f>
        <v>1471.9814391387158</v>
      </c>
      <c r="F741" s="367">
        <f t="shared" si="505"/>
        <v>1511.4305417076332</v>
      </c>
      <c r="G741" s="367">
        <f t="shared" si="505"/>
        <v>1551.9368802253975</v>
      </c>
      <c r="H741" s="367">
        <f t="shared" si="505"/>
        <v>1593.5287886154383</v>
      </c>
      <c r="I741" s="367">
        <f t="shared" si="505"/>
        <v>1636.2353601503319</v>
      </c>
      <c r="J741" s="367">
        <f t="shared" si="505"/>
        <v>1680.0864678023604</v>
      </c>
      <c r="K741" s="367">
        <f t="shared" si="505"/>
        <v>1725.1127851394635</v>
      </c>
      <c r="L741" s="367">
        <f t="shared" si="505"/>
        <v>1771.3458077812011</v>
      </c>
      <c r="M741" s="367">
        <f t="shared" si="505"/>
        <v>1818.8178754297373</v>
      </c>
      <c r="N741" s="367">
        <f t="shared" si="505"/>
        <v>1867.5621944912541</v>
      </c>
      <c r="O741" s="367">
        <f t="shared" si="505"/>
        <v>1917.6128613036199</v>
      </c>
      <c r="P741" s="367">
        <f t="shared" si="505"/>
        <v>1969.0048859865565</v>
      </c>
      <c r="Q741" s="367">
        <f t="shared" si="505"/>
        <v>2021.7742169309963</v>
      </c>
    </row>
    <row r="742" spans="1:17" ht="14.4">
      <c r="A742" s="370"/>
      <c r="B742" s="379"/>
      <c r="C742" s="379"/>
      <c r="D742" s="379"/>
      <c r="E742" s="379"/>
      <c r="F742" s="379"/>
      <c r="G742" s="379"/>
      <c r="H742" s="379"/>
      <c r="I742" s="379"/>
      <c r="J742" s="379"/>
      <c r="K742" s="379"/>
      <c r="L742" s="379"/>
      <c r="M742" s="379"/>
      <c r="N742" s="379"/>
      <c r="O742" s="379"/>
      <c r="P742" s="379"/>
      <c r="Q742" s="379"/>
    </row>
    <row r="743" spans="1:17" ht="14.4">
      <c r="A743" s="366" t="s">
        <v>299</v>
      </c>
      <c r="B743" s="378">
        <f t="shared" ref="B743:B744" si="506">+SUM(C743:Q743)</f>
        <v>43884.879418749995</v>
      </c>
      <c r="C743" s="367">
        <f>'WHRS_Project Scenario'!$C$8/'Initial Data'!$C$19</f>
        <v>4388.4879418749997</v>
      </c>
      <c r="D743" s="367">
        <f>'WHRS_Project Scenario'!$C$8/'Initial Data'!$C$19</f>
        <v>4388.4879418749997</v>
      </c>
      <c r="E743" s="367">
        <f>'WHRS_Project Scenario'!$C$8/'Initial Data'!$C$19</f>
        <v>4388.4879418749997</v>
      </c>
      <c r="F743" s="367">
        <f>'WHRS_Project Scenario'!$C$8/'Initial Data'!$C$19</f>
        <v>4388.4879418749997</v>
      </c>
      <c r="G743" s="367">
        <f>'WHRS_Project Scenario'!$C$8/'Initial Data'!$C$19</f>
        <v>4388.4879418749997</v>
      </c>
      <c r="H743" s="367">
        <f>'WHRS_Project Scenario'!$C$8/'Initial Data'!$C$19</f>
        <v>4388.4879418749997</v>
      </c>
      <c r="I743" s="367">
        <f>'WHRS_Project Scenario'!$C$8/'Initial Data'!$C$19</f>
        <v>4388.4879418749997</v>
      </c>
      <c r="J743" s="367">
        <f>'WHRS_Project Scenario'!$C$8/'Initial Data'!$C$19</f>
        <v>4388.4879418749997</v>
      </c>
      <c r="K743" s="367">
        <f>'WHRS_Project Scenario'!$C$8/'Initial Data'!$C$19</f>
        <v>4388.4879418749997</v>
      </c>
      <c r="L743" s="367">
        <f>'WHRS_Project Scenario'!$C$8/'Initial Data'!$C$19</f>
        <v>4388.4879418749997</v>
      </c>
      <c r="M743" s="367">
        <v>0</v>
      </c>
      <c r="N743" s="367">
        <v>0</v>
      </c>
      <c r="O743" s="367">
        <v>0</v>
      </c>
      <c r="P743" s="367">
        <v>0</v>
      </c>
      <c r="Q743" s="367">
        <v>0</v>
      </c>
    </row>
    <row r="744" spans="1:17" ht="14.4">
      <c r="A744" s="366" t="s">
        <v>300</v>
      </c>
      <c r="B744" s="378">
        <f t="shared" si="506"/>
        <v>43884.879418749995</v>
      </c>
      <c r="C744" s="367">
        <f>SUM(C743:C743)</f>
        <v>4388.4879418749997</v>
      </c>
      <c r="D744" s="367">
        <f t="shared" ref="D744:Q744" si="507">SUM(D743:D743)</f>
        <v>4388.4879418749997</v>
      </c>
      <c r="E744" s="367">
        <f t="shared" si="507"/>
        <v>4388.4879418749997</v>
      </c>
      <c r="F744" s="367">
        <f t="shared" si="507"/>
        <v>4388.4879418749997</v>
      </c>
      <c r="G744" s="367">
        <f t="shared" si="507"/>
        <v>4388.4879418749997</v>
      </c>
      <c r="H744" s="367">
        <f t="shared" si="507"/>
        <v>4388.4879418749997</v>
      </c>
      <c r="I744" s="367">
        <f t="shared" si="507"/>
        <v>4388.4879418749997</v>
      </c>
      <c r="J744" s="367">
        <f t="shared" si="507"/>
        <v>4388.4879418749997</v>
      </c>
      <c r="K744" s="367">
        <f t="shared" si="507"/>
        <v>4388.4879418749997</v>
      </c>
      <c r="L744" s="367">
        <f t="shared" si="507"/>
        <v>4388.4879418749997</v>
      </c>
      <c r="M744" s="367">
        <f t="shared" si="507"/>
        <v>0</v>
      </c>
      <c r="N744" s="367">
        <f t="shared" si="507"/>
        <v>0</v>
      </c>
      <c r="O744" s="367">
        <f t="shared" si="507"/>
        <v>0</v>
      </c>
      <c r="P744" s="367">
        <f t="shared" si="507"/>
        <v>0</v>
      </c>
      <c r="Q744" s="367">
        <f t="shared" si="507"/>
        <v>0</v>
      </c>
    </row>
    <row r="745" spans="1:17" ht="14.4">
      <c r="A745" s="370"/>
      <c r="B745" s="379"/>
      <c r="C745" s="379"/>
      <c r="D745" s="379"/>
      <c r="E745" s="379"/>
      <c r="F745" s="379"/>
      <c r="G745" s="379"/>
      <c r="H745" s="379"/>
      <c r="I745" s="379"/>
      <c r="J745" s="379"/>
      <c r="K745" s="379"/>
      <c r="L745" s="379"/>
      <c r="M745" s="379"/>
      <c r="N745" s="379"/>
      <c r="O745" s="379"/>
      <c r="P745" s="379"/>
      <c r="Q745" s="379"/>
    </row>
    <row r="746" spans="1:17" ht="14.4">
      <c r="A746" s="366" t="s">
        <v>301</v>
      </c>
      <c r="B746" s="378">
        <f>+SUM(C746:Q746)</f>
        <v>69251.016786078035</v>
      </c>
      <c r="C746" s="367">
        <f>+C741+C744</f>
        <v>5784.6332263753575</v>
      </c>
      <c r="D746" s="367">
        <f>+D741+D744</f>
        <v>5822.0499199999667</v>
      </c>
      <c r="E746" s="367">
        <f t="shared" ref="E746:Q746" si="508">+E741+E744</f>
        <v>5860.469381013716</v>
      </c>
      <c r="F746" s="367">
        <f t="shared" si="508"/>
        <v>5899.9184835826327</v>
      </c>
      <c r="G746" s="367">
        <f t="shared" si="508"/>
        <v>5940.4248221003973</v>
      </c>
      <c r="H746" s="367">
        <f t="shared" si="508"/>
        <v>5982.016730490438</v>
      </c>
      <c r="I746" s="367">
        <f t="shared" si="508"/>
        <v>6024.7233020253316</v>
      </c>
      <c r="J746" s="367">
        <f t="shared" si="508"/>
        <v>6068.5744096773597</v>
      </c>
      <c r="K746" s="367">
        <f t="shared" si="508"/>
        <v>6113.6007270144637</v>
      </c>
      <c r="L746" s="367">
        <f t="shared" si="508"/>
        <v>6159.8337496562008</v>
      </c>
      <c r="M746" s="367">
        <f t="shared" si="508"/>
        <v>1818.8178754297373</v>
      </c>
      <c r="N746" s="367">
        <f t="shared" si="508"/>
        <v>1867.5621944912541</v>
      </c>
      <c r="O746" s="367">
        <f t="shared" si="508"/>
        <v>1917.6128613036199</v>
      </c>
      <c r="P746" s="367">
        <f t="shared" si="508"/>
        <v>1969.0048859865565</v>
      </c>
      <c r="Q746" s="367">
        <f t="shared" si="508"/>
        <v>2021.7742169309963</v>
      </c>
    </row>
    <row r="747" spans="1:17" ht="14.4">
      <c r="A747" s="370"/>
      <c r="B747" s="379"/>
      <c r="C747" s="379"/>
      <c r="D747" s="379"/>
      <c r="E747" s="379"/>
      <c r="F747" s="379"/>
      <c r="G747" s="379"/>
      <c r="H747" s="379"/>
      <c r="I747" s="379"/>
      <c r="J747" s="379"/>
      <c r="K747" s="379"/>
      <c r="L747" s="379"/>
      <c r="M747" s="379"/>
      <c r="N747" s="379"/>
      <c r="O747" s="379"/>
      <c r="P747" s="379"/>
      <c r="Q747" s="379"/>
    </row>
    <row r="748" spans="1:17" ht="14.4">
      <c r="A748" s="364" t="s">
        <v>302</v>
      </c>
      <c r="B748" s="378">
        <f>+SUM(C748:Q748)</f>
        <v>1778306.3056792945</v>
      </c>
      <c r="C748" s="367">
        <f>+C733-C746</f>
        <v>95904.418056872746</v>
      </c>
      <c r="D748" s="367">
        <f>+D733-D746</f>
        <v>98592.26793763919</v>
      </c>
      <c r="E748" s="367">
        <f t="shared" ref="E748:Q748" si="509">+E733-E746</f>
        <v>101352.15219521016</v>
      </c>
      <c r="F748" s="367">
        <f t="shared" si="509"/>
        <v>104186.00135088403</v>
      </c>
      <c r="G748" s="367">
        <f t="shared" si="509"/>
        <v>107095.79766392996</v>
      </c>
      <c r="H748" s="367">
        <f t="shared" si="509"/>
        <v>110083.57651816554</v>
      </c>
      <c r="I748" s="367">
        <f t="shared" si="509"/>
        <v>113151.42784569462</v>
      </c>
      <c r="J748" s="367">
        <f t="shared" si="509"/>
        <v>116301.49758880146</v>
      </c>
      <c r="K748" s="367">
        <f t="shared" si="509"/>
        <v>119535.98920102358</v>
      </c>
      <c r="L748" s="367">
        <f t="shared" si="509"/>
        <v>122857.16518845328</v>
      </c>
      <c r="M748" s="367">
        <f t="shared" si="509"/>
        <v>130655.83663422104</v>
      </c>
      <c r="N748" s="367">
        <f t="shared" si="509"/>
        <v>134157.41305601815</v>
      </c>
      <c r="O748" s="367">
        <f t="shared" si="509"/>
        <v>137752.83172591944</v>
      </c>
      <c r="P748" s="367">
        <f t="shared" si="509"/>
        <v>141444.60761617403</v>
      </c>
      <c r="Q748" s="367">
        <f t="shared" si="509"/>
        <v>145235.32310028753</v>
      </c>
    </row>
    <row r="749" spans="1:17" ht="14.4">
      <c r="A749" s="364"/>
    </row>
    <row r="750" spans="1:17" ht="14.4">
      <c r="A750" s="364" t="s">
        <v>222</v>
      </c>
      <c r="B750" s="380">
        <f>+'WHRS_Project Scenario'!C39</f>
        <v>0.7</v>
      </c>
      <c r="C750" s="367">
        <f>IF((+$B$712*C748)&lt;0,"0",(+$B$712*C748))</f>
        <v>67133.092639810915</v>
      </c>
      <c r="D750" s="367">
        <f t="shared" ref="D750:Q750" si="510">IF((+$B$674*D748)&lt;0,"0",(+$B$674*D748))</f>
        <v>69014.587556347426</v>
      </c>
      <c r="E750" s="367">
        <f t="shared" si="510"/>
        <v>70946.50653664711</v>
      </c>
      <c r="F750" s="367">
        <f t="shared" si="510"/>
        <v>72930.200945618824</v>
      </c>
      <c r="G750" s="367">
        <f t="shared" si="510"/>
        <v>74967.058364750963</v>
      </c>
      <c r="H750" s="367">
        <f t="shared" si="510"/>
        <v>77058.50356271588</v>
      </c>
      <c r="I750" s="367">
        <f t="shared" si="510"/>
        <v>79205.999491986222</v>
      </c>
      <c r="J750" s="367">
        <f t="shared" si="510"/>
        <v>81411.048312161016</v>
      </c>
      <c r="K750" s="367">
        <f t="shared" si="510"/>
        <v>83675.192440716506</v>
      </c>
      <c r="L750" s="367">
        <f t="shared" si="510"/>
        <v>86000.015631917282</v>
      </c>
      <c r="M750" s="367">
        <f t="shared" si="510"/>
        <v>91459.085643954721</v>
      </c>
      <c r="N750" s="367">
        <f t="shared" si="510"/>
        <v>93910.1891392127</v>
      </c>
      <c r="O750" s="367">
        <f t="shared" si="510"/>
        <v>96426.9822081436</v>
      </c>
      <c r="P750" s="367">
        <f t="shared" si="510"/>
        <v>99011.225331321824</v>
      </c>
      <c r="Q750" s="367">
        <f t="shared" si="510"/>
        <v>101664.72617020126</v>
      </c>
    </row>
    <row r="751" spans="1:17" ht="14.4">
      <c r="A751" s="364" t="s">
        <v>303</v>
      </c>
      <c r="B751" s="378">
        <f>+SUM(C751:Q751)</f>
        <v>1244814.4139755063</v>
      </c>
      <c r="C751" s="367">
        <f>SUM(C750:C750)</f>
        <v>67133.092639810915</v>
      </c>
      <c r="D751" s="367">
        <f t="shared" ref="D751:Q751" si="511">SUM(D750:D750)</f>
        <v>69014.587556347426</v>
      </c>
      <c r="E751" s="367">
        <f t="shared" si="511"/>
        <v>70946.50653664711</v>
      </c>
      <c r="F751" s="367">
        <f t="shared" si="511"/>
        <v>72930.200945618824</v>
      </c>
      <c r="G751" s="367">
        <f t="shared" si="511"/>
        <v>74967.058364750963</v>
      </c>
      <c r="H751" s="367">
        <f t="shared" si="511"/>
        <v>77058.50356271588</v>
      </c>
      <c r="I751" s="367">
        <f t="shared" si="511"/>
        <v>79205.999491986222</v>
      </c>
      <c r="J751" s="367">
        <f t="shared" si="511"/>
        <v>81411.048312161016</v>
      </c>
      <c r="K751" s="367">
        <f t="shared" si="511"/>
        <v>83675.192440716506</v>
      </c>
      <c r="L751" s="367">
        <f t="shared" si="511"/>
        <v>86000.015631917282</v>
      </c>
      <c r="M751" s="367">
        <f t="shared" si="511"/>
        <v>91459.085643954721</v>
      </c>
      <c r="N751" s="367">
        <f t="shared" si="511"/>
        <v>93910.1891392127</v>
      </c>
      <c r="O751" s="367">
        <f t="shared" si="511"/>
        <v>96426.9822081436</v>
      </c>
      <c r="P751" s="367">
        <f t="shared" si="511"/>
        <v>99011.225331321824</v>
      </c>
      <c r="Q751" s="367">
        <f t="shared" si="511"/>
        <v>101664.72617020126</v>
      </c>
    </row>
    <row r="752" spans="1:17" ht="14.4">
      <c r="A752" s="369"/>
    </row>
    <row r="753" spans="1:17" ht="14.4">
      <c r="A753" s="364" t="s">
        <v>304</v>
      </c>
      <c r="B753" s="378">
        <f t="shared" ref="B753:B755" si="512">+SUM(C753:Q753)</f>
        <v>533491.89170378854</v>
      </c>
      <c r="C753" s="367">
        <f>C748-C751</f>
        <v>28771.325417061831</v>
      </c>
      <c r="D753" s="367">
        <f t="shared" ref="D753:Q753" si="513">D748-D751</f>
        <v>29577.680381291764</v>
      </c>
      <c r="E753" s="367">
        <f t="shared" si="513"/>
        <v>30405.645658563051</v>
      </c>
      <c r="F753" s="367">
        <f t="shared" si="513"/>
        <v>31255.80040526521</v>
      </c>
      <c r="G753" s="367">
        <f t="shared" si="513"/>
        <v>32128.739299178997</v>
      </c>
      <c r="H753" s="367">
        <f t="shared" si="513"/>
        <v>33025.072955449665</v>
      </c>
      <c r="I753" s="367">
        <f t="shared" si="513"/>
        <v>33945.428353708397</v>
      </c>
      <c r="J753" s="367">
        <f t="shared" si="513"/>
        <v>34890.449276640444</v>
      </c>
      <c r="K753" s="367">
        <f t="shared" si="513"/>
        <v>35860.796760307072</v>
      </c>
      <c r="L753" s="367">
        <f t="shared" si="513"/>
        <v>36857.149556535995</v>
      </c>
      <c r="M753" s="367">
        <f t="shared" si="513"/>
        <v>39196.750990266315</v>
      </c>
      <c r="N753" s="367">
        <f t="shared" si="513"/>
        <v>40247.223916805451</v>
      </c>
      <c r="O753" s="367">
        <f t="shared" si="513"/>
        <v>41325.849517775845</v>
      </c>
      <c r="P753" s="367">
        <f t="shared" si="513"/>
        <v>42433.38228485221</v>
      </c>
      <c r="Q753" s="367">
        <f t="shared" si="513"/>
        <v>43570.596930086263</v>
      </c>
    </row>
    <row r="754" spans="1:17" ht="14.4">
      <c r="A754" s="364" t="s">
        <v>305</v>
      </c>
      <c r="B754" s="378">
        <f t="shared" si="512"/>
        <v>43884.879418749995</v>
      </c>
      <c r="C754" s="367">
        <f>+C743</f>
        <v>4388.4879418749997</v>
      </c>
      <c r="D754" s="367">
        <f t="shared" ref="D754:Q754" si="514">+D743</f>
        <v>4388.4879418749997</v>
      </c>
      <c r="E754" s="367">
        <f t="shared" si="514"/>
        <v>4388.4879418749997</v>
      </c>
      <c r="F754" s="367">
        <f t="shared" si="514"/>
        <v>4388.4879418749997</v>
      </c>
      <c r="G754" s="367">
        <f t="shared" si="514"/>
        <v>4388.4879418749997</v>
      </c>
      <c r="H754" s="367">
        <f t="shared" si="514"/>
        <v>4388.4879418749997</v>
      </c>
      <c r="I754" s="367">
        <f t="shared" si="514"/>
        <v>4388.4879418749997</v>
      </c>
      <c r="J754" s="367">
        <f t="shared" si="514"/>
        <v>4388.4879418749997</v>
      </c>
      <c r="K754" s="367">
        <f t="shared" si="514"/>
        <v>4388.4879418749997</v>
      </c>
      <c r="L754" s="367">
        <f t="shared" si="514"/>
        <v>4388.4879418749997</v>
      </c>
      <c r="M754" s="367">
        <f t="shared" si="514"/>
        <v>0</v>
      </c>
      <c r="N754" s="367">
        <f t="shared" si="514"/>
        <v>0</v>
      </c>
      <c r="O754" s="367">
        <f t="shared" si="514"/>
        <v>0</v>
      </c>
      <c r="P754" s="367">
        <f t="shared" si="514"/>
        <v>0</v>
      </c>
      <c r="Q754" s="367">
        <f t="shared" si="514"/>
        <v>0</v>
      </c>
    </row>
    <row r="755" spans="1:17" ht="14.4">
      <c r="A755" s="364" t="s">
        <v>306</v>
      </c>
      <c r="B755" s="378">
        <f t="shared" si="512"/>
        <v>0</v>
      </c>
      <c r="C755" s="367">
        <f>+'WHRS_Project Scenario'!D728</f>
        <v>0</v>
      </c>
      <c r="D755" s="367">
        <f>+'WHRS_Project Scenario'!E728</f>
        <v>0</v>
      </c>
      <c r="E755" s="367">
        <f>+'WHRS_Project Scenario'!F728</f>
        <v>0</v>
      </c>
      <c r="F755" s="367">
        <f>+'WHRS_Project Scenario'!G728</f>
        <v>0</v>
      </c>
      <c r="G755" s="367">
        <f>+'WHRS_Project Scenario'!H728</f>
        <v>0</v>
      </c>
      <c r="H755" s="367">
        <f>+'WHRS_Project Scenario'!I728</f>
        <v>0</v>
      </c>
      <c r="I755" s="367">
        <f>+'WHRS_Project Scenario'!J728</f>
        <v>0</v>
      </c>
      <c r="J755" s="367">
        <f>+'WHRS_Project Scenario'!K728</f>
        <v>0</v>
      </c>
      <c r="K755" s="367">
        <f>+'WHRS_Project Scenario'!L728</f>
        <v>0</v>
      </c>
      <c r="L755" s="367">
        <f>+'WHRS_Project Scenario'!M728</f>
        <v>0</v>
      </c>
      <c r="M755" s="367">
        <f>+'WHRS_Project Scenario'!N728</f>
        <v>0</v>
      </c>
      <c r="N755" s="367">
        <f>+'WHRS_Project Scenario'!O728</f>
        <v>0</v>
      </c>
      <c r="O755" s="367">
        <f>+'WHRS_Project Scenario'!P728</f>
        <v>0</v>
      </c>
      <c r="P755" s="367">
        <f>+'WHRS_Project Scenario'!Q728</f>
        <v>0</v>
      </c>
      <c r="Q755" s="367">
        <f>+'WHRS_Project Scenario'!R728</f>
        <v>0</v>
      </c>
    </row>
    <row r="756" spans="1:17" ht="14.4">
      <c r="A756" s="364"/>
    </row>
    <row r="757" spans="1:17" ht="14.4">
      <c r="A757" s="364" t="s">
        <v>110</v>
      </c>
      <c r="B757" s="378">
        <f>-'WHRS_Project Scenario'!C8</f>
        <v>-43884.879418749995</v>
      </c>
      <c r="C757" s="367">
        <f>C753+C754+C755</f>
        <v>33159.81335893683</v>
      </c>
      <c r="D757" s="367">
        <f t="shared" ref="D757:Q757" si="515">D753+D754+D755</f>
        <v>33966.168323166763</v>
      </c>
      <c r="E757" s="367">
        <f t="shared" si="515"/>
        <v>34794.13360043805</v>
      </c>
      <c r="F757" s="367">
        <f t="shared" si="515"/>
        <v>35644.288347140209</v>
      </c>
      <c r="G757" s="367">
        <f t="shared" si="515"/>
        <v>36517.227241053995</v>
      </c>
      <c r="H757" s="367">
        <f t="shared" si="515"/>
        <v>37413.560897324664</v>
      </c>
      <c r="I757" s="367">
        <f t="shared" si="515"/>
        <v>38333.916295583396</v>
      </c>
      <c r="J757" s="367">
        <f t="shared" si="515"/>
        <v>39278.937218515443</v>
      </c>
      <c r="K757" s="367">
        <f t="shared" si="515"/>
        <v>40249.284702182071</v>
      </c>
      <c r="L757" s="367">
        <f t="shared" si="515"/>
        <v>41245.637498410993</v>
      </c>
      <c r="M757" s="367">
        <f t="shared" si="515"/>
        <v>39196.750990266315</v>
      </c>
      <c r="N757" s="367">
        <f t="shared" si="515"/>
        <v>40247.223916805451</v>
      </c>
      <c r="O757" s="367">
        <f t="shared" si="515"/>
        <v>41325.849517775845</v>
      </c>
      <c r="P757" s="367">
        <f t="shared" si="515"/>
        <v>42433.38228485221</v>
      </c>
      <c r="Q757" s="367">
        <f t="shared" si="515"/>
        <v>43570.596930086263</v>
      </c>
    </row>
    <row r="758" spans="1:17" ht="15.6">
      <c r="A758" s="364" t="s">
        <v>51</v>
      </c>
      <c r="B758" s="132">
        <f>IRR(B757:Q757)</f>
        <v>0.77961133559698925</v>
      </c>
    </row>
    <row r="759" spans="1:17" ht="15.6">
      <c r="A759" s="364" t="s">
        <v>267</v>
      </c>
      <c r="B759" s="303">
        <f>NPV('Initial Data'!C21/100,B757:Q757)</f>
        <v>186254.30866578643</v>
      </c>
    </row>
    <row r="761" spans="1:17" ht="14.4">
      <c r="A761" s="508" t="s">
        <v>324</v>
      </c>
      <c r="B761" s="509"/>
      <c r="C761" s="509"/>
      <c r="D761" s="509"/>
      <c r="E761" s="509"/>
      <c r="F761" s="509"/>
      <c r="G761" s="509"/>
      <c r="H761" s="509"/>
      <c r="I761" s="509"/>
      <c r="J761" s="509"/>
      <c r="K761" s="509"/>
      <c r="L761" s="509"/>
      <c r="M761" s="509"/>
      <c r="N761" s="509"/>
      <c r="O761" s="509"/>
      <c r="P761" s="509"/>
      <c r="Q761" s="509"/>
    </row>
    <row r="762" spans="1:17" ht="14.4">
      <c r="A762" s="371" t="s">
        <v>328</v>
      </c>
      <c r="B762" s="372"/>
      <c r="C762" s="372"/>
      <c r="D762" s="372"/>
      <c r="E762" s="372"/>
      <c r="F762" s="372"/>
      <c r="G762" s="372"/>
      <c r="H762" s="372"/>
      <c r="I762" s="372"/>
      <c r="J762" s="372"/>
      <c r="K762" s="372"/>
      <c r="L762" s="372"/>
      <c r="M762" s="372"/>
      <c r="N762" s="372"/>
      <c r="O762" s="372"/>
      <c r="P762" s="372"/>
      <c r="Q762" s="372"/>
    </row>
    <row r="763" spans="1:17" ht="27">
      <c r="A763" s="376"/>
      <c r="B763" s="304" t="s">
        <v>35</v>
      </c>
      <c r="C763" s="352" t="s">
        <v>407</v>
      </c>
      <c r="D763" s="352" t="s">
        <v>408</v>
      </c>
      <c r="E763" s="352" t="s">
        <v>409</v>
      </c>
      <c r="F763" s="352" t="s">
        <v>410</v>
      </c>
      <c r="G763" s="352" t="s">
        <v>411</v>
      </c>
      <c r="H763" s="352" t="s">
        <v>412</v>
      </c>
      <c r="I763" s="352" t="s">
        <v>413</v>
      </c>
      <c r="J763" s="352" t="s">
        <v>414</v>
      </c>
      <c r="K763" s="352" t="s">
        <v>415</v>
      </c>
      <c r="L763" s="352" t="s">
        <v>416</v>
      </c>
      <c r="M763" s="352" t="s">
        <v>417</v>
      </c>
      <c r="N763" s="352" t="s">
        <v>418</v>
      </c>
      <c r="O763" s="352" t="s">
        <v>419</v>
      </c>
      <c r="P763" s="352" t="s">
        <v>420</v>
      </c>
      <c r="Q763" s="352" t="s">
        <v>421</v>
      </c>
    </row>
    <row r="764" spans="1:17" ht="14.4">
      <c r="A764" s="363" t="s">
        <v>290</v>
      </c>
      <c r="B764" s="365"/>
      <c r="C764" s="381">
        <f>+'WHRS_Project Scenario'!D15*(1+$F$6)</f>
        <v>236736.41568586859</v>
      </c>
      <c r="D764" s="381">
        <f>+'WHRS_Project Scenario'!E15*(1+$F$6)</f>
        <v>236736.41568586859</v>
      </c>
      <c r="E764" s="381">
        <f>+'WHRS_Project Scenario'!F15*(1+$F$6)</f>
        <v>236736.41568586859</v>
      </c>
      <c r="F764" s="381">
        <f>+'WHRS_Project Scenario'!G15*(1+$F$6)</f>
        <v>236736.41568586859</v>
      </c>
      <c r="G764" s="381">
        <f>+'WHRS_Project Scenario'!H15*(1+$F$6)</f>
        <v>236736.41568586859</v>
      </c>
      <c r="H764" s="381">
        <f>+'WHRS_Project Scenario'!I15*(1+$F$6)</f>
        <v>236736.41568586859</v>
      </c>
      <c r="I764" s="381">
        <f>+'WHRS_Project Scenario'!J15*(1+$F$6)</f>
        <v>236736.41568586859</v>
      </c>
      <c r="J764" s="381">
        <f>+'WHRS_Project Scenario'!K15*(1+$F$6)</f>
        <v>236736.41568586859</v>
      </c>
      <c r="K764" s="381">
        <f>+'WHRS_Project Scenario'!L15*(1+$F$6)</f>
        <v>236736.41568586859</v>
      </c>
      <c r="L764" s="381">
        <f>+'WHRS_Project Scenario'!M15*(1+$F$6)</f>
        <v>236736.41568586859</v>
      </c>
      <c r="M764" s="381">
        <f>+'WHRS_Project Scenario'!N15*(1+$F$6)</f>
        <v>236736.41568586859</v>
      </c>
      <c r="N764" s="381">
        <f>+'WHRS_Project Scenario'!O15*(1+$F$6)</f>
        <v>236736.41568586859</v>
      </c>
      <c r="O764" s="381">
        <f>+'WHRS_Project Scenario'!P15*(1+$F$6)</f>
        <v>236736.41568586859</v>
      </c>
      <c r="P764" s="381">
        <f>+'WHRS_Project Scenario'!Q15*(1+$F$6)</f>
        <v>236736.41568586859</v>
      </c>
      <c r="Q764" s="381">
        <f>+'WHRS_Project Scenario'!R15*(1+$F$6)</f>
        <v>236736.41568586859</v>
      </c>
    </row>
    <row r="765" spans="1:17" ht="14.4">
      <c r="A765" s="364" t="s">
        <v>291</v>
      </c>
      <c r="B765" s="365"/>
      <c r="C765" s="377">
        <f>+'WHRS_Project Scenario'!D16</f>
        <v>70</v>
      </c>
      <c r="D765" s="377">
        <f>+'WHRS_Project Scenario'!E16</f>
        <v>70</v>
      </c>
      <c r="E765" s="377">
        <f>+'WHRS_Project Scenario'!F16</f>
        <v>70</v>
      </c>
      <c r="F765" s="377">
        <f>+'WHRS_Project Scenario'!G16</f>
        <v>70</v>
      </c>
      <c r="G765" s="377">
        <f>+'WHRS_Project Scenario'!H16</f>
        <v>70</v>
      </c>
      <c r="H765" s="377">
        <f>+'WHRS_Project Scenario'!I16</f>
        <v>70</v>
      </c>
      <c r="I765" s="377">
        <f>+'WHRS_Project Scenario'!J16</f>
        <v>70</v>
      </c>
      <c r="J765" s="377">
        <f>+'WHRS_Project Scenario'!K16</f>
        <v>70</v>
      </c>
      <c r="K765" s="377">
        <f>+'WHRS_Project Scenario'!L16</f>
        <v>70</v>
      </c>
      <c r="L765" s="377">
        <f>+'WHRS_Project Scenario'!M16</f>
        <v>70</v>
      </c>
      <c r="M765" s="377">
        <f>+'WHRS_Project Scenario'!N16</f>
        <v>70</v>
      </c>
      <c r="N765" s="377">
        <f>+'WHRS_Project Scenario'!O16</f>
        <v>70</v>
      </c>
      <c r="O765" s="377">
        <f>+'WHRS_Project Scenario'!P16</f>
        <v>70</v>
      </c>
      <c r="P765" s="377">
        <f>+'WHRS_Project Scenario'!Q16</f>
        <v>70</v>
      </c>
      <c r="Q765" s="377">
        <f>+'WHRS_Project Scenario'!R16</f>
        <v>70</v>
      </c>
    </row>
    <row r="766" spans="1:17" ht="14.4">
      <c r="A766" s="366" t="s">
        <v>292</v>
      </c>
      <c r="B766" s="365"/>
      <c r="C766" s="377">
        <f>+'WHRS_Project Scenario'!D17</f>
        <v>6.4285714285714288</v>
      </c>
      <c r="D766" s="377">
        <f>+'WHRS_Project Scenario'!E17</f>
        <v>6.6008571428571425</v>
      </c>
      <c r="E766" s="377">
        <f>+'WHRS_Project Scenario'!F17</f>
        <v>6.7777601142857131</v>
      </c>
      <c r="F766" s="377">
        <f>+'WHRS_Project Scenario'!G17</f>
        <v>6.9594040853485701</v>
      </c>
      <c r="G766" s="377">
        <f>+'WHRS_Project Scenario'!H17</f>
        <v>7.1459161148359112</v>
      </c>
      <c r="H766" s="377">
        <f>+'WHRS_Project Scenario'!I17</f>
        <v>7.3374266667135135</v>
      </c>
      <c r="I766" s="377">
        <f>+'WHRS_Project Scenario'!J17</f>
        <v>7.5340697013814353</v>
      </c>
      <c r="J766" s="377">
        <f>+'WHRS_Project Scenario'!K17</f>
        <v>7.7359827693784569</v>
      </c>
      <c r="K766" s="377">
        <f>+'WHRS_Project Scenario'!L17</f>
        <v>7.943307107597799</v>
      </c>
      <c r="L766" s="377">
        <f>+'WHRS_Project Scenario'!M17</f>
        <v>8.1561877380814192</v>
      </c>
      <c r="M766" s="377">
        <f>+'WHRS_Project Scenario'!N17</f>
        <v>8.3747735694620005</v>
      </c>
      <c r="N766" s="377">
        <f>+'WHRS_Project Scenario'!O17</f>
        <v>8.5992175011235812</v>
      </c>
      <c r="O766" s="377">
        <f>+'WHRS_Project Scenario'!P17</f>
        <v>8.8296765301536926</v>
      </c>
      <c r="P766" s="377">
        <f>+'WHRS_Project Scenario'!Q17</f>
        <v>9.066311861161811</v>
      </c>
      <c r="Q766" s="377">
        <f>+'WHRS_Project Scenario'!R17</f>
        <v>9.3092890190409463</v>
      </c>
    </row>
    <row r="767" spans="1:17" ht="14.4">
      <c r="A767" s="366" t="s">
        <v>293</v>
      </c>
      <c r="B767" s="365"/>
      <c r="C767" s="377">
        <f>+C765*C766</f>
        <v>450</v>
      </c>
      <c r="D767" s="377">
        <f t="shared" ref="D767" si="516">+D765*D766</f>
        <v>462.06</v>
      </c>
      <c r="E767" s="377">
        <f t="shared" ref="E767" si="517">+E765*E766</f>
        <v>474.44320799999991</v>
      </c>
      <c r="F767" s="377">
        <f t="shared" ref="F767" si="518">+F765*F766</f>
        <v>487.15828597439992</v>
      </c>
      <c r="G767" s="377">
        <f t="shared" ref="G767" si="519">+G765*G766</f>
        <v>500.21412803851376</v>
      </c>
      <c r="H767" s="377">
        <f t="shared" ref="H767" si="520">+H765*H766</f>
        <v>513.61986666994596</v>
      </c>
      <c r="I767" s="377">
        <f t="shared" ref="I767" si="521">+I765*I766</f>
        <v>527.3848790967005</v>
      </c>
      <c r="J767" s="377">
        <f t="shared" ref="J767" si="522">+J765*J766</f>
        <v>541.51879385649192</v>
      </c>
      <c r="K767" s="377">
        <f t="shared" ref="K767" si="523">+K765*K766</f>
        <v>556.03149753184596</v>
      </c>
      <c r="L767" s="377">
        <f t="shared" ref="L767" si="524">+L765*L766</f>
        <v>570.9331416656994</v>
      </c>
      <c r="M767" s="377">
        <f t="shared" ref="M767" si="525">+M765*M766</f>
        <v>586.23414986234002</v>
      </c>
      <c r="N767" s="377">
        <f t="shared" ref="N767" si="526">+N765*N766</f>
        <v>601.94522507865065</v>
      </c>
      <c r="O767" s="377">
        <f t="shared" ref="O767" si="527">+O765*O766</f>
        <v>618.0773571107585</v>
      </c>
      <c r="P767" s="377">
        <f t="shared" ref="P767" si="528">+P765*P766</f>
        <v>634.64183028132675</v>
      </c>
      <c r="Q767" s="377">
        <f t="shared" ref="Q767" si="529">+Q765*Q766</f>
        <v>651.65023133286627</v>
      </c>
    </row>
    <row r="768" spans="1:17" ht="14.4">
      <c r="A768" s="370"/>
      <c r="B768" s="373"/>
      <c r="C768" s="373"/>
      <c r="D768" s="373"/>
      <c r="E768" s="373"/>
      <c r="F768" s="373"/>
      <c r="G768" s="373"/>
      <c r="H768" s="373"/>
      <c r="I768" s="373"/>
      <c r="J768" s="373"/>
      <c r="K768" s="373"/>
      <c r="L768" s="373"/>
      <c r="M768" s="373"/>
      <c r="N768" s="373"/>
      <c r="O768" s="373"/>
      <c r="P768" s="373"/>
      <c r="Q768" s="373"/>
    </row>
    <row r="769" spans="1:17" ht="14.4">
      <c r="A769" s="366" t="s">
        <v>294</v>
      </c>
      <c r="B769" s="377">
        <f>+SUM(C769:Q769)</f>
        <v>1935536.2425827712</v>
      </c>
      <c r="C769" s="377">
        <f>C764*C767/1000*'Initial Data'!$C$34/'Initial Data'!$C$33</f>
        <v>106531.38705864087</v>
      </c>
      <c r="D769" s="377">
        <f>D764*D767/1000*'Initial Data'!$C$34/'Initial Data'!$C$33</f>
        <v>109386.42823181245</v>
      </c>
      <c r="E769" s="377">
        <f>E764*E767/1000*'Initial Data'!$C$34/'Initial Data'!$C$33</f>
        <v>112317.984508425</v>
      </c>
      <c r="F769" s="377">
        <f>F764*F767/1000*'Initial Data'!$C$34/'Initial Data'!$C$33</f>
        <v>115328.10649325079</v>
      </c>
      <c r="G769" s="377">
        <f>G764*G767/1000*'Initial Data'!$C$34/'Initial Data'!$C$33</f>
        <v>118418.89974726988</v>
      </c>
      <c r="H769" s="377">
        <f>H764*H767/1000*'Initial Data'!$C$34/'Initial Data'!$C$33</f>
        <v>121592.52626049673</v>
      </c>
      <c r="I769" s="377">
        <f>I764*I767/1000*'Initial Data'!$C$34/'Initial Data'!$C$33</f>
        <v>124851.20596427804</v>
      </c>
      <c r="J769" s="377">
        <f>J764*J767/1000*'Initial Data'!$C$34/'Initial Data'!$C$33</f>
        <v>128197.21828412065</v>
      </c>
      <c r="K769" s="377">
        <f>K764*K767/1000*'Initial Data'!$C$34/'Initial Data'!$C$33</f>
        <v>131632.90373413509</v>
      </c>
      <c r="L769" s="377">
        <f>L764*L767/1000*'Initial Data'!$C$34/'Initial Data'!$C$33</f>
        <v>135160.6655542099</v>
      </c>
      <c r="M769" s="377">
        <f>M764*M767/1000*'Initial Data'!$C$34/'Initial Data'!$C$33</f>
        <v>138782.97139106272</v>
      </c>
      <c r="N769" s="377">
        <f>N764*N767/1000*'Initial Data'!$C$34/'Initial Data'!$C$33</f>
        <v>142502.35502434315</v>
      </c>
      <c r="O769" s="377">
        <f>O764*O767/1000*'Initial Data'!$C$34/'Initial Data'!$C$33</f>
        <v>146321.41813899556</v>
      </c>
      <c r="P769" s="377">
        <f>P764*P767/1000*'Initial Data'!$C$34/'Initial Data'!$C$33</f>
        <v>150242.83214512063</v>
      </c>
      <c r="Q769" s="377">
        <f>Q764*Q767/1000*'Initial Data'!$C$34/'Initial Data'!$C$33</f>
        <v>154269.34004660984</v>
      </c>
    </row>
    <row r="770" spans="1:17" ht="14.4">
      <c r="A770" s="370"/>
      <c r="B770" s="373"/>
      <c r="C770" s="373"/>
      <c r="D770" s="373"/>
      <c r="E770" s="373"/>
      <c r="F770" s="373"/>
      <c r="G770" s="373"/>
      <c r="H770" s="373"/>
      <c r="I770" s="373"/>
      <c r="J770" s="373"/>
      <c r="K770" s="373"/>
      <c r="L770" s="373"/>
      <c r="M770" s="373"/>
      <c r="N770" s="373"/>
      <c r="O770" s="373"/>
      <c r="P770" s="373"/>
      <c r="Q770" s="373"/>
    </row>
    <row r="771" spans="1:17" ht="14.4">
      <c r="A771" s="366" t="s">
        <v>295</v>
      </c>
      <c r="B771" s="377">
        <f>+SUM(C771:Q771)</f>
        <v>1935536.2425827712</v>
      </c>
      <c r="C771" s="377">
        <f>+C769</f>
        <v>106531.38705864087</v>
      </c>
      <c r="D771" s="377">
        <f t="shared" ref="D771:Q771" si="530">+D769</f>
        <v>109386.42823181245</v>
      </c>
      <c r="E771" s="377">
        <f t="shared" si="530"/>
        <v>112317.984508425</v>
      </c>
      <c r="F771" s="377">
        <f t="shared" si="530"/>
        <v>115328.10649325079</v>
      </c>
      <c r="G771" s="377">
        <f t="shared" si="530"/>
        <v>118418.89974726988</v>
      </c>
      <c r="H771" s="377">
        <f t="shared" si="530"/>
        <v>121592.52626049673</v>
      </c>
      <c r="I771" s="377">
        <f t="shared" si="530"/>
        <v>124851.20596427804</v>
      </c>
      <c r="J771" s="377">
        <f t="shared" si="530"/>
        <v>128197.21828412065</v>
      </c>
      <c r="K771" s="377">
        <f t="shared" si="530"/>
        <v>131632.90373413509</v>
      </c>
      <c r="L771" s="377">
        <f t="shared" si="530"/>
        <v>135160.6655542099</v>
      </c>
      <c r="M771" s="377">
        <f t="shared" si="530"/>
        <v>138782.97139106272</v>
      </c>
      <c r="N771" s="377">
        <f t="shared" si="530"/>
        <v>142502.35502434315</v>
      </c>
      <c r="O771" s="377">
        <f t="shared" si="530"/>
        <v>146321.41813899556</v>
      </c>
      <c r="P771" s="377">
        <f t="shared" si="530"/>
        <v>150242.83214512063</v>
      </c>
      <c r="Q771" s="377">
        <f t="shared" si="530"/>
        <v>154269.34004660984</v>
      </c>
    </row>
    <row r="772" spans="1:17" ht="14.4">
      <c r="A772" s="370"/>
      <c r="B772" s="374"/>
      <c r="C772" s="374"/>
      <c r="D772" s="374"/>
      <c r="E772" s="374"/>
      <c r="F772" s="374"/>
      <c r="G772" s="374"/>
      <c r="H772" s="374"/>
      <c r="I772" s="374"/>
      <c r="J772" s="374"/>
      <c r="K772" s="374"/>
      <c r="L772" s="374"/>
      <c r="M772" s="374"/>
      <c r="N772" s="374"/>
      <c r="O772" s="374"/>
      <c r="P772" s="374"/>
      <c r="Q772" s="374"/>
    </row>
    <row r="773" spans="1:17" ht="14.4">
      <c r="A773" s="366" t="s">
        <v>68</v>
      </c>
      <c r="B773" s="368"/>
      <c r="C773" s="368"/>
      <c r="D773" s="368"/>
      <c r="E773" s="368"/>
      <c r="F773" s="368"/>
      <c r="G773" s="368"/>
      <c r="H773" s="368"/>
      <c r="I773" s="368"/>
      <c r="J773" s="368"/>
      <c r="K773" s="368"/>
      <c r="L773" s="368"/>
      <c r="M773" s="368"/>
      <c r="N773" s="368"/>
      <c r="O773" s="368"/>
      <c r="P773" s="368"/>
      <c r="Q773" s="368"/>
    </row>
    <row r="774" spans="1:17" ht="14.4">
      <c r="A774" s="366" t="s">
        <v>296</v>
      </c>
      <c r="B774" s="378">
        <f>+SUM(C774:Q774)</f>
        <v>11529.370291765843</v>
      </c>
      <c r="C774" s="367">
        <f>SUM('Initial Data'!$C$77:$C$80)/'Initial Data'!$C$14/1000</f>
        <v>634.57339732142862</v>
      </c>
      <c r="D774" s="367">
        <f>+C774*(1+'Initial Data'!$C$20/100)</f>
        <v>651.57996436964288</v>
      </c>
      <c r="E774" s="367">
        <f>+D774*(1+'Initial Data'!$C$20/100)</f>
        <v>669.0423074147493</v>
      </c>
      <c r="F774" s="367">
        <f>+E774*(1+'Initial Data'!$C$20/100)</f>
        <v>686.97264125346453</v>
      </c>
      <c r="G774" s="367">
        <f>+F774*(1+'Initial Data'!$C$20/100)</f>
        <v>705.38350803905735</v>
      </c>
      <c r="H774" s="367">
        <f>+G774*(1+'Initial Data'!$C$20/100)</f>
        <v>724.28778605450407</v>
      </c>
      <c r="I774" s="367">
        <f>+H774*(1+'Initial Data'!$C$20/100)</f>
        <v>743.6986987207647</v>
      </c>
      <c r="J774" s="367">
        <f>+I774*(1+'Initial Data'!$C$20/100)</f>
        <v>763.62982384648114</v>
      </c>
      <c r="K774" s="367">
        <f>+J774*(1+'Initial Data'!$C$20/100)</f>
        <v>784.09510312556677</v>
      </c>
      <c r="L774" s="367">
        <f>+K774*(1+'Initial Data'!$C$20/100)</f>
        <v>805.10885188933196</v>
      </c>
      <c r="M774" s="367">
        <f>+L774*(1+'Initial Data'!$C$20/100)</f>
        <v>826.68576911996604</v>
      </c>
      <c r="N774" s="367">
        <f>+M774*(1+'Initial Data'!$C$20/100)</f>
        <v>848.8409477323811</v>
      </c>
      <c r="O774" s="367">
        <f>+N774*(1+'Initial Data'!$C$20/100)</f>
        <v>871.58988513160887</v>
      </c>
      <c r="P774" s="367">
        <f>+O774*(1+'Initial Data'!$C$20/100)</f>
        <v>894.94849405313596</v>
      </c>
      <c r="Q774" s="367">
        <f>+P774*(1+'Initial Data'!$C$20/100)</f>
        <v>918.93311369375999</v>
      </c>
    </row>
    <row r="775" spans="1:17" ht="14.4">
      <c r="A775" s="366" t="s">
        <v>297</v>
      </c>
      <c r="B775" s="378">
        <f>+SUM(C775:Q775)</f>
        <v>13836.767075562186</v>
      </c>
      <c r="C775" s="367">
        <f>('Initial Data'!$C$82/1000+('Initial Data'!$C$83*'Initial Data'!$C$15/'Initial Data'!$C$14)/1000+'Initial Data'!$C$84/'Initial Data'!$C$14/1000)</f>
        <v>761.57188717892859</v>
      </c>
      <c r="D775" s="367">
        <f>+C775*(1+'Initial Data'!$C$20/100)</f>
        <v>781.98201375532381</v>
      </c>
      <c r="E775" s="367">
        <f>+D775*(1+'Initial Data'!$C$20/100)</f>
        <v>802.9391317239664</v>
      </c>
      <c r="F775" s="367">
        <f>+E775*(1+'Initial Data'!$C$20/100)</f>
        <v>824.45790045416868</v>
      </c>
      <c r="G775" s="367">
        <f>+F775*(1+'Initial Data'!$C$20/100)</f>
        <v>846.55337218634031</v>
      </c>
      <c r="H775" s="367">
        <f>+G775*(1+'Initial Data'!$C$20/100)</f>
        <v>869.24100256093413</v>
      </c>
      <c r="I775" s="367">
        <f>+H775*(1+'Initial Data'!$C$20/100)</f>
        <v>892.53666142956706</v>
      </c>
      <c r="J775" s="367">
        <f>+I775*(1+'Initial Data'!$C$20/100)</f>
        <v>916.45664395587937</v>
      </c>
      <c r="K775" s="367">
        <f>+J775*(1+'Initial Data'!$C$20/100)</f>
        <v>941.01768201389689</v>
      </c>
      <c r="L775" s="367">
        <f>+K775*(1+'Initial Data'!$C$20/100)</f>
        <v>966.23695589186923</v>
      </c>
      <c r="M775" s="367">
        <f>+L775*(1+'Initial Data'!$C$20/100)</f>
        <v>992.1321063097713</v>
      </c>
      <c r="N775" s="367">
        <f>+M775*(1+'Initial Data'!$C$20/100)</f>
        <v>1018.7212467588731</v>
      </c>
      <c r="O775" s="367">
        <f>+N775*(1+'Initial Data'!$C$20/100)</f>
        <v>1046.0229761720109</v>
      </c>
      <c r="P775" s="367">
        <f>+O775*(1+'Initial Data'!$C$20/100)</f>
        <v>1074.0563919334206</v>
      </c>
      <c r="Q775" s="367">
        <f>+P775*(1+'Initial Data'!$C$20/100)</f>
        <v>1102.8411032372362</v>
      </c>
    </row>
    <row r="776" spans="1:17" ht="14.4">
      <c r="A776" s="370"/>
      <c r="B776" s="369"/>
      <c r="C776" s="382"/>
      <c r="D776" s="369"/>
      <c r="E776" s="369"/>
      <c r="F776" s="369"/>
      <c r="G776" s="369"/>
      <c r="H776" s="369"/>
      <c r="I776" s="369"/>
      <c r="J776" s="369"/>
      <c r="K776" s="369"/>
      <c r="L776" s="369"/>
      <c r="M776" s="369"/>
      <c r="N776" s="369"/>
      <c r="O776" s="369"/>
      <c r="P776" s="369"/>
      <c r="Q776" s="369"/>
    </row>
    <row r="777" spans="1:17" ht="14.4">
      <c r="A777" s="366" t="s">
        <v>71</v>
      </c>
      <c r="B777" s="379"/>
      <c r="C777" s="379"/>
      <c r="D777" s="379"/>
      <c r="E777" s="379"/>
      <c r="F777" s="379"/>
      <c r="G777" s="379"/>
      <c r="H777" s="379"/>
      <c r="I777" s="379"/>
      <c r="J777" s="379"/>
      <c r="K777" s="379"/>
      <c r="L777" s="379"/>
      <c r="M777" s="379"/>
      <c r="N777" s="379"/>
      <c r="O777" s="379"/>
      <c r="P777" s="379"/>
      <c r="Q777" s="379"/>
    </row>
    <row r="778" spans="1:17" ht="14.4">
      <c r="A778" s="370"/>
      <c r="B778" s="379"/>
      <c r="C778" s="379"/>
      <c r="D778" s="379"/>
      <c r="E778" s="379"/>
      <c r="F778" s="379"/>
      <c r="G778" s="379"/>
      <c r="H778" s="379"/>
      <c r="I778" s="379"/>
      <c r="J778" s="379"/>
      <c r="K778" s="379"/>
      <c r="L778" s="379"/>
      <c r="M778" s="379"/>
      <c r="N778" s="379"/>
      <c r="O778" s="379"/>
      <c r="P778" s="379"/>
      <c r="Q778" s="379"/>
    </row>
    <row r="779" spans="1:17" ht="14.4">
      <c r="A779" s="366" t="s">
        <v>298</v>
      </c>
      <c r="B779" s="378">
        <f>+SUM(C779:Q779)</f>
        <v>25366.137367328029</v>
      </c>
      <c r="C779" s="367">
        <f>SUM(C774:C775)</f>
        <v>1396.1452845003573</v>
      </c>
      <c r="D779" s="367">
        <f>SUM(D774:D775)</f>
        <v>1433.5619781249666</v>
      </c>
      <c r="E779" s="367">
        <f t="shared" ref="E779:Q779" si="531">SUM(E774:E775)</f>
        <v>1471.9814391387158</v>
      </c>
      <c r="F779" s="367">
        <f t="shared" si="531"/>
        <v>1511.4305417076332</v>
      </c>
      <c r="G779" s="367">
        <f t="shared" si="531"/>
        <v>1551.9368802253975</v>
      </c>
      <c r="H779" s="367">
        <f t="shared" si="531"/>
        <v>1593.5287886154383</v>
      </c>
      <c r="I779" s="367">
        <f t="shared" si="531"/>
        <v>1636.2353601503319</v>
      </c>
      <c r="J779" s="367">
        <f t="shared" si="531"/>
        <v>1680.0864678023604</v>
      </c>
      <c r="K779" s="367">
        <f t="shared" si="531"/>
        <v>1725.1127851394635</v>
      </c>
      <c r="L779" s="367">
        <f t="shared" si="531"/>
        <v>1771.3458077812011</v>
      </c>
      <c r="M779" s="367">
        <f t="shared" si="531"/>
        <v>1818.8178754297373</v>
      </c>
      <c r="N779" s="367">
        <f t="shared" si="531"/>
        <v>1867.5621944912541</v>
      </c>
      <c r="O779" s="367">
        <f t="shared" si="531"/>
        <v>1917.6128613036199</v>
      </c>
      <c r="P779" s="367">
        <f t="shared" si="531"/>
        <v>1969.0048859865565</v>
      </c>
      <c r="Q779" s="367">
        <f t="shared" si="531"/>
        <v>2021.7742169309963</v>
      </c>
    </row>
    <row r="780" spans="1:17" ht="14.4">
      <c r="A780" s="370"/>
      <c r="B780" s="379"/>
      <c r="C780" s="379"/>
      <c r="D780" s="379"/>
      <c r="E780" s="379"/>
      <c r="F780" s="379"/>
      <c r="G780" s="379"/>
      <c r="H780" s="379"/>
      <c r="I780" s="379"/>
      <c r="J780" s="379"/>
      <c r="K780" s="379"/>
      <c r="L780" s="379"/>
      <c r="M780" s="379"/>
      <c r="N780" s="379"/>
      <c r="O780" s="379"/>
      <c r="P780" s="379"/>
      <c r="Q780" s="379"/>
    </row>
    <row r="781" spans="1:17" ht="14.4">
      <c r="A781" s="366" t="s">
        <v>299</v>
      </c>
      <c r="B781" s="378">
        <f t="shared" ref="B781:B782" si="532">+SUM(C781:Q781)</f>
        <v>43884.879418749995</v>
      </c>
      <c r="C781" s="367">
        <f>'WHRS_Project Scenario'!$C$8/'Initial Data'!$C$19</f>
        <v>4388.4879418749997</v>
      </c>
      <c r="D781" s="367">
        <f>'WHRS_Project Scenario'!$C$8/'Initial Data'!$C$19</f>
        <v>4388.4879418749997</v>
      </c>
      <c r="E781" s="367">
        <f>'WHRS_Project Scenario'!$C$8/'Initial Data'!$C$19</f>
        <v>4388.4879418749997</v>
      </c>
      <c r="F781" s="367">
        <f>'WHRS_Project Scenario'!$C$8/'Initial Data'!$C$19</f>
        <v>4388.4879418749997</v>
      </c>
      <c r="G781" s="367">
        <f>'WHRS_Project Scenario'!$C$8/'Initial Data'!$C$19</f>
        <v>4388.4879418749997</v>
      </c>
      <c r="H781" s="367">
        <f>'WHRS_Project Scenario'!$C$8/'Initial Data'!$C$19</f>
        <v>4388.4879418749997</v>
      </c>
      <c r="I781" s="367">
        <f>'WHRS_Project Scenario'!$C$8/'Initial Data'!$C$19</f>
        <v>4388.4879418749997</v>
      </c>
      <c r="J781" s="367">
        <f>'WHRS_Project Scenario'!$C$8/'Initial Data'!$C$19</f>
        <v>4388.4879418749997</v>
      </c>
      <c r="K781" s="367">
        <f>'WHRS_Project Scenario'!$C$8/'Initial Data'!$C$19</f>
        <v>4388.4879418749997</v>
      </c>
      <c r="L781" s="367">
        <f>'WHRS_Project Scenario'!$C$8/'Initial Data'!$C$19</f>
        <v>4388.4879418749997</v>
      </c>
      <c r="M781" s="367">
        <v>0</v>
      </c>
      <c r="N781" s="367">
        <v>0</v>
      </c>
      <c r="O781" s="367">
        <v>0</v>
      </c>
      <c r="P781" s="367">
        <v>0</v>
      </c>
      <c r="Q781" s="367">
        <v>0</v>
      </c>
    </row>
    <row r="782" spans="1:17" ht="14.4">
      <c r="A782" s="366" t="s">
        <v>300</v>
      </c>
      <c r="B782" s="378">
        <f t="shared" si="532"/>
        <v>43884.879418749995</v>
      </c>
      <c r="C782" s="367">
        <f>SUM(C781:C781)</f>
        <v>4388.4879418749997</v>
      </c>
      <c r="D782" s="367">
        <f t="shared" ref="D782:Q782" si="533">SUM(D781:D781)</f>
        <v>4388.4879418749997</v>
      </c>
      <c r="E782" s="367">
        <f t="shared" si="533"/>
        <v>4388.4879418749997</v>
      </c>
      <c r="F782" s="367">
        <f t="shared" si="533"/>
        <v>4388.4879418749997</v>
      </c>
      <c r="G782" s="367">
        <f t="shared" si="533"/>
        <v>4388.4879418749997</v>
      </c>
      <c r="H782" s="367">
        <f t="shared" si="533"/>
        <v>4388.4879418749997</v>
      </c>
      <c r="I782" s="367">
        <f t="shared" si="533"/>
        <v>4388.4879418749997</v>
      </c>
      <c r="J782" s="367">
        <f t="shared" si="533"/>
        <v>4388.4879418749997</v>
      </c>
      <c r="K782" s="367">
        <f t="shared" si="533"/>
        <v>4388.4879418749997</v>
      </c>
      <c r="L782" s="367">
        <f t="shared" si="533"/>
        <v>4388.4879418749997</v>
      </c>
      <c r="M782" s="367">
        <f t="shared" si="533"/>
        <v>0</v>
      </c>
      <c r="N782" s="367">
        <f t="shared" si="533"/>
        <v>0</v>
      </c>
      <c r="O782" s="367">
        <f t="shared" si="533"/>
        <v>0</v>
      </c>
      <c r="P782" s="367">
        <f t="shared" si="533"/>
        <v>0</v>
      </c>
      <c r="Q782" s="367">
        <f t="shared" si="533"/>
        <v>0</v>
      </c>
    </row>
    <row r="783" spans="1:17" ht="14.4">
      <c r="A783" s="370"/>
      <c r="B783" s="379"/>
      <c r="C783" s="379"/>
      <c r="D783" s="379"/>
      <c r="E783" s="379"/>
      <c r="F783" s="379"/>
      <c r="G783" s="379"/>
      <c r="H783" s="379"/>
      <c r="I783" s="379"/>
      <c r="J783" s="379"/>
      <c r="K783" s="379"/>
      <c r="L783" s="379"/>
      <c r="M783" s="379"/>
      <c r="N783" s="379"/>
      <c r="O783" s="379"/>
      <c r="P783" s="379"/>
      <c r="Q783" s="379"/>
    </row>
    <row r="784" spans="1:17" ht="14.4">
      <c r="A784" s="366" t="s">
        <v>301</v>
      </c>
      <c r="B784" s="378">
        <f>+SUM(C784:Q784)</f>
        <v>69251.016786078035</v>
      </c>
      <c r="C784" s="367">
        <f>+C779+C782</f>
        <v>5784.6332263753575</v>
      </c>
      <c r="D784" s="367">
        <f>+D779+D782</f>
        <v>5822.0499199999667</v>
      </c>
      <c r="E784" s="367">
        <f t="shared" ref="E784:Q784" si="534">+E779+E782</f>
        <v>5860.469381013716</v>
      </c>
      <c r="F784" s="367">
        <f t="shared" si="534"/>
        <v>5899.9184835826327</v>
      </c>
      <c r="G784" s="367">
        <f t="shared" si="534"/>
        <v>5940.4248221003973</v>
      </c>
      <c r="H784" s="367">
        <f t="shared" si="534"/>
        <v>5982.016730490438</v>
      </c>
      <c r="I784" s="367">
        <f t="shared" si="534"/>
        <v>6024.7233020253316</v>
      </c>
      <c r="J784" s="367">
        <f t="shared" si="534"/>
        <v>6068.5744096773597</v>
      </c>
      <c r="K784" s="367">
        <f t="shared" si="534"/>
        <v>6113.6007270144637</v>
      </c>
      <c r="L784" s="367">
        <f t="shared" si="534"/>
        <v>6159.8337496562008</v>
      </c>
      <c r="M784" s="367">
        <f t="shared" si="534"/>
        <v>1818.8178754297373</v>
      </c>
      <c r="N784" s="367">
        <f t="shared" si="534"/>
        <v>1867.5621944912541</v>
      </c>
      <c r="O784" s="367">
        <f t="shared" si="534"/>
        <v>1917.6128613036199</v>
      </c>
      <c r="P784" s="367">
        <f t="shared" si="534"/>
        <v>1969.0048859865565</v>
      </c>
      <c r="Q784" s="367">
        <f t="shared" si="534"/>
        <v>2021.7742169309963</v>
      </c>
    </row>
    <row r="785" spans="1:17" ht="14.4">
      <c r="A785" s="370"/>
      <c r="B785" s="379"/>
      <c r="C785" s="379"/>
      <c r="D785" s="379"/>
      <c r="E785" s="379"/>
      <c r="F785" s="379"/>
      <c r="G785" s="379"/>
      <c r="H785" s="379"/>
      <c r="I785" s="379"/>
      <c r="J785" s="379"/>
      <c r="K785" s="379"/>
      <c r="L785" s="379"/>
      <c r="M785" s="379"/>
      <c r="N785" s="379"/>
      <c r="O785" s="379"/>
      <c r="P785" s="379"/>
      <c r="Q785" s="379"/>
    </row>
    <row r="786" spans="1:17" ht="14.4">
      <c r="A786" s="364" t="s">
        <v>302</v>
      </c>
      <c r="B786" s="378">
        <f>+SUM(C786:Q786)</f>
        <v>1866285.2257966932</v>
      </c>
      <c r="C786" s="367">
        <f>+C771-C784</f>
        <v>100746.75383226552</v>
      </c>
      <c r="D786" s="367">
        <f>+D771-D784</f>
        <v>103564.37831181248</v>
      </c>
      <c r="E786" s="367">
        <f t="shared" ref="E786:Q786" si="535">+E771-E784</f>
        <v>106457.51512741129</v>
      </c>
      <c r="F786" s="367">
        <f t="shared" si="535"/>
        <v>109428.18800966816</v>
      </c>
      <c r="G786" s="367">
        <f t="shared" si="535"/>
        <v>112478.47492516949</v>
      </c>
      <c r="H786" s="367">
        <f t="shared" si="535"/>
        <v>115610.5095300063</v>
      </c>
      <c r="I786" s="367">
        <f t="shared" si="535"/>
        <v>118826.4826622527</v>
      </c>
      <c r="J786" s="367">
        <f t="shared" si="535"/>
        <v>122128.6438744433</v>
      </c>
      <c r="K786" s="367">
        <f t="shared" si="535"/>
        <v>125519.30300712063</v>
      </c>
      <c r="L786" s="367">
        <f t="shared" si="535"/>
        <v>129000.8318045537</v>
      </c>
      <c r="M786" s="367">
        <f t="shared" si="535"/>
        <v>136964.15351563299</v>
      </c>
      <c r="N786" s="367">
        <f t="shared" si="535"/>
        <v>140634.79282985191</v>
      </c>
      <c r="O786" s="367">
        <f t="shared" si="535"/>
        <v>144403.80527769195</v>
      </c>
      <c r="P786" s="367">
        <f t="shared" si="535"/>
        <v>148273.82725913406</v>
      </c>
      <c r="Q786" s="367">
        <f t="shared" si="535"/>
        <v>152247.56582967885</v>
      </c>
    </row>
    <row r="787" spans="1:17" ht="14.4">
      <c r="A787" s="364"/>
    </row>
    <row r="788" spans="1:17" ht="14.4">
      <c r="A788" s="364" t="s">
        <v>222</v>
      </c>
      <c r="B788" s="380">
        <f>+'WHRS_Project Scenario'!C39</f>
        <v>0.7</v>
      </c>
      <c r="C788" s="367">
        <f>IF((+$B$788*C786)&lt;0,"0",(+$B$788*C786))</f>
        <v>70522.727682585857</v>
      </c>
      <c r="D788" s="367">
        <f>IF((+$B$788*D786)&lt;0,"0",(+$B$788*D786))</f>
        <v>72495.064818268729</v>
      </c>
      <c r="E788" s="367">
        <f t="shared" ref="E788:Q788" si="536">IF((+$B$788*E786)&lt;0,"0",(+$B$788*E786))</f>
        <v>74520.260589187892</v>
      </c>
      <c r="F788" s="367">
        <f t="shared" si="536"/>
        <v>76599.731606767702</v>
      </c>
      <c r="G788" s="367">
        <f t="shared" si="536"/>
        <v>78734.93244761863</v>
      </c>
      <c r="H788" s="367">
        <f t="shared" si="536"/>
        <v>80927.356671004396</v>
      </c>
      <c r="I788" s="367">
        <f t="shared" si="536"/>
        <v>83178.537863576887</v>
      </c>
      <c r="J788" s="367">
        <f t="shared" si="536"/>
        <v>85490.0507121103</v>
      </c>
      <c r="K788" s="367">
        <f t="shared" si="536"/>
        <v>87863.512104984431</v>
      </c>
      <c r="L788" s="367">
        <f t="shared" si="536"/>
        <v>90300.582263187593</v>
      </c>
      <c r="M788" s="367">
        <f t="shared" si="536"/>
        <v>95874.907460943083</v>
      </c>
      <c r="N788" s="367">
        <f t="shared" si="536"/>
        <v>98444.354980896329</v>
      </c>
      <c r="O788" s="367">
        <f t="shared" si="536"/>
        <v>101082.66369438436</v>
      </c>
      <c r="P788" s="367">
        <f t="shared" si="536"/>
        <v>103791.67908139384</v>
      </c>
      <c r="Q788" s="367">
        <f t="shared" si="536"/>
        <v>106573.29608077518</v>
      </c>
    </row>
    <row r="789" spans="1:17" ht="14.4">
      <c r="A789" s="364" t="s">
        <v>303</v>
      </c>
      <c r="B789" s="378">
        <f>+SUM(C789:Q789)</f>
        <v>1306399.658057685</v>
      </c>
      <c r="C789" s="367">
        <f>SUM(C788:C788)</f>
        <v>70522.727682585857</v>
      </c>
      <c r="D789" s="367">
        <f t="shared" ref="D789:Q789" si="537">SUM(D788:D788)</f>
        <v>72495.064818268729</v>
      </c>
      <c r="E789" s="367">
        <f t="shared" si="537"/>
        <v>74520.260589187892</v>
      </c>
      <c r="F789" s="367">
        <f t="shared" si="537"/>
        <v>76599.731606767702</v>
      </c>
      <c r="G789" s="367">
        <f t="shared" si="537"/>
        <v>78734.93244761863</v>
      </c>
      <c r="H789" s="367">
        <f t="shared" si="537"/>
        <v>80927.356671004396</v>
      </c>
      <c r="I789" s="367">
        <f t="shared" si="537"/>
        <v>83178.537863576887</v>
      </c>
      <c r="J789" s="367">
        <f t="shared" si="537"/>
        <v>85490.0507121103</v>
      </c>
      <c r="K789" s="367">
        <f t="shared" si="537"/>
        <v>87863.512104984431</v>
      </c>
      <c r="L789" s="367">
        <f t="shared" si="537"/>
        <v>90300.582263187593</v>
      </c>
      <c r="M789" s="367">
        <f t="shared" si="537"/>
        <v>95874.907460943083</v>
      </c>
      <c r="N789" s="367">
        <f t="shared" si="537"/>
        <v>98444.354980896329</v>
      </c>
      <c r="O789" s="367">
        <f t="shared" si="537"/>
        <v>101082.66369438436</v>
      </c>
      <c r="P789" s="367">
        <f t="shared" si="537"/>
        <v>103791.67908139384</v>
      </c>
      <c r="Q789" s="367">
        <f t="shared" si="537"/>
        <v>106573.29608077518</v>
      </c>
    </row>
    <row r="790" spans="1:17" ht="14.4">
      <c r="A790" s="369"/>
    </row>
    <row r="791" spans="1:17" ht="14.4">
      <c r="A791" s="364" t="s">
        <v>304</v>
      </c>
      <c r="B791" s="378">
        <f t="shared" ref="B791:B793" si="538">+SUM(C791:Q791)</f>
        <v>559885.56773900811</v>
      </c>
      <c r="C791" s="367">
        <f>C786-C789</f>
        <v>30224.026149679659</v>
      </c>
      <c r="D791" s="367">
        <f t="shared" ref="D791:Q791" si="539">D786-D789</f>
        <v>31069.313493543756</v>
      </c>
      <c r="E791" s="367">
        <f t="shared" si="539"/>
        <v>31937.254538223395</v>
      </c>
      <c r="F791" s="367">
        <f t="shared" si="539"/>
        <v>32828.456402900454</v>
      </c>
      <c r="G791" s="367">
        <f t="shared" si="539"/>
        <v>33743.542477550858</v>
      </c>
      <c r="H791" s="367">
        <f t="shared" si="539"/>
        <v>34683.152859001901</v>
      </c>
      <c r="I791" s="367">
        <f t="shared" si="539"/>
        <v>35647.944798675817</v>
      </c>
      <c r="J791" s="367">
        <f t="shared" si="539"/>
        <v>36638.593162332996</v>
      </c>
      <c r="K791" s="367">
        <f t="shared" si="539"/>
        <v>37655.790902136199</v>
      </c>
      <c r="L791" s="367">
        <f t="shared" si="539"/>
        <v>38700.249541366109</v>
      </c>
      <c r="M791" s="367">
        <f t="shared" si="539"/>
        <v>41089.246054689909</v>
      </c>
      <c r="N791" s="367">
        <f t="shared" si="539"/>
        <v>42190.437848955582</v>
      </c>
      <c r="O791" s="367">
        <f t="shared" si="539"/>
        <v>43321.141583307588</v>
      </c>
      <c r="P791" s="367">
        <f t="shared" si="539"/>
        <v>44482.148177740222</v>
      </c>
      <c r="Q791" s="367">
        <f t="shared" si="539"/>
        <v>45674.269748903665</v>
      </c>
    </row>
    <row r="792" spans="1:17" ht="14.4">
      <c r="A792" s="364" t="s">
        <v>305</v>
      </c>
      <c r="B792" s="378">
        <f t="shared" si="538"/>
        <v>43884.879418749995</v>
      </c>
      <c r="C792" s="367">
        <f>+C781</f>
        <v>4388.4879418749997</v>
      </c>
      <c r="D792" s="367">
        <f t="shared" ref="D792:Q792" si="540">+D781</f>
        <v>4388.4879418749997</v>
      </c>
      <c r="E792" s="367">
        <f t="shared" si="540"/>
        <v>4388.4879418749997</v>
      </c>
      <c r="F792" s="367">
        <f t="shared" si="540"/>
        <v>4388.4879418749997</v>
      </c>
      <c r="G792" s="367">
        <f t="shared" si="540"/>
        <v>4388.4879418749997</v>
      </c>
      <c r="H792" s="367">
        <f t="shared" si="540"/>
        <v>4388.4879418749997</v>
      </c>
      <c r="I792" s="367">
        <f t="shared" si="540"/>
        <v>4388.4879418749997</v>
      </c>
      <c r="J792" s="367">
        <f t="shared" si="540"/>
        <v>4388.4879418749997</v>
      </c>
      <c r="K792" s="367">
        <f t="shared" si="540"/>
        <v>4388.4879418749997</v>
      </c>
      <c r="L792" s="367">
        <f t="shared" si="540"/>
        <v>4388.4879418749997</v>
      </c>
      <c r="M792" s="367">
        <f t="shared" si="540"/>
        <v>0</v>
      </c>
      <c r="N792" s="367">
        <f t="shared" si="540"/>
        <v>0</v>
      </c>
      <c r="O792" s="367">
        <f t="shared" si="540"/>
        <v>0</v>
      </c>
      <c r="P792" s="367">
        <f t="shared" si="540"/>
        <v>0</v>
      </c>
      <c r="Q792" s="367">
        <f t="shared" si="540"/>
        <v>0</v>
      </c>
    </row>
    <row r="793" spans="1:17" ht="14.4">
      <c r="A793" s="364" t="s">
        <v>306</v>
      </c>
      <c r="B793" s="378">
        <f t="shared" si="538"/>
        <v>0</v>
      </c>
      <c r="C793" s="367">
        <f>+'WHRS_Project Scenario'!D766</f>
        <v>0</v>
      </c>
      <c r="D793" s="367">
        <f>+'WHRS_Project Scenario'!E766</f>
        <v>0</v>
      </c>
      <c r="E793" s="367">
        <f>+'WHRS_Project Scenario'!F766</f>
        <v>0</v>
      </c>
      <c r="F793" s="367">
        <f>+'WHRS_Project Scenario'!G766</f>
        <v>0</v>
      </c>
      <c r="G793" s="367">
        <f>+'WHRS_Project Scenario'!H766</f>
        <v>0</v>
      </c>
      <c r="H793" s="367">
        <f>+'WHRS_Project Scenario'!I766</f>
        <v>0</v>
      </c>
      <c r="I793" s="367">
        <f>+'WHRS_Project Scenario'!J766</f>
        <v>0</v>
      </c>
      <c r="J793" s="367">
        <f>+'WHRS_Project Scenario'!K766</f>
        <v>0</v>
      </c>
      <c r="K793" s="367">
        <f>+'WHRS_Project Scenario'!L766</f>
        <v>0</v>
      </c>
      <c r="L793" s="367">
        <f>+'WHRS_Project Scenario'!M766</f>
        <v>0</v>
      </c>
      <c r="M793" s="367">
        <f>+'WHRS_Project Scenario'!N766</f>
        <v>0</v>
      </c>
      <c r="N793" s="367">
        <f>+'WHRS_Project Scenario'!O766</f>
        <v>0</v>
      </c>
      <c r="O793" s="367">
        <f>+'WHRS_Project Scenario'!P766</f>
        <v>0</v>
      </c>
      <c r="P793" s="367">
        <f>+'WHRS_Project Scenario'!Q766</f>
        <v>0</v>
      </c>
      <c r="Q793" s="367">
        <f>+'WHRS_Project Scenario'!R766</f>
        <v>0</v>
      </c>
    </row>
    <row r="794" spans="1:17" ht="14.4">
      <c r="A794" s="364"/>
    </row>
    <row r="795" spans="1:17" ht="14.4">
      <c r="A795" s="364" t="s">
        <v>110</v>
      </c>
      <c r="B795" s="378">
        <f>-'WHRS_Project Scenario'!C8</f>
        <v>-43884.879418749995</v>
      </c>
      <c r="C795" s="367">
        <f>C791+C792+C793</f>
        <v>34612.514091554658</v>
      </c>
      <c r="D795" s="367">
        <f t="shared" ref="D795:Q795" si="541">D791+D792+D793</f>
        <v>35457.801435418754</v>
      </c>
      <c r="E795" s="367">
        <f t="shared" si="541"/>
        <v>36325.742480098394</v>
      </c>
      <c r="F795" s="367">
        <f t="shared" si="541"/>
        <v>37216.944344775453</v>
      </c>
      <c r="G795" s="367">
        <f t="shared" si="541"/>
        <v>38132.030419425857</v>
      </c>
      <c r="H795" s="367">
        <f t="shared" si="541"/>
        <v>39071.640800876899</v>
      </c>
      <c r="I795" s="367">
        <f t="shared" si="541"/>
        <v>40036.432740550816</v>
      </c>
      <c r="J795" s="367">
        <f t="shared" si="541"/>
        <v>41027.081104207995</v>
      </c>
      <c r="K795" s="367">
        <f t="shared" si="541"/>
        <v>42044.278844011198</v>
      </c>
      <c r="L795" s="367">
        <f t="shared" si="541"/>
        <v>43088.737483241108</v>
      </c>
      <c r="M795" s="367">
        <f t="shared" si="541"/>
        <v>41089.246054689909</v>
      </c>
      <c r="N795" s="367">
        <f t="shared" si="541"/>
        <v>42190.437848955582</v>
      </c>
      <c r="O795" s="367">
        <f t="shared" si="541"/>
        <v>43321.141583307588</v>
      </c>
      <c r="P795" s="367">
        <f t="shared" si="541"/>
        <v>44482.148177740222</v>
      </c>
      <c r="Q795" s="367">
        <f t="shared" si="541"/>
        <v>45674.269748903665</v>
      </c>
    </row>
    <row r="796" spans="1:17" ht="15.6">
      <c r="A796" s="364" t="s">
        <v>51</v>
      </c>
      <c r="B796" s="132">
        <f>IRR(B795:Q795)</f>
        <v>0.81288491989427225</v>
      </c>
    </row>
    <row r="797" spans="1:17" ht="15.6">
      <c r="A797" s="364" t="s">
        <v>267</v>
      </c>
      <c r="B797" s="303">
        <f>NPV('Initial Data'!C21/100,B795:Q795)</f>
        <v>196390.60776371029</v>
      </c>
    </row>
    <row r="799" spans="1:17" ht="14.4">
      <c r="A799" s="508" t="s">
        <v>350</v>
      </c>
      <c r="B799" s="509"/>
      <c r="C799" s="509"/>
      <c r="D799" s="509"/>
      <c r="E799" s="509"/>
      <c r="F799" s="509"/>
      <c r="G799" s="509"/>
      <c r="H799" s="509"/>
      <c r="I799" s="509"/>
      <c r="J799" s="509"/>
      <c r="K799" s="509"/>
      <c r="L799" s="509"/>
      <c r="M799" s="509"/>
      <c r="N799" s="509"/>
      <c r="O799" s="509"/>
      <c r="P799" s="509"/>
      <c r="Q799" s="509"/>
    </row>
    <row r="800" spans="1:17" ht="14.4">
      <c r="A800" s="371" t="s">
        <v>352</v>
      </c>
      <c r="B800" s="372"/>
      <c r="C800" s="372"/>
      <c r="D800" s="372"/>
      <c r="E800" s="372"/>
      <c r="F800" s="372"/>
      <c r="G800" s="372"/>
      <c r="H800" s="372"/>
      <c r="I800" s="372"/>
      <c r="J800" s="372"/>
      <c r="K800" s="372"/>
      <c r="L800" s="372"/>
      <c r="M800" s="372"/>
      <c r="N800" s="372"/>
      <c r="O800" s="372"/>
      <c r="P800" s="372"/>
      <c r="Q800" s="372"/>
    </row>
    <row r="801" spans="1:17" ht="27">
      <c r="A801" s="376"/>
      <c r="B801" s="304" t="s">
        <v>35</v>
      </c>
      <c r="C801" s="352" t="s">
        <v>407</v>
      </c>
      <c r="D801" s="352" t="s">
        <v>408</v>
      </c>
      <c r="E801" s="352" t="s">
        <v>409</v>
      </c>
      <c r="F801" s="352" t="s">
        <v>410</v>
      </c>
      <c r="G801" s="352" t="s">
        <v>411</v>
      </c>
      <c r="H801" s="352" t="s">
        <v>412</v>
      </c>
      <c r="I801" s="352" t="s">
        <v>413</v>
      </c>
      <c r="J801" s="352" t="s">
        <v>414</v>
      </c>
      <c r="K801" s="352" t="s">
        <v>415</v>
      </c>
      <c r="L801" s="352" t="s">
        <v>416</v>
      </c>
      <c r="M801" s="352" t="s">
        <v>417</v>
      </c>
      <c r="N801" s="352" t="s">
        <v>418</v>
      </c>
      <c r="O801" s="352" t="s">
        <v>419</v>
      </c>
      <c r="P801" s="352" t="s">
        <v>420</v>
      </c>
      <c r="Q801" s="352" t="s">
        <v>421</v>
      </c>
    </row>
    <row r="802" spans="1:17" ht="14.4">
      <c r="A802" s="363" t="s">
        <v>290</v>
      </c>
      <c r="B802" s="365"/>
      <c r="C802" s="381">
        <f>'Initial Data'!$C$49*365*(1-$B$16)</f>
        <v>219000</v>
      </c>
      <c r="D802" s="381">
        <f>'Initial Data'!$C$49*365*(1-$B$16)</f>
        <v>219000</v>
      </c>
      <c r="E802" s="381">
        <f>'Initial Data'!$C$49*365*(1-$B$16)</f>
        <v>219000</v>
      </c>
      <c r="F802" s="381">
        <f>'Initial Data'!$C$49*365*(1-$B$16)</f>
        <v>219000</v>
      </c>
      <c r="G802" s="381">
        <f>'Initial Data'!$C$49*365*(1-$B$16)</f>
        <v>219000</v>
      </c>
      <c r="H802" s="381">
        <f>'Initial Data'!$C$49*365*(1-$B$16)</f>
        <v>219000</v>
      </c>
      <c r="I802" s="381">
        <f>'Initial Data'!$C$49*365*(1-$B$16)</f>
        <v>219000</v>
      </c>
      <c r="J802" s="381">
        <f>'Initial Data'!$C$49*365*(1-$B$16)</f>
        <v>219000</v>
      </c>
      <c r="K802" s="381">
        <f>'Initial Data'!$C$49*365*(1-$B$16)</f>
        <v>219000</v>
      </c>
      <c r="L802" s="381">
        <f>'Initial Data'!$C$49*365*(1-$B$16)</f>
        <v>219000</v>
      </c>
      <c r="M802" s="381">
        <f>'Initial Data'!$C$49*365*(1-$B$16)</f>
        <v>219000</v>
      </c>
      <c r="N802" s="381">
        <f>'Initial Data'!$C$49*365*(1-$B$16)</f>
        <v>219000</v>
      </c>
      <c r="O802" s="381">
        <f>'Initial Data'!$C$49*365*(1-$B$16)</f>
        <v>219000</v>
      </c>
      <c r="P802" s="381">
        <f>'Initial Data'!$C$49*365*(1-$B$16)</f>
        <v>219000</v>
      </c>
      <c r="Q802" s="381">
        <f>'Initial Data'!$C$49*365*(1-$B$16)</f>
        <v>219000</v>
      </c>
    </row>
    <row r="803" spans="1:17" ht="14.4">
      <c r="A803" s="364" t="s">
        <v>291</v>
      </c>
      <c r="B803" s="365"/>
      <c r="C803" s="377">
        <f>+'WHRS_Project Scenario'!D16</f>
        <v>70</v>
      </c>
      <c r="D803" s="377">
        <f>+'WHRS_Project Scenario'!E16</f>
        <v>70</v>
      </c>
      <c r="E803" s="377">
        <f>+'WHRS_Project Scenario'!F16</f>
        <v>70</v>
      </c>
      <c r="F803" s="377">
        <f>+'WHRS_Project Scenario'!G16</f>
        <v>70</v>
      </c>
      <c r="G803" s="377">
        <f>+'WHRS_Project Scenario'!H16</f>
        <v>70</v>
      </c>
      <c r="H803" s="377">
        <f>+'WHRS_Project Scenario'!I16</f>
        <v>70</v>
      </c>
      <c r="I803" s="377">
        <f>+'WHRS_Project Scenario'!J16</f>
        <v>70</v>
      </c>
      <c r="J803" s="377">
        <f>+'WHRS_Project Scenario'!K16</f>
        <v>70</v>
      </c>
      <c r="K803" s="377">
        <f>+'WHRS_Project Scenario'!L16</f>
        <v>70</v>
      </c>
      <c r="L803" s="377">
        <f>+'WHRS_Project Scenario'!M16</f>
        <v>70</v>
      </c>
      <c r="M803" s="377">
        <f>+'WHRS_Project Scenario'!N16</f>
        <v>70</v>
      </c>
      <c r="N803" s="377">
        <f>+'WHRS_Project Scenario'!O16</f>
        <v>70</v>
      </c>
      <c r="O803" s="377">
        <f>+'WHRS_Project Scenario'!P16</f>
        <v>70</v>
      </c>
      <c r="P803" s="377">
        <f>+'WHRS_Project Scenario'!Q16</f>
        <v>70</v>
      </c>
      <c r="Q803" s="377">
        <f>+'WHRS_Project Scenario'!R16</f>
        <v>70</v>
      </c>
    </row>
    <row r="804" spans="1:17" ht="14.4">
      <c r="A804" s="366" t="s">
        <v>292</v>
      </c>
      <c r="B804" s="365"/>
      <c r="C804" s="377">
        <f>+'WHRS_Project Scenario'!D17</f>
        <v>6.4285714285714288</v>
      </c>
      <c r="D804" s="377">
        <f>+'WHRS_Project Scenario'!E17</f>
        <v>6.6008571428571425</v>
      </c>
      <c r="E804" s="377">
        <f>+'WHRS_Project Scenario'!F17</f>
        <v>6.7777601142857131</v>
      </c>
      <c r="F804" s="377">
        <f>+'WHRS_Project Scenario'!G17</f>
        <v>6.9594040853485701</v>
      </c>
      <c r="G804" s="377">
        <f>+'WHRS_Project Scenario'!H17</f>
        <v>7.1459161148359112</v>
      </c>
      <c r="H804" s="377">
        <f>+'WHRS_Project Scenario'!I17</f>
        <v>7.3374266667135135</v>
      </c>
      <c r="I804" s="377">
        <f>+'WHRS_Project Scenario'!J17</f>
        <v>7.5340697013814353</v>
      </c>
      <c r="J804" s="377">
        <f>+'WHRS_Project Scenario'!K17</f>
        <v>7.7359827693784569</v>
      </c>
      <c r="K804" s="377">
        <f>+'WHRS_Project Scenario'!L17</f>
        <v>7.943307107597799</v>
      </c>
      <c r="L804" s="377">
        <f>+'WHRS_Project Scenario'!M17</f>
        <v>8.1561877380814192</v>
      </c>
      <c r="M804" s="377">
        <f>+'WHRS_Project Scenario'!N17</f>
        <v>8.3747735694620005</v>
      </c>
      <c r="N804" s="377">
        <f>+'WHRS_Project Scenario'!O17</f>
        <v>8.5992175011235812</v>
      </c>
      <c r="O804" s="377">
        <f>+'WHRS_Project Scenario'!P17</f>
        <v>8.8296765301536926</v>
      </c>
      <c r="P804" s="377">
        <f>+'WHRS_Project Scenario'!Q17</f>
        <v>9.066311861161811</v>
      </c>
      <c r="Q804" s="377">
        <f>+'WHRS_Project Scenario'!R17</f>
        <v>9.3092890190409463</v>
      </c>
    </row>
    <row r="805" spans="1:17" ht="14.4">
      <c r="A805" s="366" t="s">
        <v>293</v>
      </c>
      <c r="B805" s="365"/>
      <c r="C805" s="377">
        <f>+C803*C804</f>
        <v>450</v>
      </c>
      <c r="D805" s="377">
        <f t="shared" ref="D805" si="542">+D803*D804</f>
        <v>462.06</v>
      </c>
      <c r="E805" s="377">
        <f t="shared" ref="E805" si="543">+E803*E804</f>
        <v>474.44320799999991</v>
      </c>
      <c r="F805" s="377">
        <f t="shared" ref="F805" si="544">+F803*F804</f>
        <v>487.15828597439992</v>
      </c>
      <c r="G805" s="377">
        <f t="shared" ref="G805" si="545">+G803*G804</f>
        <v>500.21412803851376</v>
      </c>
      <c r="H805" s="377">
        <f t="shared" ref="H805" si="546">+H803*H804</f>
        <v>513.61986666994596</v>
      </c>
      <c r="I805" s="377">
        <f t="shared" ref="I805" si="547">+I803*I804</f>
        <v>527.3848790967005</v>
      </c>
      <c r="J805" s="377">
        <f t="shared" ref="J805" si="548">+J803*J804</f>
        <v>541.51879385649192</v>
      </c>
      <c r="K805" s="377">
        <f t="shared" ref="K805" si="549">+K803*K804</f>
        <v>556.03149753184596</v>
      </c>
      <c r="L805" s="377">
        <f t="shared" ref="L805" si="550">+L803*L804</f>
        <v>570.9331416656994</v>
      </c>
      <c r="M805" s="377">
        <f t="shared" ref="M805" si="551">+M803*M804</f>
        <v>586.23414986234002</v>
      </c>
      <c r="N805" s="377">
        <f t="shared" ref="N805" si="552">+N803*N804</f>
        <v>601.94522507865065</v>
      </c>
      <c r="O805" s="377">
        <f t="shared" ref="O805" si="553">+O803*O804</f>
        <v>618.0773571107585</v>
      </c>
      <c r="P805" s="377">
        <f t="shared" ref="P805" si="554">+P803*P804</f>
        <v>634.64183028132675</v>
      </c>
      <c r="Q805" s="377">
        <f t="shared" ref="Q805" si="555">+Q803*Q804</f>
        <v>651.65023133286627</v>
      </c>
    </row>
    <row r="806" spans="1:17" ht="14.4">
      <c r="A806" s="370"/>
      <c r="B806" s="373"/>
      <c r="C806" s="373"/>
      <c r="D806" s="373"/>
      <c r="E806" s="373"/>
      <c r="F806" s="373"/>
      <c r="G806" s="373"/>
      <c r="H806" s="373"/>
      <c r="I806" s="373"/>
      <c r="J806" s="373"/>
      <c r="K806" s="373"/>
      <c r="L806" s="373"/>
      <c r="M806" s="373"/>
      <c r="N806" s="373"/>
      <c r="O806" s="373"/>
      <c r="P806" s="373"/>
      <c r="Q806" s="373"/>
    </row>
    <row r="807" spans="1:17" ht="14.4">
      <c r="A807" s="366" t="s">
        <v>294</v>
      </c>
      <c r="B807" s="377">
        <f>+SUM(C807:Q807)</f>
        <v>1790524.8581953994</v>
      </c>
      <c r="C807" s="377">
        <f>C802*C805/1000*'Initial Data'!$C$34/'Initial Data'!$C$33</f>
        <v>98550</v>
      </c>
      <c r="D807" s="377">
        <f>D802*D805/1000*'Initial Data'!$C$34/'Initial Data'!$C$33</f>
        <v>101191.14</v>
      </c>
      <c r="E807" s="377">
        <f>E802*E805/1000*'Initial Data'!$C$34/'Initial Data'!$C$33</f>
        <v>103903.06255199999</v>
      </c>
      <c r="F807" s="377">
        <f>F802*F805/1000*'Initial Data'!$C$34/'Initial Data'!$C$33</f>
        <v>106687.66462839357</v>
      </c>
      <c r="G807" s="377">
        <f>G802*G805/1000*'Initial Data'!$C$34/'Initial Data'!$C$33</f>
        <v>109546.8940404345</v>
      </c>
      <c r="H807" s="377">
        <f>H802*H805/1000*'Initial Data'!$C$34/'Initial Data'!$C$33</f>
        <v>112482.75080071818</v>
      </c>
      <c r="I807" s="377">
        <f>I802*I805/1000*'Initial Data'!$C$34/'Initial Data'!$C$33</f>
        <v>115497.28852217742</v>
      </c>
      <c r="J807" s="377">
        <f>J802*J805/1000*'Initial Data'!$C$34/'Initial Data'!$C$33</f>
        <v>118592.61585457173</v>
      </c>
      <c r="K807" s="377">
        <f>K802*K805/1000*'Initial Data'!$C$34/'Initial Data'!$C$33</f>
        <v>121770.89795947427</v>
      </c>
      <c r="L807" s="377">
        <f>L802*L805/1000*'Initial Data'!$C$34/'Initial Data'!$C$33</f>
        <v>125034.35802478818</v>
      </c>
      <c r="M807" s="377">
        <f>M802*M805/1000*'Initial Data'!$C$34/'Initial Data'!$C$33</f>
        <v>128385.27881985246</v>
      </c>
      <c r="N807" s="377">
        <f>N802*N805/1000*'Initial Data'!$C$34/'Initial Data'!$C$33</f>
        <v>131826.0042922245</v>
      </c>
      <c r="O807" s="377">
        <f>O802*O805/1000*'Initial Data'!$C$34/'Initial Data'!$C$33</f>
        <v>135358.94120725611</v>
      </c>
      <c r="P807" s="377">
        <f>P802*P805/1000*'Initial Data'!$C$34/'Initial Data'!$C$33</f>
        <v>138986.56083161055</v>
      </c>
      <c r="Q807" s="377">
        <f>Q802*Q805/1000*'Initial Data'!$C$34/'Initial Data'!$C$33</f>
        <v>142711.40066189773</v>
      </c>
    </row>
    <row r="808" spans="1:17" ht="14.4">
      <c r="A808" s="370"/>
      <c r="B808" s="373"/>
      <c r="C808" s="373"/>
      <c r="D808" s="373"/>
      <c r="E808" s="373"/>
      <c r="F808" s="373"/>
      <c r="G808" s="373"/>
      <c r="H808" s="373"/>
      <c r="I808" s="373"/>
      <c r="J808" s="373"/>
      <c r="K808" s="373"/>
      <c r="L808" s="373"/>
      <c r="M808" s="373"/>
      <c r="N808" s="373"/>
      <c r="O808" s="373"/>
      <c r="P808" s="373"/>
      <c r="Q808" s="373"/>
    </row>
    <row r="809" spans="1:17" ht="14.4">
      <c r="A809" s="366" t="s">
        <v>295</v>
      </c>
      <c r="B809" s="377">
        <f>+SUM(C809:Q809)</f>
        <v>1790524.8581953994</v>
      </c>
      <c r="C809" s="377">
        <f>+C807</f>
        <v>98550</v>
      </c>
      <c r="D809" s="377">
        <f t="shared" ref="D809:Q809" si="556">+D807</f>
        <v>101191.14</v>
      </c>
      <c r="E809" s="377">
        <f t="shared" si="556"/>
        <v>103903.06255199999</v>
      </c>
      <c r="F809" s="377">
        <f t="shared" si="556"/>
        <v>106687.66462839357</v>
      </c>
      <c r="G809" s="377">
        <f t="shared" si="556"/>
        <v>109546.8940404345</v>
      </c>
      <c r="H809" s="377">
        <f t="shared" si="556"/>
        <v>112482.75080071818</v>
      </c>
      <c r="I809" s="377">
        <f t="shared" si="556"/>
        <v>115497.28852217742</v>
      </c>
      <c r="J809" s="377">
        <f t="shared" si="556"/>
        <v>118592.61585457173</v>
      </c>
      <c r="K809" s="377">
        <f t="shared" si="556"/>
        <v>121770.89795947427</v>
      </c>
      <c r="L809" s="377">
        <f t="shared" si="556"/>
        <v>125034.35802478818</v>
      </c>
      <c r="M809" s="377">
        <f t="shared" si="556"/>
        <v>128385.27881985246</v>
      </c>
      <c r="N809" s="377">
        <f t="shared" si="556"/>
        <v>131826.0042922245</v>
      </c>
      <c r="O809" s="377">
        <f t="shared" si="556"/>
        <v>135358.94120725611</v>
      </c>
      <c r="P809" s="377">
        <f t="shared" si="556"/>
        <v>138986.56083161055</v>
      </c>
      <c r="Q809" s="377">
        <f t="shared" si="556"/>
        <v>142711.40066189773</v>
      </c>
    </row>
    <row r="810" spans="1:17" ht="14.4">
      <c r="A810" s="370"/>
      <c r="B810" s="374"/>
      <c r="C810" s="374"/>
      <c r="D810" s="374"/>
      <c r="E810" s="374"/>
      <c r="F810" s="374"/>
      <c r="G810" s="374"/>
      <c r="H810" s="374"/>
      <c r="I810" s="374"/>
      <c r="J810" s="374"/>
      <c r="K810" s="374"/>
      <c r="L810" s="374"/>
      <c r="M810" s="374"/>
      <c r="N810" s="374"/>
      <c r="O810" s="374"/>
      <c r="P810" s="374"/>
      <c r="Q810" s="374"/>
    </row>
    <row r="811" spans="1:17" ht="14.4">
      <c r="A811" s="366" t="s">
        <v>68</v>
      </c>
      <c r="B811" s="368"/>
      <c r="C811" s="368"/>
      <c r="D811" s="368"/>
      <c r="E811" s="368"/>
      <c r="F811" s="368"/>
      <c r="G811" s="368"/>
      <c r="H811" s="368"/>
      <c r="I811" s="368"/>
      <c r="J811" s="368"/>
      <c r="K811" s="368"/>
      <c r="L811" s="368"/>
      <c r="M811" s="368"/>
      <c r="N811" s="368"/>
      <c r="O811" s="368"/>
      <c r="P811" s="368"/>
      <c r="Q811" s="368"/>
    </row>
    <row r="812" spans="1:17" ht="14.4">
      <c r="A812" s="366" t="s">
        <v>296</v>
      </c>
      <c r="B812" s="378">
        <f>+SUM(C812:Q812)</f>
        <v>11529.370291765843</v>
      </c>
      <c r="C812" s="367">
        <f>SUM('Initial Data'!$C$77:$C$80)/'Initial Data'!$C$14/1000</f>
        <v>634.57339732142862</v>
      </c>
      <c r="D812" s="367">
        <f>+C812*(1+'Initial Data'!$C$20/100)</f>
        <v>651.57996436964288</v>
      </c>
      <c r="E812" s="367">
        <f>+D812*(1+'Initial Data'!$C$20/100)</f>
        <v>669.0423074147493</v>
      </c>
      <c r="F812" s="367">
        <f>+E812*(1+'Initial Data'!$C$20/100)</f>
        <v>686.97264125346453</v>
      </c>
      <c r="G812" s="367">
        <f>+F812*(1+'Initial Data'!$C$20/100)</f>
        <v>705.38350803905735</v>
      </c>
      <c r="H812" s="367">
        <f>+G812*(1+'Initial Data'!$C$20/100)</f>
        <v>724.28778605450407</v>
      </c>
      <c r="I812" s="367">
        <f>+H812*(1+'Initial Data'!$C$20/100)</f>
        <v>743.6986987207647</v>
      </c>
      <c r="J812" s="367">
        <f>+I812*(1+'Initial Data'!$C$20/100)</f>
        <v>763.62982384648114</v>
      </c>
      <c r="K812" s="367">
        <f>+J812*(1+'Initial Data'!$C$20/100)</f>
        <v>784.09510312556677</v>
      </c>
      <c r="L812" s="367">
        <f>+K812*(1+'Initial Data'!$C$20/100)</f>
        <v>805.10885188933196</v>
      </c>
      <c r="M812" s="367">
        <f>+L812*(1+'Initial Data'!$C$20/100)</f>
        <v>826.68576911996604</v>
      </c>
      <c r="N812" s="367">
        <f>+M812*(1+'Initial Data'!$C$20/100)</f>
        <v>848.8409477323811</v>
      </c>
      <c r="O812" s="367">
        <f>+N812*(1+'Initial Data'!$C$20/100)</f>
        <v>871.58988513160887</v>
      </c>
      <c r="P812" s="367">
        <f>+O812*(1+'Initial Data'!$C$20/100)</f>
        <v>894.94849405313596</v>
      </c>
      <c r="Q812" s="367">
        <f>+P812*(1+'Initial Data'!$C$20/100)</f>
        <v>918.93311369375999</v>
      </c>
    </row>
    <row r="813" spans="1:17" ht="14.4">
      <c r="A813" s="366" t="s">
        <v>297</v>
      </c>
      <c r="B813" s="378">
        <f>+SUM(C813:Q813)</f>
        <v>13836.767075562186</v>
      </c>
      <c r="C813" s="367">
        <f>('Initial Data'!$C$82/1000+('Initial Data'!$C$83*'Initial Data'!$C$15/'Initial Data'!$C$14)/1000+'Initial Data'!$C$84/'Initial Data'!$C$14/1000)</f>
        <v>761.57188717892859</v>
      </c>
      <c r="D813" s="367">
        <f>+C813*(1+'Initial Data'!$C$20/100)</f>
        <v>781.98201375532381</v>
      </c>
      <c r="E813" s="367">
        <f>+D813*(1+'Initial Data'!$C$20/100)</f>
        <v>802.9391317239664</v>
      </c>
      <c r="F813" s="367">
        <f>+E813*(1+'Initial Data'!$C$20/100)</f>
        <v>824.45790045416868</v>
      </c>
      <c r="G813" s="367">
        <f>+F813*(1+'Initial Data'!$C$20/100)</f>
        <v>846.55337218634031</v>
      </c>
      <c r="H813" s="367">
        <f>+G813*(1+'Initial Data'!$C$20/100)</f>
        <v>869.24100256093413</v>
      </c>
      <c r="I813" s="367">
        <f>+H813*(1+'Initial Data'!$C$20/100)</f>
        <v>892.53666142956706</v>
      </c>
      <c r="J813" s="367">
        <f>+I813*(1+'Initial Data'!$C$20/100)</f>
        <v>916.45664395587937</v>
      </c>
      <c r="K813" s="367">
        <f>+J813*(1+'Initial Data'!$C$20/100)</f>
        <v>941.01768201389689</v>
      </c>
      <c r="L813" s="367">
        <f>+K813*(1+'Initial Data'!$C$20/100)</f>
        <v>966.23695589186923</v>
      </c>
      <c r="M813" s="367">
        <f>+L813*(1+'Initial Data'!$C$20/100)</f>
        <v>992.1321063097713</v>
      </c>
      <c r="N813" s="367">
        <f>+M813*(1+'Initial Data'!$C$20/100)</f>
        <v>1018.7212467588731</v>
      </c>
      <c r="O813" s="367">
        <f>+N813*(1+'Initial Data'!$C$20/100)</f>
        <v>1046.0229761720109</v>
      </c>
      <c r="P813" s="367">
        <f>+O813*(1+'Initial Data'!$C$20/100)</f>
        <v>1074.0563919334206</v>
      </c>
      <c r="Q813" s="367">
        <f>+P813*(1+'Initial Data'!$C$20/100)</f>
        <v>1102.8411032372362</v>
      </c>
    </row>
    <row r="814" spans="1:17" ht="14.4">
      <c r="A814" s="370"/>
      <c r="B814" s="369"/>
      <c r="C814" s="382"/>
      <c r="D814" s="369"/>
      <c r="E814" s="369"/>
      <c r="F814" s="369"/>
      <c r="G814" s="369"/>
      <c r="H814" s="369"/>
      <c r="I814" s="369"/>
      <c r="J814" s="369"/>
      <c r="K814" s="369"/>
      <c r="L814" s="369"/>
      <c r="M814" s="369"/>
      <c r="N814" s="369"/>
      <c r="O814" s="369"/>
      <c r="P814" s="369"/>
      <c r="Q814" s="369"/>
    </row>
    <row r="815" spans="1:17" ht="14.4">
      <c r="A815" s="366" t="s">
        <v>71</v>
      </c>
      <c r="B815" s="379"/>
      <c r="C815" s="379"/>
      <c r="D815" s="379"/>
      <c r="E815" s="379"/>
      <c r="F815" s="379"/>
      <c r="G815" s="379"/>
      <c r="H815" s="379"/>
      <c r="I815" s="379"/>
      <c r="J815" s="379"/>
      <c r="K815" s="379"/>
      <c r="L815" s="379"/>
      <c r="M815" s="379"/>
      <c r="N815" s="379"/>
      <c r="O815" s="379"/>
      <c r="P815" s="379"/>
      <c r="Q815" s="379"/>
    </row>
    <row r="816" spans="1:17" ht="14.4">
      <c r="A816" s="370"/>
      <c r="B816" s="379"/>
      <c r="C816" s="379"/>
      <c r="D816" s="379"/>
      <c r="E816" s="379"/>
      <c r="F816" s="379"/>
      <c r="G816" s="379"/>
      <c r="H816" s="379"/>
      <c r="I816" s="379"/>
      <c r="J816" s="379"/>
      <c r="K816" s="379"/>
      <c r="L816" s="379"/>
      <c r="M816" s="379"/>
      <c r="N816" s="379"/>
      <c r="O816" s="379"/>
      <c r="P816" s="379"/>
      <c r="Q816" s="379"/>
    </row>
    <row r="817" spans="1:17" ht="14.4">
      <c r="A817" s="366" t="s">
        <v>298</v>
      </c>
      <c r="B817" s="378">
        <f>+SUM(C817:Q817)</f>
        <v>25366.137367328029</v>
      </c>
      <c r="C817" s="367">
        <f>SUM(C812:C813)</f>
        <v>1396.1452845003573</v>
      </c>
      <c r="D817" s="367">
        <f>SUM(D812:D813)</f>
        <v>1433.5619781249666</v>
      </c>
      <c r="E817" s="367">
        <f t="shared" ref="E817:Q817" si="557">SUM(E812:E813)</f>
        <v>1471.9814391387158</v>
      </c>
      <c r="F817" s="367">
        <f t="shared" si="557"/>
        <v>1511.4305417076332</v>
      </c>
      <c r="G817" s="367">
        <f t="shared" si="557"/>
        <v>1551.9368802253975</v>
      </c>
      <c r="H817" s="367">
        <f t="shared" si="557"/>
        <v>1593.5287886154383</v>
      </c>
      <c r="I817" s="367">
        <f t="shared" si="557"/>
        <v>1636.2353601503319</v>
      </c>
      <c r="J817" s="367">
        <f t="shared" si="557"/>
        <v>1680.0864678023604</v>
      </c>
      <c r="K817" s="367">
        <f t="shared" si="557"/>
        <v>1725.1127851394635</v>
      </c>
      <c r="L817" s="367">
        <f t="shared" si="557"/>
        <v>1771.3458077812011</v>
      </c>
      <c r="M817" s="367">
        <f t="shared" si="557"/>
        <v>1818.8178754297373</v>
      </c>
      <c r="N817" s="367">
        <f t="shared" si="557"/>
        <v>1867.5621944912541</v>
      </c>
      <c r="O817" s="367">
        <f t="shared" si="557"/>
        <v>1917.6128613036199</v>
      </c>
      <c r="P817" s="367">
        <f t="shared" si="557"/>
        <v>1969.0048859865565</v>
      </c>
      <c r="Q817" s="367">
        <f t="shared" si="557"/>
        <v>2021.7742169309963</v>
      </c>
    </row>
    <row r="818" spans="1:17" ht="14.4">
      <c r="A818" s="370"/>
      <c r="B818" s="379"/>
      <c r="C818" s="379"/>
      <c r="D818" s="379"/>
      <c r="E818" s="379"/>
      <c r="F818" s="379"/>
      <c r="G818" s="379"/>
      <c r="H818" s="379"/>
      <c r="I818" s="379"/>
      <c r="J818" s="379"/>
      <c r="K818" s="379"/>
      <c r="L818" s="379"/>
      <c r="M818" s="379"/>
      <c r="N818" s="379"/>
      <c r="O818" s="379"/>
      <c r="P818" s="379"/>
      <c r="Q818" s="379"/>
    </row>
    <row r="819" spans="1:17" ht="14.4">
      <c r="A819" s="366" t="s">
        <v>299</v>
      </c>
      <c r="B819" s="378">
        <f t="shared" ref="B819:B820" si="558">+SUM(C819:Q819)</f>
        <v>43884.879418749995</v>
      </c>
      <c r="C819" s="367">
        <f>'WHRS_Project Scenario'!$C$8/'Initial Data'!$C$19</f>
        <v>4388.4879418749997</v>
      </c>
      <c r="D819" s="367">
        <f>'WHRS_Project Scenario'!$C$8/'Initial Data'!$C$19</f>
        <v>4388.4879418749997</v>
      </c>
      <c r="E819" s="367">
        <f>'WHRS_Project Scenario'!$C$8/'Initial Data'!$C$19</f>
        <v>4388.4879418749997</v>
      </c>
      <c r="F819" s="367">
        <f>'WHRS_Project Scenario'!$C$8/'Initial Data'!$C$19</f>
        <v>4388.4879418749997</v>
      </c>
      <c r="G819" s="367">
        <f>'WHRS_Project Scenario'!$C$8/'Initial Data'!$C$19</f>
        <v>4388.4879418749997</v>
      </c>
      <c r="H819" s="367">
        <f>'WHRS_Project Scenario'!$C$8/'Initial Data'!$C$19</f>
        <v>4388.4879418749997</v>
      </c>
      <c r="I819" s="367">
        <f>'WHRS_Project Scenario'!$C$8/'Initial Data'!$C$19</f>
        <v>4388.4879418749997</v>
      </c>
      <c r="J819" s="367">
        <f>'WHRS_Project Scenario'!$C$8/'Initial Data'!$C$19</f>
        <v>4388.4879418749997</v>
      </c>
      <c r="K819" s="367">
        <f>'WHRS_Project Scenario'!$C$8/'Initial Data'!$C$19</f>
        <v>4388.4879418749997</v>
      </c>
      <c r="L819" s="367">
        <f>'WHRS_Project Scenario'!$C$8/'Initial Data'!$C$19</f>
        <v>4388.4879418749997</v>
      </c>
      <c r="M819" s="367">
        <v>0</v>
      </c>
      <c r="N819" s="367">
        <v>0</v>
      </c>
      <c r="O819" s="367">
        <v>0</v>
      </c>
      <c r="P819" s="367">
        <v>0</v>
      </c>
      <c r="Q819" s="367">
        <v>0</v>
      </c>
    </row>
    <row r="820" spans="1:17" ht="14.4">
      <c r="A820" s="366" t="s">
        <v>300</v>
      </c>
      <c r="B820" s="378">
        <f t="shared" si="558"/>
        <v>43884.879418749995</v>
      </c>
      <c r="C820" s="367">
        <f>SUM(C819:C819)</f>
        <v>4388.4879418749997</v>
      </c>
      <c r="D820" s="367">
        <f t="shared" ref="D820:Q820" si="559">SUM(D819:D819)</f>
        <v>4388.4879418749997</v>
      </c>
      <c r="E820" s="367">
        <f t="shared" si="559"/>
        <v>4388.4879418749997</v>
      </c>
      <c r="F820" s="367">
        <f t="shared" si="559"/>
        <v>4388.4879418749997</v>
      </c>
      <c r="G820" s="367">
        <f t="shared" si="559"/>
        <v>4388.4879418749997</v>
      </c>
      <c r="H820" s="367">
        <f t="shared" si="559"/>
        <v>4388.4879418749997</v>
      </c>
      <c r="I820" s="367">
        <f t="shared" si="559"/>
        <v>4388.4879418749997</v>
      </c>
      <c r="J820" s="367">
        <f t="shared" si="559"/>
        <v>4388.4879418749997</v>
      </c>
      <c r="K820" s="367">
        <f t="shared" si="559"/>
        <v>4388.4879418749997</v>
      </c>
      <c r="L820" s="367">
        <f t="shared" si="559"/>
        <v>4388.4879418749997</v>
      </c>
      <c r="M820" s="367">
        <f t="shared" si="559"/>
        <v>0</v>
      </c>
      <c r="N820" s="367">
        <f t="shared" si="559"/>
        <v>0</v>
      </c>
      <c r="O820" s="367">
        <f t="shared" si="559"/>
        <v>0</v>
      </c>
      <c r="P820" s="367">
        <f t="shared" si="559"/>
        <v>0</v>
      </c>
      <c r="Q820" s="367">
        <f t="shared" si="559"/>
        <v>0</v>
      </c>
    </row>
    <row r="821" spans="1:17" ht="14.4">
      <c r="A821" s="370"/>
      <c r="B821" s="379"/>
      <c r="C821" s="379"/>
      <c r="D821" s="379"/>
      <c r="E821" s="379"/>
      <c r="F821" s="379"/>
      <c r="G821" s="379"/>
      <c r="H821" s="379"/>
      <c r="I821" s="379"/>
      <c r="J821" s="379"/>
      <c r="K821" s="379"/>
      <c r="L821" s="379"/>
      <c r="M821" s="379"/>
      <c r="N821" s="379"/>
      <c r="O821" s="379"/>
      <c r="P821" s="379"/>
      <c r="Q821" s="379"/>
    </row>
    <row r="822" spans="1:17" ht="14.4">
      <c r="A822" s="366" t="s">
        <v>301</v>
      </c>
      <c r="B822" s="378">
        <f>+SUM(C822:Q822)</f>
        <v>69251.016786078035</v>
      </c>
      <c r="C822" s="367">
        <f>+C817+C820</f>
        <v>5784.6332263753575</v>
      </c>
      <c r="D822" s="367">
        <f>+D817+D820</f>
        <v>5822.0499199999667</v>
      </c>
      <c r="E822" s="367">
        <f t="shared" ref="E822:Q822" si="560">+E817+E820</f>
        <v>5860.469381013716</v>
      </c>
      <c r="F822" s="367">
        <f t="shared" si="560"/>
        <v>5899.9184835826327</v>
      </c>
      <c r="G822" s="367">
        <f t="shared" si="560"/>
        <v>5940.4248221003973</v>
      </c>
      <c r="H822" s="367">
        <f t="shared" si="560"/>
        <v>5982.016730490438</v>
      </c>
      <c r="I822" s="367">
        <f t="shared" si="560"/>
        <v>6024.7233020253316</v>
      </c>
      <c r="J822" s="367">
        <f t="shared" si="560"/>
        <v>6068.5744096773597</v>
      </c>
      <c r="K822" s="367">
        <f t="shared" si="560"/>
        <v>6113.6007270144637</v>
      </c>
      <c r="L822" s="367">
        <f t="shared" si="560"/>
        <v>6159.8337496562008</v>
      </c>
      <c r="M822" s="367">
        <f t="shared" si="560"/>
        <v>1818.8178754297373</v>
      </c>
      <c r="N822" s="367">
        <f t="shared" si="560"/>
        <v>1867.5621944912541</v>
      </c>
      <c r="O822" s="367">
        <f t="shared" si="560"/>
        <v>1917.6128613036199</v>
      </c>
      <c r="P822" s="367">
        <f t="shared" si="560"/>
        <v>1969.0048859865565</v>
      </c>
      <c r="Q822" s="367">
        <f t="shared" si="560"/>
        <v>2021.7742169309963</v>
      </c>
    </row>
    <row r="823" spans="1:17" ht="14.4">
      <c r="A823" s="370"/>
      <c r="B823" s="379"/>
      <c r="C823" s="379"/>
      <c r="D823" s="379"/>
      <c r="E823" s="379"/>
      <c r="F823" s="379"/>
      <c r="G823" s="379"/>
      <c r="H823" s="379"/>
      <c r="I823" s="379"/>
      <c r="J823" s="379"/>
      <c r="K823" s="379"/>
      <c r="L823" s="379"/>
      <c r="M823" s="379"/>
      <c r="N823" s="379"/>
      <c r="O823" s="379"/>
      <c r="P823" s="379"/>
      <c r="Q823" s="379"/>
    </row>
    <row r="824" spans="1:17" ht="14.4">
      <c r="A824" s="364" t="s">
        <v>302</v>
      </c>
      <c r="B824" s="378">
        <f>+SUM(C824:Q824)</f>
        <v>1721273.8414093212</v>
      </c>
      <c r="C824" s="367">
        <f>+C809-C822</f>
        <v>92765.366773624643</v>
      </c>
      <c r="D824" s="367">
        <f>+D809-D822</f>
        <v>95369.090080000038</v>
      </c>
      <c r="E824" s="367">
        <f t="shared" ref="E824:Q824" si="561">+E809-E822</f>
        <v>98042.593170986278</v>
      </c>
      <c r="F824" s="367">
        <f t="shared" si="561"/>
        <v>100787.74614481094</v>
      </c>
      <c r="G824" s="367">
        <f t="shared" si="561"/>
        <v>103606.46921833411</v>
      </c>
      <c r="H824" s="367">
        <f t="shared" si="561"/>
        <v>106500.73407022774</v>
      </c>
      <c r="I824" s="367">
        <f t="shared" si="561"/>
        <v>109472.56522015209</v>
      </c>
      <c r="J824" s="367">
        <f t="shared" si="561"/>
        <v>112524.04144489438</v>
      </c>
      <c r="K824" s="367">
        <f t="shared" si="561"/>
        <v>115657.29723245981</v>
      </c>
      <c r="L824" s="367">
        <f t="shared" si="561"/>
        <v>118874.52427513197</v>
      </c>
      <c r="M824" s="367">
        <f t="shared" si="561"/>
        <v>126566.46094442272</v>
      </c>
      <c r="N824" s="367">
        <f t="shared" si="561"/>
        <v>129958.44209773325</v>
      </c>
      <c r="O824" s="367">
        <f t="shared" si="561"/>
        <v>133441.3283459525</v>
      </c>
      <c r="P824" s="367">
        <f t="shared" si="561"/>
        <v>137017.55594562399</v>
      </c>
      <c r="Q824" s="367">
        <f t="shared" si="561"/>
        <v>140689.62644496674</v>
      </c>
    </row>
    <row r="825" spans="1:17" ht="14.4">
      <c r="A825" s="364"/>
    </row>
    <row r="826" spans="1:17" ht="14.4">
      <c r="A826" s="364" t="s">
        <v>222</v>
      </c>
      <c r="B826" s="380">
        <f>+'WHRS_Project Scenario'!C39</f>
        <v>0.7</v>
      </c>
      <c r="C826" s="367">
        <f>IF((+$B$826*C824)&lt;0,"0",(+$B$826*C824))</f>
        <v>64935.756741537247</v>
      </c>
      <c r="D826" s="367">
        <f>IF((+$B$826*D824)&lt;0,"0",(+$B$826*D824))</f>
        <v>66758.363056000017</v>
      </c>
      <c r="E826" s="367">
        <f t="shared" ref="E826:Q826" si="562">IF((+$B$826*E824)&lt;0,"0",(+$B$826*E824))</f>
        <v>68629.815219690397</v>
      </c>
      <c r="F826" s="367">
        <f t="shared" si="562"/>
        <v>70551.422301367653</v>
      </c>
      <c r="G826" s="367">
        <f t="shared" si="562"/>
        <v>72524.528452833867</v>
      </c>
      <c r="H826" s="367">
        <f t="shared" si="562"/>
        <v>74550.513849159412</v>
      </c>
      <c r="I826" s="367">
        <f t="shared" si="562"/>
        <v>76630.795654106449</v>
      </c>
      <c r="J826" s="367">
        <f t="shared" si="562"/>
        <v>78766.82901142606</v>
      </c>
      <c r="K826" s="367">
        <f t="shared" si="562"/>
        <v>80960.108062721862</v>
      </c>
      <c r="L826" s="367">
        <f t="shared" si="562"/>
        <v>83212.166992592378</v>
      </c>
      <c r="M826" s="367">
        <f t="shared" si="562"/>
        <v>88596.522661095907</v>
      </c>
      <c r="N826" s="367">
        <f t="shared" si="562"/>
        <v>90970.909468413272</v>
      </c>
      <c r="O826" s="367">
        <f t="shared" si="562"/>
        <v>93408.929842166748</v>
      </c>
      <c r="P826" s="367">
        <f t="shared" si="562"/>
        <v>95912.289161936787</v>
      </c>
      <c r="Q826" s="367">
        <f t="shared" si="562"/>
        <v>98482.738511476709</v>
      </c>
    </row>
    <row r="827" spans="1:17" ht="14.4">
      <c r="A827" s="364" t="s">
        <v>303</v>
      </c>
      <c r="B827" s="378">
        <f>+SUM(C827:Q827)</f>
        <v>1204891.6889865247</v>
      </c>
      <c r="C827" s="367">
        <f>SUM(C826:C826)</f>
        <v>64935.756741537247</v>
      </c>
      <c r="D827" s="367">
        <f t="shared" ref="D827:Q827" si="563">SUM(D826:D826)</f>
        <v>66758.363056000017</v>
      </c>
      <c r="E827" s="367">
        <f t="shared" si="563"/>
        <v>68629.815219690397</v>
      </c>
      <c r="F827" s="367">
        <f t="shared" si="563"/>
        <v>70551.422301367653</v>
      </c>
      <c r="G827" s="367">
        <f t="shared" si="563"/>
        <v>72524.528452833867</v>
      </c>
      <c r="H827" s="367">
        <f t="shared" si="563"/>
        <v>74550.513849159412</v>
      </c>
      <c r="I827" s="367">
        <f t="shared" si="563"/>
        <v>76630.795654106449</v>
      </c>
      <c r="J827" s="367">
        <f t="shared" si="563"/>
        <v>78766.82901142606</v>
      </c>
      <c r="K827" s="367">
        <f t="shared" si="563"/>
        <v>80960.108062721862</v>
      </c>
      <c r="L827" s="367">
        <f t="shared" si="563"/>
        <v>83212.166992592378</v>
      </c>
      <c r="M827" s="367">
        <f t="shared" si="563"/>
        <v>88596.522661095907</v>
      </c>
      <c r="N827" s="367">
        <f t="shared" si="563"/>
        <v>90970.909468413272</v>
      </c>
      <c r="O827" s="367">
        <f t="shared" si="563"/>
        <v>93408.929842166748</v>
      </c>
      <c r="P827" s="367">
        <f t="shared" si="563"/>
        <v>95912.289161936787</v>
      </c>
      <c r="Q827" s="367">
        <f t="shared" si="563"/>
        <v>98482.738511476709</v>
      </c>
    </row>
    <row r="828" spans="1:17" ht="14.4">
      <c r="A828" s="369"/>
    </row>
    <row r="829" spans="1:17" ht="14.4">
      <c r="A829" s="364" t="s">
        <v>304</v>
      </c>
      <c r="B829" s="378">
        <f t="shared" ref="B829:B831" si="564">+SUM(C829:Q829)</f>
        <v>516382.15242279641</v>
      </c>
      <c r="C829" s="367">
        <f>C824-C827</f>
        <v>27829.610032087396</v>
      </c>
      <c r="D829" s="367">
        <f t="shared" ref="D829:Q829" si="565">D824-D827</f>
        <v>28610.727024000022</v>
      </c>
      <c r="E829" s="367">
        <f t="shared" si="565"/>
        <v>29412.77795129588</v>
      </c>
      <c r="F829" s="367">
        <f t="shared" si="565"/>
        <v>30236.323843443286</v>
      </c>
      <c r="G829" s="367">
        <f t="shared" si="565"/>
        <v>31081.940765500243</v>
      </c>
      <c r="H829" s="367">
        <f t="shared" si="565"/>
        <v>31950.220221068332</v>
      </c>
      <c r="I829" s="367">
        <f t="shared" si="565"/>
        <v>32841.769566045637</v>
      </c>
      <c r="J829" s="367">
        <f t="shared" si="565"/>
        <v>33757.212433468318</v>
      </c>
      <c r="K829" s="367">
        <f t="shared" si="565"/>
        <v>34697.189169737947</v>
      </c>
      <c r="L829" s="367">
        <f t="shared" si="565"/>
        <v>35662.357282539597</v>
      </c>
      <c r="M829" s="367">
        <f t="shared" si="565"/>
        <v>37969.938283326817</v>
      </c>
      <c r="N829" s="367">
        <f t="shared" si="565"/>
        <v>38987.532629319976</v>
      </c>
      <c r="O829" s="367">
        <f t="shared" si="565"/>
        <v>40032.398503785749</v>
      </c>
      <c r="P829" s="367">
        <f t="shared" si="565"/>
        <v>41105.266783687199</v>
      </c>
      <c r="Q829" s="367">
        <f t="shared" si="565"/>
        <v>42206.887933490027</v>
      </c>
    </row>
    <row r="830" spans="1:17" ht="14.4">
      <c r="A830" s="364" t="s">
        <v>305</v>
      </c>
      <c r="B830" s="378">
        <f t="shared" si="564"/>
        <v>43884.879418749995</v>
      </c>
      <c r="C830" s="367">
        <f>+C819</f>
        <v>4388.4879418749997</v>
      </c>
      <c r="D830" s="367">
        <f t="shared" ref="D830:Q830" si="566">+D819</f>
        <v>4388.4879418749997</v>
      </c>
      <c r="E830" s="367">
        <f t="shared" si="566"/>
        <v>4388.4879418749997</v>
      </c>
      <c r="F830" s="367">
        <f t="shared" si="566"/>
        <v>4388.4879418749997</v>
      </c>
      <c r="G830" s="367">
        <f t="shared" si="566"/>
        <v>4388.4879418749997</v>
      </c>
      <c r="H830" s="367">
        <f t="shared" si="566"/>
        <v>4388.4879418749997</v>
      </c>
      <c r="I830" s="367">
        <f t="shared" si="566"/>
        <v>4388.4879418749997</v>
      </c>
      <c r="J830" s="367">
        <f t="shared" si="566"/>
        <v>4388.4879418749997</v>
      </c>
      <c r="K830" s="367">
        <f t="shared" si="566"/>
        <v>4388.4879418749997</v>
      </c>
      <c r="L830" s="367">
        <f t="shared" si="566"/>
        <v>4388.4879418749997</v>
      </c>
      <c r="M830" s="367">
        <f t="shared" si="566"/>
        <v>0</v>
      </c>
      <c r="N830" s="367">
        <f t="shared" si="566"/>
        <v>0</v>
      </c>
      <c r="O830" s="367">
        <f t="shared" si="566"/>
        <v>0</v>
      </c>
      <c r="P830" s="367">
        <f t="shared" si="566"/>
        <v>0</v>
      </c>
      <c r="Q830" s="367">
        <f t="shared" si="566"/>
        <v>0</v>
      </c>
    </row>
    <row r="831" spans="1:17" ht="14.4">
      <c r="A831" s="364" t="s">
        <v>306</v>
      </c>
      <c r="B831" s="378">
        <f t="shared" si="564"/>
        <v>0</v>
      </c>
      <c r="C831" s="367">
        <f>+'WHRS_Project Scenario'!D804</f>
        <v>0</v>
      </c>
      <c r="D831" s="367">
        <f>+'WHRS_Project Scenario'!E804</f>
        <v>0</v>
      </c>
      <c r="E831" s="367">
        <f>+'WHRS_Project Scenario'!F804</f>
        <v>0</v>
      </c>
      <c r="F831" s="367">
        <f>+'WHRS_Project Scenario'!G804</f>
        <v>0</v>
      </c>
      <c r="G831" s="367">
        <f>+'WHRS_Project Scenario'!H804</f>
        <v>0</v>
      </c>
      <c r="H831" s="367">
        <f>+'WHRS_Project Scenario'!I804</f>
        <v>0</v>
      </c>
      <c r="I831" s="367">
        <f>+'WHRS_Project Scenario'!J804</f>
        <v>0</v>
      </c>
      <c r="J831" s="367">
        <f>+'WHRS_Project Scenario'!K804</f>
        <v>0</v>
      </c>
      <c r="K831" s="367">
        <f>+'WHRS_Project Scenario'!L804</f>
        <v>0</v>
      </c>
      <c r="L831" s="367">
        <f>+'WHRS_Project Scenario'!M804</f>
        <v>0</v>
      </c>
      <c r="M831" s="367">
        <f>+'WHRS_Project Scenario'!N804</f>
        <v>0</v>
      </c>
      <c r="N831" s="367">
        <f>+'WHRS_Project Scenario'!O804</f>
        <v>0</v>
      </c>
      <c r="O831" s="367">
        <f>+'WHRS_Project Scenario'!P804</f>
        <v>0</v>
      </c>
      <c r="P831" s="367">
        <f>+'WHRS_Project Scenario'!Q804</f>
        <v>0</v>
      </c>
      <c r="Q831" s="367">
        <f>+'WHRS_Project Scenario'!R804</f>
        <v>0</v>
      </c>
    </row>
    <row r="832" spans="1:17" ht="14.4">
      <c r="A832" s="364"/>
    </row>
    <row r="833" spans="1:17" ht="14.4">
      <c r="A833" s="364" t="s">
        <v>110</v>
      </c>
      <c r="B833" s="378">
        <f>-'WHRS_Project Scenario'!C8</f>
        <v>-43884.879418749995</v>
      </c>
      <c r="C833" s="367">
        <f>C829+C830+C831</f>
        <v>32218.097973962394</v>
      </c>
      <c r="D833" s="367">
        <f t="shared" ref="D833:Q833" si="567">D829+D830+D831</f>
        <v>32999.21496587502</v>
      </c>
      <c r="E833" s="367">
        <f t="shared" si="567"/>
        <v>33801.265893170879</v>
      </c>
      <c r="F833" s="367">
        <f t="shared" si="567"/>
        <v>34624.811785318285</v>
      </c>
      <c r="G833" s="367">
        <f t="shared" si="567"/>
        <v>35470.428707375242</v>
      </c>
      <c r="H833" s="367">
        <f t="shared" si="567"/>
        <v>36338.708162943331</v>
      </c>
      <c r="I833" s="367">
        <f t="shared" si="567"/>
        <v>37230.257507920636</v>
      </c>
      <c r="J833" s="367">
        <f t="shared" si="567"/>
        <v>38145.700375343316</v>
      </c>
      <c r="K833" s="367">
        <f t="shared" si="567"/>
        <v>39085.677111612946</v>
      </c>
      <c r="L833" s="367">
        <f t="shared" si="567"/>
        <v>40050.845224414596</v>
      </c>
      <c r="M833" s="367">
        <f t="shared" si="567"/>
        <v>37969.938283326817</v>
      </c>
      <c r="N833" s="367">
        <f t="shared" si="567"/>
        <v>38987.532629319976</v>
      </c>
      <c r="O833" s="367">
        <f t="shared" si="567"/>
        <v>40032.398503785749</v>
      </c>
      <c r="P833" s="367">
        <f t="shared" si="567"/>
        <v>41105.266783687199</v>
      </c>
      <c r="Q833" s="367">
        <f t="shared" si="567"/>
        <v>42206.887933490027</v>
      </c>
    </row>
    <row r="834" spans="1:17" ht="15.6">
      <c r="A834" s="364" t="s">
        <v>51</v>
      </c>
      <c r="B834" s="132">
        <f>IRR(B833:Q833)</f>
        <v>0.75802749186221252</v>
      </c>
    </row>
    <row r="835" spans="1:17" ht="15.6">
      <c r="A835" s="364" t="s">
        <v>267</v>
      </c>
      <c r="B835" s="303">
        <f>NPV('Initial Data'!C21/100,B833:Q833)</f>
        <v>179683.43787809435</v>
      </c>
    </row>
    <row r="837" spans="1:17" ht="14.4">
      <c r="A837" s="508" t="s">
        <v>350</v>
      </c>
      <c r="B837" s="509"/>
      <c r="C837" s="509"/>
      <c r="D837" s="509"/>
      <c r="E837" s="509"/>
      <c r="F837" s="509"/>
      <c r="G837" s="509"/>
      <c r="H837" s="509"/>
      <c r="I837" s="509"/>
      <c r="J837" s="509"/>
      <c r="K837" s="509"/>
      <c r="L837" s="509"/>
      <c r="M837" s="509"/>
      <c r="N837" s="509"/>
      <c r="O837" s="509"/>
      <c r="P837" s="509"/>
      <c r="Q837" s="509"/>
    </row>
    <row r="838" spans="1:17" ht="14.4">
      <c r="A838" s="371" t="s">
        <v>351</v>
      </c>
      <c r="B838" s="372"/>
      <c r="C838" s="372"/>
      <c r="D838" s="372"/>
      <c r="E838" s="372"/>
      <c r="F838" s="372"/>
      <c r="G838" s="372"/>
      <c r="H838" s="372"/>
      <c r="I838" s="372"/>
      <c r="J838" s="372"/>
      <c r="K838" s="372"/>
      <c r="L838" s="372"/>
      <c r="M838" s="372"/>
      <c r="N838" s="372"/>
      <c r="O838" s="372"/>
      <c r="P838" s="372"/>
      <c r="Q838" s="372"/>
    </row>
    <row r="839" spans="1:17" ht="27">
      <c r="A839" s="376"/>
      <c r="B839" s="304" t="s">
        <v>35</v>
      </c>
      <c r="C839" s="352" t="s">
        <v>407</v>
      </c>
      <c r="D839" s="352" t="s">
        <v>408</v>
      </c>
      <c r="E839" s="352" t="s">
        <v>409</v>
      </c>
      <c r="F839" s="352" t="s">
        <v>410</v>
      </c>
      <c r="G839" s="352" t="s">
        <v>411</v>
      </c>
      <c r="H839" s="352" t="s">
        <v>412</v>
      </c>
      <c r="I839" s="352" t="s">
        <v>413</v>
      </c>
      <c r="J839" s="352" t="s">
        <v>414</v>
      </c>
      <c r="K839" s="352" t="s">
        <v>415</v>
      </c>
      <c r="L839" s="352" t="s">
        <v>416</v>
      </c>
      <c r="M839" s="352" t="s">
        <v>417</v>
      </c>
      <c r="N839" s="352" t="s">
        <v>418</v>
      </c>
      <c r="O839" s="352" t="s">
        <v>419</v>
      </c>
      <c r="P839" s="352" t="s">
        <v>420</v>
      </c>
      <c r="Q839" s="352" t="s">
        <v>421</v>
      </c>
    </row>
    <row r="840" spans="1:17" ht="14.4">
      <c r="A840" s="363" t="s">
        <v>290</v>
      </c>
      <c r="B840" s="365"/>
      <c r="C840" s="381">
        <f>'Initial Data'!$C$49*365*(1-$C$16)</f>
        <v>212430</v>
      </c>
      <c r="D840" s="381">
        <f>'Initial Data'!$C$49*365*(1-$C$16)</f>
        <v>212430</v>
      </c>
      <c r="E840" s="381">
        <f>'Initial Data'!$C$49*365*(1-$C$16)</f>
        <v>212430</v>
      </c>
      <c r="F840" s="381">
        <f>'Initial Data'!$C$49*365*(1-$C$16)</f>
        <v>212430</v>
      </c>
      <c r="G840" s="381">
        <f>'Initial Data'!$C$49*365*(1-$C$16)</f>
        <v>212430</v>
      </c>
      <c r="H840" s="381">
        <f>'Initial Data'!$C$49*365*(1-$C$16)</f>
        <v>212430</v>
      </c>
      <c r="I840" s="381">
        <f>'Initial Data'!$C$49*365*(1-$C$16)</f>
        <v>212430</v>
      </c>
      <c r="J840" s="381">
        <f>'Initial Data'!$C$49*365*(1-$C$16)</f>
        <v>212430</v>
      </c>
      <c r="K840" s="381">
        <f>'Initial Data'!$C$49*365*(1-$C$16)</f>
        <v>212430</v>
      </c>
      <c r="L840" s="381">
        <f>'Initial Data'!$C$49*365*(1-$C$16)</f>
        <v>212430</v>
      </c>
      <c r="M840" s="381">
        <f>'Initial Data'!$C$49*365*(1-$C$16)</f>
        <v>212430</v>
      </c>
      <c r="N840" s="381">
        <f>'Initial Data'!$C$49*365*(1-$C$16)</f>
        <v>212430</v>
      </c>
      <c r="O840" s="381">
        <f>'Initial Data'!$C$49*365*(1-$C$16)</f>
        <v>212430</v>
      </c>
      <c r="P840" s="381">
        <f>'Initial Data'!$C$49*365*(1-$C$16)</f>
        <v>212430</v>
      </c>
      <c r="Q840" s="381">
        <f>'Initial Data'!$C$49*365*(1-$C$16)</f>
        <v>212430</v>
      </c>
    </row>
    <row r="841" spans="1:17" ht="14.4">
      <c r="A841" s="364" t="s">
        <v>291</v>
      </c>
      <c r="B841" s="365"/>
      <c r="C841" s="377">
        <f>+'WHRS_Project Scenario'!D16</f>
        <v>70</v>
      </c>
      <c r="D841" s="377">
        <f>+'WHRS_Project Scenario'!E16</f>
        <v>70</v>
      </c>
      <c r="E841" s="377">
        <f>+'WHRS_Project Scenario'!F16</f>
        <v>70</v>
      </c>
      <c r="F841" s="377">
        <f>+'WHRS_Project Scenario'!G16</f>
        <v>70</v>
      </c>
      <c r="G841" s="377">
        <f>+'WHRS_Project Scenario'!H16</f>
        <v>70</v>
      </c>
      <c r="H841" s="377">
        <f>+'WHRS_Project Scenario'!I16</f>
        <v>70</v>
      </c>
      <c r="I841" s="377">
        <f>+'WHRS_Project Scenario'!J16</f>
        <v>70</v>
      </c>
      <c r="J841" s="377">
        <f>+'WHRS_Project Scenario'!K16</f>
        <v>70</v>
      </c>
      <c r="K841" s="377">
        <f>+'WHRS_Project Scenario'!L16</f>
        <v>70</v>
      </c>
      <c r="L841" s="377">
        <f>+'WHRS_Project Scenario'!M16</f>
        <v>70</v>
      </c>
      <c r="M841" s="377">
        <f>+'WHRS_Project Scenario'!N16</f>
        <v>70</v>
      </c>
      <c r="N841" s="377">
        <f>+'WHRS_Project Scenario'!O16</f>
        <v>70</v>
      </c>
      <c r="O841" s="377">
        <f>+'WHRS_Project Scenario'!P16</f>
        <v>70</v>
      </c>
      <c r="P841" s="377">
        <f>+'WHRS_Project Scenario'!Q16</f>
        <v>70</v>
      </c>
      <c r="Q841" s="377">
        <f>+'WHRS_Project Scenario'!R16</f>
        <v>70</v>
      </c>
    </row>
    <row r="842" spans="1:17" ht="14.4">
      <c r="A842" s="366" t="s">
        <v>292</v>
      </c>
      <c r="B842" s="365"/>
      <c r="C842" s="377">
        <f>+'WHRS_Project Scenario'!D17</f>
        <v>6.4285714285714288</v>
      </c>
      <c r="D842" s="377">
        <f>+'WHRS_Project Scenario'!E17</f>
        <v>6.6008571428571425</v>
      </c>
      <c r="E842" s="377">
        <f>+'WHRS_Project Scenario'!F17</f>
        <v>6.7777601142857131</v>
      </c>
      <c r="F842" s="377">
        <f>+'WHRS_Project Scenario'!G17</f>
        <v>6.9594040853485701</v>
      </c>
      <c r="G842" s="377">
        <f>+'WHRS_Project Scenario'!H17</f>
        <v>7.1459161148359112</v>
      </c>
      <c r="H842" s="377">
        <f>+'WHRS_Project Scenario'!I17</f>
        <v>7.3374266667135135</v>
      </c>
      <c r="I842" s="377">
        <f>+'WHRS_Project Scenario'!J17</f>
        <v>7.5340697013814353</v>
      </c>
      <c r="J842" s="377">
        <f>+'WHRS_Project Scenario'!K17</f>
        <v>7.7359827693784569</v>
      </c>
      <c r="K842" s="377">
        <f>+'WHRS_Project Scenario'!L17</f>
        <v>7.943307107597799</v>
      </c>
      <c r="L842" s="377">
        <f>+'WHRS_Project Scenario'!M17</f>
        <v>8.1561877380814192</v>
      </c>
      <c r="M842" s="377">
        <f>+'WHRS_Project Scenario'!N17</f>
        <v>8.3747735694620005</v>
      </c>
      <c r="N842" s="377">
        <f>+'WHRS_Project Scenario'!O17</f>
        <v>8.5992175011235812</v>
      </c>
      <c r="O842" s="377">
        <f>+'WHRS_Project Scenario'!P17</f>
        <v>8.8296765301536926</v>
      </c>
      <c r="P842" s="377">
        <f>+'WHRS_Project Scenario'!Q17</f>
        <v>9.066311861161811</v>
      </c>
      <c r="Q842" s="377">
        <f>+'WHRS_Project Scenario'!R17</f>
        <v>9.3092890190409463</v>
      </c>
    </row>
    <row r="843" spans="1:17" ht="14.4">
      <c r="A843" s="366" t="s">
        <v>293</v>
      </c>
      <c r="B843" s="365"/>
      <c r="C843" s="377">
        <f>+C841*C842</f>
        <v>450</v>
      </c>
      <c r="D843" s="377">
        <f t="shared" ref="D843" si="568">+D841*D842</f>
        <v>462.06</v>
      </c>
      <c r="E843" s="377">
        <f t="shared" ref="E843" si="569">+E841*E842</f>
        <v>474.44320799999991</v>
      </c>
      <c r="F843" s="377">
        <f t="shared" ref="F843" si="570">+F841*F842</f>
        <v>487.15828597439992</v>
      </c>
      <c r="G843" s="377">
        <f t="shared" ref="G843" si="571">+G841*G842</f>
        <v>500.21412803851376</v>
      </c>
      <c r="H843" s="377">
        <f t="shared" ref="H843" si="572">+H841*H842</f>
        <v>513.61986666994596</v>
      </c>
      <c r="I843" s="377">
        <f t="shared" ref="I843" si="573">+I841*I842</f>
        <v>527.3848790967005</v>
      </c>
      <c r="J843" s="377">
        <f t="shared" ref="J843" si="574">+J841*J842</f>
        <v>541.51879385649192</v>
      </c>
      <c r="K843" s="377">
        <f t="shared" ref="K843" si="575">+K841*K842</f>
        <v>556.03149753184596</v>
      </c>
      <c r="L843" s="377">
        <f t="shared" ref="L843" si="576">+L841*L842</f>
        <v>570.9331416656994</v>
      </c>
      <c r="M843" s="377">
        <f t="shared" ref="M843" si="577">+M841*M842</f>
        <v>586.23414986234002</v>
      </c>
      <c r="N843" s="377">
        <f t="shared" ref="N843" si="578">+N841*N842</f>
        <v>601.94522507865065</v>
      </c>
      <c r="O843" s="377">
        <f t="shared" ref="O843" si="579">+O841*O842</f>
        <v>618.0773571107585</v>
      </c>
      <c r="P843" s="377">
        <f t="shared" ref="P843" si="580">+P841*P842</f>
        <v>634.64183028132675</v>
      </c>
      <c r="Q843" s="377">
        <f t="shared" ref="Q843" si="581">+Q841*Q842</f>
        <v>651.65023133286627</v>
      </c>
    </row>
    <row r="844" spans="1:17" ht="14.4">
      <c r="A844" s="370"/>
      <c r="B844" s="373"/>
      <c r="C844" s="373"/>
      <c r="D844" s="373"/>
      <c r="E844" s="373"/>
      <c r="F844" s="373"/>
      <c r="G844" s="373"/>
      <c r="H844" s="373"/>
      <c r="I844" s="373"/>
      <c r="J844" s="373"/>
      <c r="K844" s="373"/>
      <c r="L844" s="373"/>
      <c r="M844" s="373"/>
      <c r="N844" s="373"/>
      <c r="O844" s="373"/>
      <c r="P844" s="373"/>
      <c r="Q844" s="373"/>
    </row>
    <row r="845" spans="1:17" ht="14.4">
      <c r="A845" s="366" t="s">
        <v>294</v>
      </c>
      <c r="B845" s="377">
        <f>+SUM(C845:Q845)</f>
        <v>1736809.1124495373</v>
      </c>
      <c r="C845" s="377">
        <f>C840*C843/1000*'Initial Data'!$C$34/'Initial Data'!$C$33</f>
        <v>95593.5</v>
      </c>
      <c r="D845" s="377">
        <f>D840*D843/1000*'Initial Data'!$C$34/'Initial Data'!$C$33</f>
        <v>98155.405799999993</v>
      </c>
      <c r="E845" s="377">
        <f>E840*E843/1000*'Initial Data'!$C$34/'Initial Data'!$C$33</f>
        <v>100785.97067543998</v>
      </c>
      <c r="F845" s="377">
        <f>F840*F843/1000*'Initial Data'!$C$34/'Initial Data'!$C$33</f>
        <v>103487.03468954178</v>
      </c>
      <c r="G845" s="377">
        <f>G840*G843/1000*'Initial Data'!$C$34/'Initial Data'!$C$33</f>
        <v>106260.48721922147</v>
      </c>
      <c r="H845" s="377">
        <f>H840*H843/1000*'Initial Data'!$C$34/'Initial Data'!$C$33</f>
        <v>109108.26827669662</v>
      </c>
      <c r="I845" s="377">
        <f>I840*I843/1000*'Initial Data'!$C$34/'Initial Data'!$C$33</f>
        <v>112032.36986651209</v>
      </c>
      <c r="J845" s="377">
        <f>J840*J843/1000*'Initial Data'!$C$34/'Initial Data'!$C$33</f>
        <v>115034.83737893458</v>
      </c>
      <c r="K845" s="377">
        <f>K840*K843/1000*'Initial Data'!$C$34/'Initial Data'!$C$33</f>
        <v>118117.77102069004</v>
      </c>
      <c r="L845" s="377">
        <f>L840*L843/1000*'Initial Data'!$C$34/'Initial Data'!$C$33</f>
        <v>121283.32728404451</v>
      </c>
      <c r="M845" s="377">
        <f>M840*M843/1000*'Initial Data'!$C$34/'Initial Data'!$C$33</f>
        <v>124533.72045525689</v>
      </c>
      <c r="N845" s="377">
        <f>N840*N843/1000*'Initial Data'!$C$34/'Initial Data'!$C$33</f>
        <v>127871.22416345774</v>
      </c>
      <c r="O845" s="377">
        <f>O840*O843/1000*'Initial Data'!$C$34/'Initial Data'!$C$33</f>
        <v>131298.17297103844</v>
      </c>
      <c r="P845" s="377">
        <f>P840*P843/1000*'Initial Data'!$C$34/'Initial Data'!$C$33</f>
        <v>134816.96400666225</v>
      </c>
      <c r="Q845" s="377">
        <f>Q840*Q843/1000*'Initial Data'!$C$34/'Initial Data'!$C$33</f>
        <v>138430.05864204079</v>
      </c>
    </row>
    <row r="846" spans="1:17" ht="14.4">
      <c r="A846" s="370"/>
      <c r="B846" s="373"/>
      <c r="C846" s="373"/>
      <c r="D846" s="373"/>
      <c r="E846" s="373"/>
      <c r="F846" s="373"/>
      <c r="G846" s="373"/>
      <c r="H846" s="373"/>
      <c r="I846" s="373"/>
      <c r="J846" s="373"/>
      <c r="K846" s="373"/>
      <c r="L846" s="373"/>
      <c r="M846" s="373"/>
      <c r="N846" s="373"/>
      <c r="O846" s="373"/>
      <c r="P846" s="373"/>
      <c r="Q846" s="373"/>
    </row>
    <row r="847" spans="1:17" ht="14.4">
      <c r="A847" s="366" t="s">
        <v>295</v>
      </c>
      <c r="B847" s="377">
        <f>+SUM(C847:Q847)</f>
        <v>1736809.1124495373</v>
      </c>
      <c r="C847" s="377">
        <f>+C845</f>
        <v>95593.5</v>
      </c>
      <c r="D847" s="377">
        <f t="shared" ref="D847:Q847" si="582">+D845</f>
        <v>98155.405799999993</v>
      </c>
      <c r="E847" s="377">
        <f t="shared" si="582"/>
        <v>100785.97067543998</v>
      </c>
      <c r="F847" s="377">
        <f t="shared" si="582"/>
        <v>103487.03468954178</v>
      </c>
      <c r="G847" s="377">
        <f t="shared" si="582"/>
        <v>106260.48721922147</v>
      </c>
      <c r="H847" s="377">
        <f t="shared" si="582"/>
        <v>109108.26827669662</v>
      </c>
      <c r="I847" s="377">
        <f t="shared" si="582"/>
        <v>112032.36986651209</v>
      </c>
      <c r="J847" s="377">
        <f t="shared" si="582"/>
        <v>115034.83737893458</v>
      </c>
      <c r="K847" s="377">
        <f t="shared" si="582"/>
        <v>118117.77102069004</v>
      </c>
      <c r="L847" s="377">
        <f t="shared" si="582"/>
        <v>121283.32728404451</v>
      </c>
      <c r="M847" s="377">
        <f t="shared" si="582"/>
        <v>124533.72045525689</v>
      </c>
      <c r="N847" s="377">
        <f t="shared" si="582"/>
        <v>127871.22416345774</v>
      </c>
      <c r="O847" s="377">
        <f t="shared" si="582"/>
        <v>131298.17297103844</v>
      </c>
      <c r="P847" s="377">
        <f t="shared" si="582"/>
        <v>134816.96400666225</v>
      </c>
      <c r="Q847" s="377">
        <f t="shared" si="582"/>
        <v>138430.05864204079</v>
      </c>
    </row>
    <row r="848" spans="1:17" ht="14.4">
      <c r="A848" s="370"/>
      <c r="B848" s="374"/>
      <c r="C848" s="374"/>
      <c r="D848" s="374"/>
      <c r="E848" s="374"/>
      <c r="F848" s="374"/>
      <c r="G848" s="374"/>
      <c r="H848" s="374"/>
      <c r="I848" s="374"/>
      <c r="J848" s="374"/>
      <c r="K848" s="374"/>
      <c r="L848" s="374"/>
      <c r="M848" s="374"/>
      <c r="N848" s="374"/>
      <c r="O848" s="374"/>
      <c r="P848" s="374"/>
      <c r="Q848" s="374"/>
    </row>
    <row r="849" spans="1:17" ht="14.4">
      <c r="A849" s="366" t="s">
        <v>68</v>
      </c>
      <c r="B849" s="368"/>
      <c r="C849" s="368"/>
      <c r="D849" s="368"/>
      <c r="E849" s="368"/>
      <c r="F849" s="368"/>
      <c r="G849" s="368"/>
      <c r="H849" s="368"/>
      <c r="I849" s="368"/>
      <c r="J849" s="368"/>
      <c r="K849" s="368"/>
      <c r="L849" s="368"/>
      <c r="M849" s="368"/>
      <c r="N849" s="368"/>
      <c r="O849" s="368"/>
      <c r="P849" s="368"/>
      <c r="Q849" s="368"/>
    </row>
    <row r="850" spans="1:17" ht="14.4">
      <c r="A850" s="366" t="s">
        <v>296</v>
      </c>
      <c r="B850" s="378">
        <f>+SUM(C850:Q850)</f>
        <v>11529.370291765843</v>
      </c>
      <c r="C850" s="367">
        <f>SUM('Initial Data'!$C$77:$C$80)/'Initial Data'!$C$14/1000</f>
        <v>634.57339732142862</v>
      </c>
      <c r="D850" s="367">
        <f>+C850*(1+'Initial Data'!$C$20/100)</f>
        <v>651.57996436964288</v>
      </c>
      <c r="E850" s="367">
        <f>+D850*(1+'Initial Data'!$C$20/100)</f>
        <v>669.0423074147493</v>
      </c>
      <c r="F850" s="367">
        <f>+E850*(1+'Initial Data'!$C$20/100)</f>
        <v>686.97264125346453</v>
      </c>
      <c r="G850" s="367">
        <f>+F850*(1+'Initial Data'!$C$20/100)</f>
        <v>705.38350803905735</v>
      </c>
      <c r="H850" s="367">
        <f>+G850*(1+'Initial Data'!$C$20/100)</f>
        <v>724.28778605450407</v>
      </c>
      <c r="I850" s="367">
        <f>+H850*(1+'Initial Data'!$C$20/100)</f>
        <v>743.6986987207647</v>
      </c>
      <c r="J850" s="367">
        <f>+I850*(1+'Initial Data'!$C$20/100)</f>
        <v>763.62982384648114</v>
      </c>
      <c r="K850" s="367">
        <f>+J850*(1+'Initial Data'!$C$20/100)</f>
        <v>784.09510312556677</v>
      </c>
      <c r="L850" s="367">
        <f>+K850*(1+'Initial Data'!$C$20/100)</f>
        <v>805.10885188933196</v>
      </c>
      <c r="M850" s="367">
        <f>+L850*(1+'Initial Data'!$C$20/100)</f>
        <v>826.68576911996604</v>
      </c>
      <c r="N850" s="367">
        <f>+M850*(1+'Initial Data'!$C$20/100)</f>
        <v>848.8409477323811</v>
      </c>
      <c r="O850" s="367">
        <f>+N850*(1+'Initial Data'!$C$20/100)</f>
        <v>871.58988513160887</v>
      </c>
      <c r="P850" s="367">
        <f>+O850*(1+'Initial Data'!$C$20/100)</f>
        <v>894.94849405313596</v>
      </c>
      <c r="Q850" s="367">
        <f>+P850*(1+'Initial Data'!$C$20/100)</f>
        <v>918.93311369375999</v>
      </c>
    </row>
    <row r="851" spans="1:17" ht="14.4">
      <c r="A851" s="366" t="s">
        <v>297</v>
      </c>
      <c r="B851" s="378">
        <f>+SUM(C851:Q851)</f>
        <v>13836.767075562186</v>
      </c>
      <c r="C851" s="367">
        <f>('Initial Data'!$C$82/1000+('Initial Data'!$C$83*'Initial Data'!$C$15/'Initial Data'!$C$14)/1000+'Initial Data'!$C$84/'Initial Data'!$C$14/1000)</f>
        <v>761.57188717892859</v>
      </c>
      <c r="D851" s="367">
        <f>+C851*(1+'Initial Data'!$C$20/100)</f>
        <v>781.98201375532381</v>
      </c>
      <c r="E851" s="367">
        <f>+D851*(1+'Initial Data'!$C$20/100)</f>
        <v>802.9391317239664</v>
      </c>
      <c r="F851" s="367">
        <f>+E851*(1+'Initial Data'!$C$20/100)</f>
        <v>824.45790045416868</v>
      </c>
      <c r="G851" s="367">
        <f>+F851*(1+'Initial Data'!$C$20/100)</f>
        <v>846.55337218634031</v>
      </c>
      <c r="H851" s="367">
        <f>+G851*(1+'Initial Data'!$C$20/100)</f>
        <v>869.24100256093413</v>
      </c>
      <c r="I851" s="367">
        <f>+H851*(1+'Initial Data'!$C$20/100)</f>
        <v>892.53666142956706</v>
      </c>
      <c r="J851" s="367">
        <f>+I851*(1+'Initial Data'!$C$20/100)</f>
        <v>916.45664395587937</v>
      </c>
      <c r="K851" s="367">
        <f>+J851*(1+'Initial Data'!$C$20/100)</f>
        <v>941.01768201389689</v>
      </c>
      <c r="L851" s="367">
        <f>+K851*(1+'Initial Data'!$C$20/100)</f>
        <v>966.23695589186923</v>
      </c>
      <c r="M851" s="367">
        <f>+L851*(1+'Initial Data'!$C$20/100)</f>
        <v>992.1321063097713</v>
      </c>
      <c r="N851" s="367">
        <f>+M851*(1+'Initial Data'!$C$20/100)</f>
        <v>1018.7212467588731</v>
      </c>
      <c r="O851" s="367">
        <f>+N851*(1+'Initial Data'!$C$20/100)</f>
        <v>1046.0229761720109</v>
      </c>
      <c r="P851" s="367">
        <f>+O851*(1+'Initial Data'!$C$20/100)</f>
        <v>1074.0563919334206</v>
      </c>
      <c r="Q851" s="367">
        <f>+P851*(1+'Initial Data'!$C$20/100)</f>
        <v>1102.8411032372362</v>
      </c>
    </row>
    <row r="852" spans="1:17" ht="14.4">
      <c r="A852" s="370"/>
      <c r="B852" s="369"/>
      <c r="C852" s="382"/>
      <c r="D852" s="369"/>
      <c r="E852" s="369"/>
      <c r="F852" s="369"/>
      <c r="G852" s="369"/>
      <c r="H852" s="369"/>
      <c r="I852" s="369"/>
      <c r="J852" s="369"/>
      <c r="K852" s="369"/>
      <c r="L852" s="369"/>
      <c r="M852" s="369"/>
      <c r="N852" s="369"/>
      <c r="O852" s="369"/>
      <c r="P852" s="369"/>
      <c r="Q852" s="369"/>
    </row>
    <row r="853" spans="1:17" ht="14.4">
      <c r="A853" s="366" t="s">
        <v>71</v>
      </c>
      <c r="B853" s="379"/>
      <c r="C853" s="379"/>
      <c r="D853" s="379"/>
      <c r="E853" s="379"/>
      <c r="F853" s="379"/>
      <c r="G853" s="379"/>
      <c r="H853" s="379"/>
      <c r="I853" s="379"/>
      <c r="J853" s="379"/>
      <c r="K853" s="379"/>
      <c r="L853" s="379"/>
      <c r="M853" s="379"/>
      <c r="N853" s="379"/>
      <c r="O853" s="379"/>
      <c r="P853" s="379"/>
      <c r="Q853" s="379"/>
    </row>
    <row r="854" spans="1:17" ht="14.4">
      <c r="A854" s="370"/>
      <c r="B854" s="379"/>
      <c r="C854" s="379"/>
      <c r="D854" s="379"/>
      <c r="E854" s="379"/>
      <c r="F854" s="379"/>
      <c r="G854" s="379"/>
      <c r="H854" s="379"/>
      <c r="I854" s="379"/>
      <c r="J854" s="379"/>
      <c r="K854" s="379"/>
      <c r="L854" s="379"/>
      <c r="M854" s="379"/>
      <c r="N854" s="379"/>
      <c r="O854" s="379"/>
      <c r="P854" s="379"/>
      <c r="Q854" s="379"/>
    </row>
    <row r="855" spans="1:17" ht="14.4">
      <c r="A855" s="366" t="s">
        <v>298</v>
      </c>
      <c r="B855" s="378">
        <f>+SUM(C855:Q855)</f>
        <v>25366.137367328029</v>
      </c>
      <c r="C855" s="367">
        <f>SUM(C850:C851)</f>
        <v>1396.1452845003573</v>
      </c>
      <c r="D855" s="367">
        <f>SUM(D850:D851)</f>
        <v>1433.5619781249666</v>
      </c>
      <c r="E855" s="367">
        <f t="shared" ref="E855:Q855" si="583">SUM(E850:E851)</f>
        <v>1471.9814391387158</v>
      </c>
      <c r="F855" s="367">
        <f t="shared" si="583"/>
        <v>1511.4305417076332</v>
      </c>
      <c r="G855" s="367">
        <f t="shared" si="583"/>
        <v>1551.9368802253975</v>
      </c>
      <c r="H855" s="367">
        <f t="shared" si="583"/>
        <v>1593.5287886154383</v>
      </c>
      <c r="I855" s="367">
        <f t="shared" si="583"/>
        <v>1636.2353601503319</v>
      </c>
      <c r="J855" s="367">
        <f t="shared" si="583"/>
        <v>1680.0864678023604</v>
      </c>
      <c r="K855" s="367">
        <f t="shared" si="583"/>
        <v>1725.1127851394635</v>
      </c>
      <c r="L855" s="367">
        <f t="shared" si="583"/>
        <v>1771.3458077812011</v>
      </c>
      <c r="M855" s="367">
        <f t="shared" si="583"/>
        <v>1818.8178754297373</v>
      </c>
      <c r="N855" s="367">
        <f t="shared" si="583"/>
        <v>1867.5621944912541</v>
      </c>
      <c r="O855" s="367">
        <f t="shared" si="583"/>
        <v>1917.6128613036199</v>
      </c>
      <c r="P855" s="367">
        <f t="shared" si="583"/>
        <v>1969.0048859865565</v>
      </c>
      <c r="Q855" s="367">
        <f t="shared" si="583"/>
        <v>2021.7742169309963</v>
      </c>
    </row>
    <row r="856" spans="1:17" ht="14.4">
      <c r="A856" s="370"/>
      <c r="B856" s="379"/>
      <c r="C856" s="379"/>
      <c r="D856" s="379"/>
      <c r="E856" s="379"/>
      <c r="F856" s="379"/>
      <c r="G856" s="379"/>
      <c r="H856" s="379"/>
      <c r="I856" s="379"/>
      <c r="J856" s="379"/>
      <c r="K856" s="379"/>
      <c r="L856" s="379"/>
      <c r="M856" s="379"/>
      <c r="N856" s="379"/>
      <c r="O856" s="379"/>
      <c r="P856" s="379"/>
      <c r="Q856" s="379"/>
    </row>
    <row r="857" spans="1:17" ht="14.4">
      <c r="A857" s="366" t="s">
        <v>299</v>
      </c>
      <c r="B857" s="378">
        <f t="shared" ref="B857:B858" si="584">+SUM(C857:Q857)</f>
        <v>43884.879418749995</v>
      </c>
      <c r="C857" s="367">
        <f>'WHRS_Project Scenario'!$C$8/'Initial Data'!$C$19</f>
        <v>4388.4879418749997</v>
      </c>
      <c r="D857" s="367">
        <f>'WHRS_Project Scenario'!$C$8/'Initial Data'!$C$19</f>
        <v>4388.4879418749997</v>
      </c>
      <c r="E857" s="367">
        <f>'WHRS_Project Scenario'!$C$8/'Initial Data'!$C$19</f>
        <v>4388.4879418749997</v>
      </c>
      <c r="F857" s="367">
        <f>'WHRS_Project Scenario'!$C$8/'Initial Data'!$C$19</f>
        <v>4388.4879418749997</v>
      </c>
      <c r="G857" s="367">
        <f>'WHRS_Project Scenario'!$C$8/'Initial Data'!$C$19</f>
        <v>4388.4879418749997</v>
      </c>
      <c r="H857" s="367">
        <f>'WHRS_Project Scenario'!$C$8/'Initial Data'!$C$19</f>
        <v>4388.4879418749997</v>
      </c>
      <c r="I857" s="367">
        <f>'WHRS_Project Scenario'!$C$8/'Initial Data'!$C$19</f>
        <v>4388.4879418749997</v>
      </c>
      <c r="J857" s="367">
        <f>'WHRS_Project Scenario'!$C$8/'Initial Data'!$C$19</f>
        <v>4388.4879418749997</v>
      </c>
      <c r="K857" s="367">
        <f>'WHRS_Project Scenario'!$C$8/'Initial Data'!$C$19</f>
        <v>4388.4879418749997</v>
      </c>
      <c r="L857" s="367">
        <f>'WHRS_Project Scenario'!$C$8/'Initial Data'!$C$19</f>
        <v>4388.4879418749997</v>
      </c>
      <c r="M857" s="367">
        <v>0</v>
      </c>
      <c r="N857" s="367">
        <v>0</v>
      </c>
      <c r="O857" s="367">
        <v>0</v>
      </c>
      <c r="P857" s="367">
        <v>0</v>
      </c>
      <c r="Q857" s="367">
        <v>0</v>
      </c>
    </row>
    <row r="858" spans="1:17" ht="14.4">
      <c r="A858" s="366" t="s">
        <v>300</v>
      </c>
      <c r="B858" s="378">
        <f t="shared" si="584"/>
        <v>43884.879418749995</v>
      </c>
      <c r="C858" s="367">
        <f>SUM(C857:C857)</f>
        <v>4388.4879418749997</v>
      </c>
      <c r="D858" s="367">
        <f t="shared" ref="D858:Q858" si="585">SUM(D857:D857)</f>
        <v>4388.4879418749997</v>
      </c>
      <c r="E858" s="367">
        <f t="shared" si="585"/>
        <v>4388.4879418749997</v>
      </c>
      <c r="F858" s="367">
        <f t="shared" si="585"/>
        <v>4388.4879418749997</v>
      </c>
      <c r="G858" s="367">
        <f t="shared" si="585"/>
        <v>4388.4879418749997</v>
      </c>
      <c r="H858" s="367">
        <f t="shared" si="585"/>
        <v>4388.4879418749997</v>
      </c>
      <c r="I858" s="367">
        <f t="shared" si="585"/>
        <v>4388.4879418749997</v>
      </c>
      <c r="J858" s="367">
        <f t="shared" si="585"/>
        <v>4388.4879418749997</v>
      </c>
      <c r="K858" s="367">
        <f t="shared" si="585"/>
        <v>4388.4879418749997</v>
      </c>
      <c r="L858" s="367">
        <f t="shared" si="585"/>
        <v>4388.4879418749997</v>
      </c>
      <c r="M858" s="367">
        <f t="shared" si="585"/>
        <v>0</v>
      </c>
      <c r="N858" s="367">
        <f t="shared" si="585"/>
        <v>0</v>
      </c>
      <c r="O858" s="367">
        <f t="shared" si="585"/>
        <v>0</v>
      </c>
      <c r="P858" s="367">
        <f t="shared" si="585"/>
        <v>0</v>
      </c>
      <c r="Q858" s="367">
        <f t="shared" si="585"/>
        <v>0</v>
      </c>
    </row>
    <row r="859" spans="1:17" ht="14.4">
      <c r="A859" s="370"/>
      <c r="B859" s="379"/>
      <c r="C859" s="379"/>
      <c r="D859" s="379"/>
      <c r="E859" s="379"/>
      <c r="F859" s="379"/>
      <c r="G859" s="379"/>
      <c r="H859" s="379"/>
      <c r="I859" s="379"/>
      <c r="J859" s="379"/>
      <c r="K859" s="379"/>
      <c r="L859" s="379"/>
      <c r="M859" s="379"/>
      <c r="N859" s="379"/>
      <c r="O859" s="379"/>
      <c r="P859" s="379"/>
      <c r="Q859" s="379"/>
    </row>
    <row r="860" spans="1:17" ht="14.4">
      <c r="A860" s="366" t="s">
        <v>301</v>
      </c>
      <c r="B860" s="378">
        <f>+SUM(C860:Q860)</f>
        <v>69251.016786078035</v>
      </c>
      <c r="C860" s="367">
        <f>+C855+C858</f>
        <v>5784.6332263753575</v>
      </c>
      <c r="D860" s="367">
        <f>+D855+D858</f>
        <v>5822.0499199999667</v>
      </c>
      <c r="E860" s="367">
        <f t="shared" ref="E860:Q860" si="586">+E855+E858</f>
        <v>5860.469381013716</v>
      </c>
      <c r="F860" s="367">
        <f t="shared" si="586"/>
        <v>5899.9184835826327</v>
      </c>
      <c r="G860" s="367">
        <f t="shared" si="586"/>
        <v>5940.4248221003973</v>
      </c>
      <c r="H860" s="367">
        <f t="shared" si="586"/>
        <v>5982.016730490438</v>
      </c>
      <c r="I860" s="367">
        <f t="shared" si="586"/>
        <v>6024.7233020253316</v>
      </c>
      <c r="J860" s="367">
        <f t="shared" si="586"/>
        <v>6068.5744096773597</v>
      </c>
      <c r="K860" s="367">
        <f t="shared" si="586"/>
        <v>6113.6007270144637</v>
      </c>
      <c r="L860" s="367">
        <f t="shared" si="586"/>
        <v>6159.8337496562008</v>
      </c>
      <c r="M860" s="367">
        <f t="shared" si="586"/>
        <v>1818.8178754297373</v>
      </c>
      <c r="N860" s="367">
        <f t="shared" si="586"/>
        <v>1867.5621944912541</v>
      </c>
      <c r="O860" s="367">
        <f t="shared" si="586"/>
        <v>1917.6128613036199</v>
      </c>
      <c r="P860" s="367">
        <f t="shared" si="586"/>
        <v>1969.0048859865565</v>
      </c>
      <c r="Q860" s="367">
        <f t="shared" si="586"/>
        <v>2021.7742169309963</v>
      </c>
    </row>
    <row r="861" spans="1:17" ht="14.4">
      <c r="A861" s="370"/>
      <c r="B861" s="379"/>
      <c r="C861" s="379"/>
      <c r="D861" s="379"/>
      <c r="E861" s="379"/>
      <c r="F861" s="379"/>
      <c r="G861" s="379"/>
      <c r="H861" s="379"/>
      <c r="I861" s="379"/>
      <c r="J861" s="379"/>
      <c r="K861" s="379"/>
      <c r="L861" s="379"/>
      <c r="M861" s="379"/>
      <c r="N861" s="379"/>
      <c r="O861" s="379"/>
      <c r="P861" s="379"/>
      <c r="Q861" s="379"/>
    </row>
    <row r="862" spans="1:17" ht="14.4">
      <c r="A862" s="364" t="s">
        <v>302</v>
      </c>
      <c r="B862" s="378">
        <f>+SUM(C862:Q862)</f>
        <v>1667558.0956634593</v>
      </c>
      <c r="C862" s="367">
        <f>+C847-C860</f>
        <v>89808.866773624643</v>
      </c>
      <c r="D862" s="367">
        <f>+D847-D860</f>
        <v>92333.355880000032</v>
      </c>
      <c r="E862" s="367">
        <f t="shared" ref="E862:Q862" si="587">+E847-E860</f>
        <v>94925.501294426271</v>
      </c>
      <c r="F862" s="367">
        <f t="shared" si="587"/>
        <v>97587.116205959144</v>
      </c>
      <c r="G862" s="367">
        <f t="shared" si="587"/>
        <v>100320.06239712107</v>
      </c>
      <c r="H862" s="367">
        <f t="shared" si="587"/>
        <v>103126.25154620619</v>
      </c>
      <c r="I862" s="367">
        <f t="shared" si="587"/>
        <v>106007.64656448676</v>
      </c>
      <c r="J862" s="367">
        <f t="shared" si="587"/>
        <v>108966.26296925722</v>
      </c>
      <c r="K862" s="367">
        <f t="shared" si="587"/>
        <v>112004.17029367558</v>
      </c>
      <c r="L862" s="367">
        <f t="shared" si="587"/>
        <v>115123.49353438831</v>
      </c>
      <c r="M862" s="367">
        <f t="shared" si="587"/>
        <v>122714.90257982715</v>
      </c>
      <c r="N862" s="367">
        <f t="shared" si="587"/>
        <v>126003.66196896648</v>
      </c>
      <c r="O862" s="367">
        <f t="shared" si="587"/>
        <v>129380.56010973483</v>
      </c>
      <c r="P862" s="367">
        <f t="shared" si="587"/>
        <v>132847.95912067569</v>
      </c>
      <c r="Q862" s="367">
        <f t="shared" si="587"/>
        <v>136408.2844251098</v>
      </c>
    </row>
    <row r="863" spans="1:17" ht="14.4">
      <c r="A863" s="364"/>
    </row>
    <row r="864" spans="1:17" ht="14.4">
      <c r="A864" s="364" t="s">
        <v>222</v>
      </c>
      <c r="B864" s="380">
        <f>+'WHRS_Project Scenario'!C39</f>
        <v>0.7</v>
      </c>
      <c r="C864" s="367">
        <f>IF((+$B$864*C862)&lt;0,"0",(+$B$864*C862))</f>
        <v>62866.206741537244</v>
      </c>
      <c r="D864" s="367">
        <f t="shared" ref="D864:Q864" si="588">IF((+$B$864*D862)&lt;0,"0",(+$B$864*D862))</f>
        <v>64633.349116000019</v>
      </c>
      <c r="E864" s="367">
        <f t="shared" si="588"/>
        <v>66447.850906098392</v>
      </c>
      <c r="F864" s="367">
        <f t="shared" si="588"/>
        <v>68310.981344171392</v>
      </c>
      <c r="G864" s="367">
        <f t="shared" si="588"/>
        <v>70224.043677984751</v>
      </c>
      <c r="H864" s="367">
        <f t="shared" si="588"/>
        <v>72188.37608234433</v>
      </c>
      <c r="I864" s="367">
        <f t="shared" si="588"/>
        <v>74205.352595140721</v>
      </c>
      <c r="J864" s="367">
        <f t="shared" si="588"/>
        <v>76276.384078480056</v>
      </c>
      <c r="K864" s="367">
        <f t="shared" si="588"/>
        <v>78402.919205572893</v>
      </c>
      <c r="L864" s="367">
        <f t="shared" si="588"/>
        <v>80586.445474071807</v>
      </c>
      <c r="M864" s="367">
        <f t="shared" si="588"/>
        <v>85900.431805878994</v>
      </c>
      <c r="N864" s="367">
        <f t="shared" si="588"/>
        <v>88202.563378276536</v>
      </c>
      <c r="O864" s="367">
        <f t="shared" si="588"/>
        <v>90566.392076814373</v>
      </c>
      <c r="P864" s="367">
        <f t="shared" si="588"/>
        <v>92993.571384472976</v>
      </c>
      <c r="Q864" s="367">
        <f t="shared" si="588"/>
        <v>95485.799097576848</v>
      </c>
    </row>
    <row r="865" spans="1:17" ht="14.4">
      <c r="A865" s="364" t="s">
        <v>303</v>
      </c>
      <c r="B865" s="378">
        <f>+SUM(C865:Q865)</f>
        <v>1167290.6669644213</v>
      </c>
      <c r="C865" s="367">
        <f>SUM(C864:C864)</f>
        <v>62866.206741537244</v>
      </c>
      <c r="D865" s="367">
        <f t="shared" ref="D865:Q865" si="589">SUM(D864:D864)</f>
        <v>64633.349116000019</v>
      </c>
      <c r="E865" s="367">
        <f t="shared" si="589"/>
        <v>66447.850906098392</v>
      </c>
      <c r="F865" s="367">
        <f t="shared" si="589"/>
        <v>68310.981344171392</v>
      </c>
      <c r="G865" s="367">
        <f t="shared" si="589"/>
        <v>70224.043677984751</v>
      </c>
      <c r="H865" s="367">
        <f t="shared" si="589"/>
        <v>72188.37608234433</v>
      </c>
      <c r="I865" s="367">
        <f t="shared" si="589"/>
        <v>74205.352595140721</v>
      </c>
      <c r="J865" s="367">
        <f t="shared" si="589"/>
        <v>76276.384078480056</v>
      </c>
      <c r="K865" s="367">
        <f t="shared" si="589"/>
        <v>78402.919205572893</v>
      </c>
      <c r="L865" s="367">
        <f t="shared" si="589"/>
        <v>80586.445474071807</v>
      </c>
      <c r="M865" s="367">
        <f t="shared" si="589"/>
        <v>85900.431805878994</v>
      </c>
      <c r="N865" s="367">
        <f t="shared" si="589"/>
        <v>88202.563378276536</v>
      </c>
      <c r="O865" s="367">
        <f t="shared" si="589"/>
        <v>90566.392076814373</v>
      </c>
      <c r="P865" s="367">
        <f t="shared" si="589"/>
        <v>92993.571384472976</v>
      </c>
      <c r="Q865" s="367">
        <f t="shared" si="589"/>
        <v>95485.799097576848</v>
      </c>
    </row>
    <row r="866" spans="1:17" ht="14.4">
      <c r="A866" s="369"/>
    </row>
    <row r="867" spans="1:17" ht="14.4">
      <c r="A867" s="364" t="s">
        <v>304</v>
      </c>
      <c r="B867" s="378">
        <f t="shared" ref="B867:B869" si="590">+SUM(C867:Q867)</f>
        <v>500267.42869903788</v>
      </c>
      <c r="C867" s="367">
        <f>C862-C865</f>
        <v>26942.660032087399</v>
      </c>
      <c r="D867" s="367">
        <f t="shared" ref="D867:Q867" si="591">D862-D865</f>
        <v>27700.006764000012</v>
      </c>
      <c r="E867" s="367">
        <f t="shared" si="591"/>
        <v>28477.650388327878</v>
      </c>
      <c r="F867" s="367">
        <f t="shared" si="591"/>
        <v>29276.134861787752</v>
      </c>
      <c r="G867" s="367">
        <f t="shared" si="591"/>
        <v>30096.018719136322</v>
      </c>
      <c r="H867" s="367">
        <f t="shared" si="591"/>
        <v>30937.875463861856</v>
      </c>
      <c r="I867" s="367">
        <f t="shared" si="591"/>
        <v>31802.293969346036</v>
      </c>
      <c r="J867" s="367">
        <f t="shared" si="591"/>
        <v>32689.878890777167</v>
      </c>
      <c r="K867" s="367">
        <f t="shared" si="591"/>
        <v>33601.251088102683</v>
      </c>
      <c r="L867" s="367">
        <f t="shared" si="591"/>
        <v>34537.048060316505</v>
      </c>
      <c r="M867" s="367">
        <f t="shared" si="591"/>
        <v>36814.470773948153</v>
      </c>
      <c r="N867" s="367">
        <f t="shared" si="591"/>
        <v>37801.098590689944</v>
      </c>
      <c r="O867" s="367">
        <f t="shared" si="591"/>
        <v>38814.168032920454</v>
      </c>
      <c r="P867" s="367">
        <f t="shared" si="591"/>
        <v>39854.387736202712</v>
      </c>
      <c r="Q867" s="367">
        <f t="shared" si="591"/>
        <v>40922.485327532951</v>
      </c>
    </row>
    <row r="868" spans="1:17" ht="14.4">
      <c r="A868" s="364" t="s">
        <v>305</v>
      </c>
      <c r="B868" s="378">
        <f t="shared" si="590"/>
        <v>43884.879418749995</v>
      </c>
      <c r="C868" s="367">
        <f>+C857</f>
        <v>4388.4879418749997</v>
      </c>
      <c r="D868" s="367">
        <f t="shared" ref="D868:Q868" si="592">+D857</f>
        <v>4388.4879418749997</v>
      </c>
      <c r="E868" s="367">
        <f t="shared" si="592"/>
        <v>4388.4879418749997</v>
      </c>
      <c r="F868" s="367">
        <f t="shared" si="592"/>
        <v>4388.4879418749997</v>
      </c>
      <c r="G868" s="367">
        <f t="shared" si="592"/>
        <v>4388.4879418749997</v>
      </c>
      <c r="H868" s="367">
        <f t="shared" si="592"/>
        <v>4388.4879418749997</v>
      </c>
      <c r="I868" s="367">
        <f t="shared" si="592"/>
        <v>4388.4879418749997</v>
      </c>
      <c r="J868" s="367">
        <f t="shared" si="592"/>
        <v>4388.4879418749997</v>
      </c>
      <c r="K868" s="367">
        <f t="shared" si="592"/>
        <v>4388.4879418749997</v>
      </c>
      <c r="L868" s="367">
        <f t="shared" si="592"/>
        <v>4388.4879418749997</v>
      </c>
      <c r="M868" s="367">
        <f t="shared" si="592"/>
        <v>0</v>
      </c>
      <c r="N868" s="367">
        <f t="shared" si="592"/>
        <v>0</v>
      </c>
      <c r="O868" s="367">
        <f t="shared" si="592"/>
        <v>0</v>
      </c>
      <c r="P868" s="367">
        <f t="shared" si="592"/>
        <v>0</v>
      </c>
      <c r="Q868" s="367">
        <f t="shared" si="592"/>
        <v>0</v>
      </c>
    </row>
    <row r="869" spans="1:17" ht="14.4">
      <c r="A869" s="364" t="s">
        <v>306</v>
      </c>
      <c r="B869" s="378">
        <f t="shared" si="590"/>
        <v>0</v>
      </c>
      <c r="C869" s="367">
        <f>+'WHRS_Project Scenario'!D842</f>
        <v>0</v>
      </c>
      <c r="D869" s="367">
        <f>+'WHRS_Project Scenario'!E842</f>
        <v>0</v>
      </c>
      <c r="E869" s="367">
        <f>+'WHRS_Project Scenario'!F842</f>
        <v>0</v>
      </c>
      <c r="F869" s="367">
        <f>+'WHRS_Project Scenario'!G842</f>
        <v>0</v>
      </c>
      <c r="G869" s="367">
        <f>+'WHRS_Project Scenario'!H842</f>
        <v>0</v>
      </c>
      <c r="H869" s="367">
        <f>+'WHRS_Project Scenario'!I842</f>
        <v>0</v>
      </c>
      <c r="I869" s="367">
        <f>+'WHRS_Project Scenario'!J842</f>
        <v>0</v>
      </c>
      <c r="J869" s="367">
        <f>+'WHRS_Project Scenario'!K842</f>
        <v>0</v>
      </c>
      <c r="K869" s="367">
        <f>+'WHRS_Project Scenario'!L842</f>
        <v>0</v>
      </c>
      <c r="L869" s="367">
        <f>+'WHRS_Project Scenario'!M842</f>
        <v>0</v>
      </c>
      <c r="M869" s="367">
        <f>+'WHRS_Project Scenario'!N842</f>
        <v>0</v>
      </c>
      <c r="N869" s="367">
        <f>+'WHRS_Project Scenario'!O842</f>
        <v>0</v>
      </c>
      <c r="O869" s="367">
        <f>+'WHRS_Project Scenario'!P842</f>
        <v>0</v>
      </c>
      <c r="P869" s="367">
        <f>+'WHRS_Project Scenario'!Q842</f>
        <v>0</v>
      </c>
      <c r="Q869" s="367">
        <f>+'WHRS_Project Scenario'!R842</f>
        <v>0</v>
      </c>
    </row>
    <row r="870" spans="1:17" ht="14.4">
      <c r="A870" s="364"/>
    </row>
    <row r="871" spans="1:17" ht="14.4">
      <c r="A871" s="364" t="s">
        <v>110</v>
      </c>
      <c r="B871" s="378">
        <f>-'WHRS_Project Scenario'!C8</f>
        <v>-43884.879418749995</v>
      </c>
      <c r="C871" s="367">
        <f>C867+C868+C869</f>
        <v>31331.147973962397</v>
      </c>
      <c r="D871" s="367">
        <f t="shared" ref="D871:Q871" si="593">D867+D868+D869</f>
        <v>32088.494705875011</v>
      </c>
      <c r="E871" s="367">
        <f t="shared" si="593"/>
        <v>32866.138330202877</v>
      </c>
      <c r="F871" s="367">
        <f t="shared" si="593"/>
        <v>33664.622803662751</v>
      </c>
      <c r="G871" s="367">
        <f t="shared" si="593"/>
        <v>34484.506661011321</v>
      </c>
      <c r="H871" s="367">
        <f t="shared" si="593"/>
        <v>35326.363405736854</v>
      </c>
      <c r="I871" s="367">
        <f t="shared" si="593"/>
        <v>36190.781911221035</v>
      </c>
      <c r="J871" s="367">
        <f t="shared" si="593"/>
        <v>37078.366832652166</v>
      </c>
      <c r="K871" s="367">
        <f t="shared" si="593"/>
        <v>37989.739029977682</v>
      </c>
      <c r="L871" s="367">
        <f t="shared" si="593"/>
        <v>38925.536002191504</v>
      </c>
      <c r="M871" s="367">
        <f t="shared" si="593"/>
        <v>36814.470773948153</v>
      </c>
      <c r="N871" s="367">
        <f t="shared" si="593"/>
        <v>37801.098590689944</v>
      </c>
      <c r="O871" s="367">
        <f t="shared" si="593"/>
        <v>38814.168032920454</v>
      </c>
      <c r="P871" s="367">
        <f t="shared" si="593"/>
        <v>39854.387736202712</v>
      </c>
      <c r="Q871" s="367">
        <f t="shared" si="593"/>
        <v>40922.485327532951</v>
      </c>
    </row>
    <row r="872" spans="1:17" ht="15.6">
      <c r="A872" s="364" t="s">
        <v>51</v>
      </c>
      <c r="B872" s="132">
        <f>IRR(B871:Q871)</f>
        <v>0.73768692192919472</v>
      </c>
    </row>
    <row r="873" spans="1:17" ht="15.6">
      <c r="A873" s="364" t="s">
        <v>267</v>
      </c>
      <c r="B873" s="303">
        <f>NPV('Initial Data'!C21/100,B871:Q871)</f>
        <v>173494.69557003304</v>
      </c>
    </row>
    <row r="875" spans="1:17" ht="14.4">
      <c r="A875" s="508" t="s">
        <v>353</v>
      </c>
      <c r="B875" s="509"/>
      <c r="C875" s="509"/>
      <c r="D875" s="509"/>
      <c r="E875" s="509"/>
      <c r="F875" s="509"/>
      <c r="G875" s="509"/>
      <c r="H875" s="509"/>
      <c r="I875" s="509"/>
      <c r="J875" s="509"/>
      <c r="K875" s="509"/>
      <c r="L875" s="509"/>
      <c r="M875" s="509"/>
      <c r="N875" s="509"/>
      <c r="O875" s="509"/>
      <c r="P875" s="509"/>
      <c r="Q875" s="509"/>
    </row>
    <row r="876" spans="1:17" ht="14.4">
      <c r="A876" s="371" t="s">
        <v>354</v>
      </c>
      <c r="B876" s="372"/>
      <c r="C876" s="372"/>
      <c r="D876" s="372"/>
      <c r="E876" s="372"/>
      <c r="F876" s="372"/>
      <c r="G876" s="372"/>
      <c r="H876" s="372"/>
      <c r="I876" s="372"/>
      <c r="J876" s="372"/>
      <c r="K876" s="372"/>
      <c r="L876" s="372"/>
      <c r="M876" s="372"/>
      <c r="N876" s="372"/>
      <c r="O876" s="372"/>
      <c r="P876" s="372"/>
      <c r="Q876" s="372"/>
    </row>
    <row r="877" spans="1:17" ht="27">
      <c r="A877" s="376"/>
      <c r="B877" s="304" t="s">
        <v>35</v>
      </c>
      <c r="C877" s="352" t="s">
        <v>407</v>
      </c>
      <c r="D877" s="352" t="s">
        <v>408</v>
      </c>
      <c r="E877" s="352" t="s">
        <v>409</v>
      </c>
      <c r="F877" s="352" t="s">
        <v>410</v>
      </c>
      <c r="G877" s="352" t="s">
        <v>411</v>
      </c>
      <c r="H877" s="352" t="s">
        <v>412</v>
      </c>
      <c r="I877" s="352" t="s">
        <v>413</v>
      </c>
      <c r="J877" s="352" t="s">
        <v>414</v>
      </c>
      <c r="K877" s="352" t="s">
        <v>415</v>
      </c>
      <c r="L877" s="352" t="s">
        <v>416</v>
      </c>
      <c r="M877" s="352" t="s">
        <v>417</v>
      </c>
      <c r="N877" s="352" t="s">
        <v>418</v>
      </c>
      <c r="O877" s="352" t="s">
        <v>419</v>
      </c>
      <c r="P877" s="352" t="s">
        <v>420</v>
      </c>
      <c r="Q877" s="352" t="s">
        <v>421</v>
      </c>
    </row>
    <row r="878" spans="1:17" ht="14.4">
      <c r="A878" s="363" t="s">
        <v>290</v>
      </c>
      <c r="B878" s="365"/>
      <c r="C878" s="377">
        <f>+'WHRS_Project Scenario'!D15</f>
        <v>215214.92335078961</v>
      </c>
      <c r="D878" s="377">
        <f>+'WHRS_Project Scenario'!E15</f>
        <v>215214.92335078961</v>
      </c>
      <c r="E878" s="377">
        <f>+'WHRS_Project Scenario'!F15</f>
        <v>215214.92335078961</v>
      </c>
      <c r="F878" s="377">
        <f>+'WHRS_Project Scenario'!G15</f>
        <v>215214.92335078961</v>
      </c>
      <c r="G878" s="377">
        <f>+'WHRS_Project Scenario'!H15</f>
        <v>215214.92335078961</v>
      </c>
      <c r="H878" s="377">
        <f>+'WHRS_Project Scenario'!I15</f>
        <v>215214.92335078961</v>
      </c>
      <c r="I878" s="377">
        <f>+'WHRS_Project Scenario'!J15</f>
        <v>215214.92335078961</v>
      </c>
      <c r="J878" s="377">
        <f>+'WHRS_Project Scenario'!K15</f>
        <v>215214.92335078961</v>
      </c>
      <c r="K878" s="377">
        <f>+'WHRS_Project Scenario'!L15</f>
        <v>215214.92335078961</v>
      </c>
      <c r="L878" s="377">
        <f>+'WHRS_Project Scenario'!M15</f>
        <v>215214.92335078961</v>
      </c>
      <c r="M878" s="377">
        <f>+'WHRS_Project Scenario'!N15</f>
        <v>215214.92335078961</v>
      </c>
      <c r="N878" s="377">
        <f>+'WHRS_Project Scenario'!O15</f>
        <v>215214.92335078961</v>
      </c>
      <c r="O878" s="377">
        <f>+'WHRS_Project Scenario'!P15</f>
        <v>215214.92335078961</v>
      </c>
      <c r="P878" s="377">
        <f>+'WHRS_Project Scenario'!Q15</f>
        <v>215214.92335078961</v>
      </c>
      <c r="Q878" s="377">
        <f>+'WHRS_Project Scenario'!R15</f>
        <v>215214.92335078961</v>
      </c>
    </row>
    <row r="879" spans="1:17" ht="14.4">
      <c r="A879" s="364" t="s">
        <v>291</v>
      </c>
      <c r="B879" s="365"/>
      <c r="C879" s="377">
        <f>+'WHRS_Project Scenario'!D16</f>
        <v>70</v>
      </c>
      <c r="D879" s="377">
        <f>+'WHRS_Project Scenario'!E16</f>
        <v>70</v>
      </c>
      <c r="E879" s="377">
        <f>+'WHRS_Project Scenario'!F16</f>
        <v>70</v>
      </c>
      <c r="F879" s="377">
        <f>+'WHRS_Project Scenario'!G16</f>
        <v>70</v>
      </c>
      <c r="G879" s="377">
        <f>+'WHRS_Project Scenario'!H16</f>
        <v>70</v>
      </c>
      <c r="H879" s="377">
        <f>+'WHRS_Project Scenario'!I16</f>
        <v>70</v>
      </c>
      <c r="I879" s="377">
        <f>+'WHRS_Project Scenario'!J16</f>
        <v>70</v>
      </c>
      <c r="J879" s="377">
        <f>+'WHRS_Project Scenario'!K16</f>
        <v>70</v>
      </c>
      <c r="K879" s="377">
        <f>+'WHRS_Project Scenario'!L16</f>
        <v>70</v>
      </c>
      <c r="L879" s="377">
        <f>+'WHRS_Project Scenario'!M16</f>
        <v>70</v>
      </c>
      <c r="M879" s="377">
        <f>+'WHRS_Project Scenario'!N16</f>
        <v>70</v>
      </c>
      <c r="N879" s="377">
        <f>+'WHRS_Project Scenario'!O16</f>
        <v>70</v>
      </c>
      <c r="O879" s="377">
        <f>+'WHRS_Project Scenario'!P16</f>
        <v>70</v>
      </c>
      <c r="P879" s="377">
        <f>+'WHRS_Project Scenario'!Q16</f>
        <v>70</v>
      </c>
      <c r="Q879" s="377">
        <f>+'WHRS_Project Scenario'!R16</f>
        <v>70</v>
      </c>
    </row>
    <row r="880" spans="1:17" ht="14.4">
      <c r="A880" s="366" t="s">
        <v>292</v>
      </c>
      <c r="B880" s="365"/>
      <c r="C880" s="377">
        <f>+'WHRS_Project Scenario'!D17</f>
        <v>6.4285714285714288</v>
      </c>
      <c r="D880" s="377">
        <f>+'WHRS_Project Scenario'!E17</f>
        <v>6.6008571428571425</v>
      </c>
      <c r="E880" s="377">
        <f>+'WHRS_Project Scenario'!F17</f>
        <v>6.7777601142857131</v>
      </c>
      <c r="F880" s="377">
        <f>+'WHRS_Project Scenario'!G17</f>
        <v>6.9594040853485701</v>
      </c>
      <c r="G880" s="377">
        <f>+'WHRS_Project Scenario'!H17</f>
        <v>7.1459161148359112</v>
      </c>
      <c r="H880" s="377">
        <f>+'WHRS_Project Scenario'!I17</f>
        <v>7.3374266667135135</v>
      </c>
      <c r="I880" s="377">
        <f>+'WHRS_Project Scenario'!J17</f>
        <v>7.5340697013814353</v>
      </c>
      <c r="J880" s="377">
        <f>+'WHRS_Project Scenario'!K17</f>
        <v>7.7359827693784569</v>
      </c>
      <c r="K880" s="377">
        <f>+'WHRS_Project Scenario'!L17</f>
        <v>7.943307107597799</v>
      </c>
      <c r="L880" s="377">
        <f>+'WHRS_Project Scenario'!M17</f>
        <v>8.1561877380814192</v>
      </c>
      <c r="M880" s="377">
        <f>+'WHRS_Project Scenario'!N17</f>
        <v>8.3747735694620005</v>
      </c>
      <c r="N880" s="377">
        <f>+'WHRS_Project Scenario'!O17</f>
        <v>8.5992175011235812</v>
      </c>
      <c r="O880" s="377">
        <f>+'WHRS_Project Scenario'!P17</f>
        <v>8.8296765301536926</v>
      </c>
      <c r="P880" s="377">
        <f>+'WHRS_Project Scenario'!Q17</f>
        <v>9.066311861161811</v>
      </c>
      <c r="Q880" s="377">
        <f>+'WHRS_Project Scenario'!R17</f>
        <v>9.3092890190409463</v>
      </c>
    </row>
    <row r="881" spans="1:17" ht="14.4">
      <c r="A881" s="366" t="s">
        <v>293</v>
      </c>
      <c r="B881" s="365"/>
      <c r="C881" s="377">
        <f>+C879*C880</f>
        <v>450</v>
      </c>
      <c r="D881" s="377">
        <f t="shared" ref="D881" si="594">+D879*D880</f>
        <v>462.06</v>
      </c>
      <c r="E881" s="377">
        <f t="shared" ref="E881" si="595">+E879*E880</f>
        <v>474.44320799999991</v>
      </c>
      <c r="F881" s="377">
        <f t="shared" ref="F881" si="596">+F879*F880</f>
        <v>487.15828597439992</v>
      </c>
      <c r="G881" s="377">
        <f t="shared" ref="G881" si="597">+G879*G880</f>
        <v>500.21412803851376</v>
      </c>
      <c r="H881" s="377">
        <f t="shared" ref="H881" si="598">+H879*H880</f>
        <v>513.61986666994596</v>
      </c>
      <c r="I881" s="377">
        <f t="shared" ref="I881" si="599">+I879*I880</f>
        <v>527.3848790967005</v>
      </c>
      <c r="J881" s="377">
        <f t="shared" ref="J881" si="600">+J879*J880</f>
        <v>541.51879385649192</v>
      </c>
      <c r="K881" s="377">
        <f t="shared" ref="K881" si="601">+K879*K880</f>
        <v>556.03149753184596</v>
      </c>
      <c r="L881" s="377">
        <f t="shared" ref="L881" si="602">+L879*L880</f>
        <v>570.9331416656994</v>
      </c>
      <c r="M881" s="377">
        <f t="shared" ref="M881" si="603">+M879*M880</f>
        <v>586.23414986234002</v>
      </c>
      <c r="N881" s="377">
        <f t="shared" ref="N881" si="604">+N879*N880</f>
        <v>601.94522507865065</v>
      </c>
      <c r="O881" s="377">
        <f t="shared" ref="O881" si="605">+O879*O880</f>
        <v>618.0773571107585</v>
      </c>
      <c r="P881" s="377">
        <f t="shared" ref="P881" si="606">+P879*P880</f>
        <v>634.64183028132675</v>
      </c>
      <c r="Q881" s="377">
        <f t="shared" ref="Q881" si="607">+Q879*Q880</f>
        <v>651.65023133286627</v>
      </c>
    </row>
    <row r="882" spans="1:17" ht="14.4">
      <c r="A882" s="370"/>
      <c r="B882" s="373"/>
      <c r="C882" s="373"/>
      <c r="D882" s="373"/>
      <c r="E882" s="373"/>
      <c r="F882" s="373"/>
      <c r="G882" s="373"/>
      <c r="H882" s="373"/>
      <c r="I882" s="373"/>
      <c r="J882" s="373"/>
      <c r="K882" s="373"/>
      <c r="L882" s="373"/>
      <c r="M882" s="373"/>
      <c r="N882" s="373"/>
      <c r="O882" s="373"/>
      <c r="P882" s="373"/>
      <c r="Q882" s="373"/>
    </row>
    <row r="883" spans="1:17" ht="14.4">
      <c r="A883" s="366" t="s">
        <v>294</v>
      </c>
      <c r="B883" s="377">
        <f>+SUM(C883:Q883)</f>
        <v>1759578.4023479735</v>
      </c>
      <c r="C883" s="377">
        <f>C878*C881/1000*'Initial Data'!$C$34/'Initial Data'!$C$33</f>
        <v>96846.715507855319</v>
      </c>
      <c r="D883" s="377">
        <f>D878*D881/1000*'Initial Data'!$C$34/'Initial Data'!$C$33</f>
        <v>99442.207483465856</v>
      </c>
      <c r="E883" s="377">
        <f>E878*E881/1000*'Initial Data'!$C$34/'Initial Data'!$C$33</f>
        <v>102107.25864402272</v>
      </c>
      <c r="F883" s="377">
        <f>F878*F881/1000*'Initial Data'!$C$34/'Initial Data'!$C$33</f>
        <v>104843.73317568253</v>
      </c>
      <c r="G883" s="377">
        <f>G878*G881/1000*'Initial Data'!$C$34/'Initial Data'!$C$33</f>
        <v>107653.5452247908</v>
      </c>
      <c r="H883" s="377">
        <f>H878*H881/1000*'Initial Data'!$C$34/'Initial Data'!$C$33</f>
        <v>110538.66023681519</v>
      </c>
      <c r="I883" s="377">
        <f>I878*I881/1000*'Initial Data'!$C$34/'Initial Data'!$C$33</f>
        <v>113501.09633116184</v>
      </c>
      <c r="J883" s="377">
        <f>J878*J881/1000*'Initial Data'!$C$34/'Initial Data'!$C$33</f>
        <v>116542.92571283695</v>
      </c>
      <c r="K883" s="377">
        <f>K878*K881/1000*'Initial Data'!$C$34/'Initial Data'!$C$33</f>
        <v>119666.27612194099</v>
      </c>
      <c r="L883" s="377">
        <f>L878*L881/1000*'Initial Data'!$C$34/'Initial Data'!$C$33</f>
        <v>122873.332322009</v>
      </c>
      <c r="M883" s="377">
        <f>M878*M881/1000*'Initial Data'!$C$34/'Initial Data'!$C$33</f>
        <v>126166.33762823879</v>
      </c>
      <c r="N883" s="377">
        <f>N878*N881/1000*'Initial Data'!$C$34/'Initial Data'!$C$33</f>
        <v>129547.5954766756</v>
      </c>
      <c r="O883" s="377">
        <f>O878*O881/1000*'Initial Data'!$C$34/'Initial Data'!$C$33</f>
        <v>133019.47103545049</v>
      </c>
      <c r="P883" s="377">
        <f>P878*P881/1000*'Initial Data'!$C$34/'Initial Data'!$C$33</f>
        <v>136584.39285920057</v>
      </c>
      <c r="Q883" s="377">
        <f>Q878*Q881/1000*'Initial Data'!$C$34/'Initial Data'!$C$33</f>
        <v>140244.85458782714</v>
      </c>
    </row>
    <row r="884" spans="1:17" ht="14.4">
      <c r="A884" s="370"/>
      <c r="B884" s="373"/>
      <c r="C884" s="373"/>
      <c r="D884" s="373"/>
      <c r="E884" s="373"/>
      <c r="F884" s="373"/>
      <c r="G884" s="373"/>
      <c r="H884" s="373"/>
      <c r="I884" s="373"/>
      <c r="J884" s="373"/>
      <c r="K884" s="373"/>
      <c r="L884" s="373"/>
      <c r="M884" s="373"/>
      <c r="N884" s="373"/>
      <c r="O884" s="373"/>
      <c r="P884" s="373"/>
      <c r="Q884" s="373"/>
    </row>
    <row r="885" spans="1:17" ht="14.4">
      <c r="A885" s="366" t="s">
        <v>295</v>
      </c>
      <c r="B885" s="377">
        <f>+SUM(C885:Q885)</f>
        <v>1759578.4023479735</v>
      </c>
      <c r="C885" s="377">
        <f>+C883</f>
        <v>96846.715507855319</v>
      </c>
      <c r="D885" s="377">
        <f t="shared" ref="D885:Q885" si="608">+D883</f>
        <v>99442.207483465856</v>
      </c>
      <c r="E885" s="377">
        <f t="shared" si="608"/>
        <v>102107.25864402272</v>
      </c>
      <c r="F885" s="377">
        <f t="shared" si="608"/>
        <v>104843.73317568253</v>
      </c>
      <c r="G885" s="377">
        <f t="shared" si="608"/>
        <v>107653.5452247908</v>
      </c>
      <c r="H885" s="377">
        <f t="shared" si="608"/>
        <v>110538.66023681519</v>
      </c>
      <c r="I885" s="377">
        <f t="shared" si="608"/>
        <v>113501.09633116184</v>
      </c>
      <c r="J885" s="377">
        <f t="shared" si="608"/>
        <v>116542.92571283695</v>
      </c>
      <c r="K885" s="377">
        <f t="shared" si="608"/>
        <v>119666.27612194099</v>
      </c>
      <c r="L885" s="377">
        <f t="shared" si="608"/>
        <v>122873.332322009</v>
      </c>
      <c r="M885" s="377">
        <f t="shared" si="608"/>
        <v>126166.33762823879</v>
      </c>
      <c r="N885" s="377">
        <f t="shared" si="608"/>
        <v>129547.5954766756</v>
      </c>
      <c r="O885" s="377">
        <f t="shared" si="608"/>
        <v>133019.47103545049</v>
      </c>
      <c r="P885" s="377">
        <f t="shared" si="608"/>
        <v>136584.39285920057</v>
      </c>
      <c r="Q885" s="377">
        <f t="shared" si="608"/>
        <v>140244.85458782714</v>
      </c>
    </row>
    <row r="886" spans="1:17" ht="14.4">
      <c r="A886" s="370"/>
      <c r="B886" s="374"/>
      <c r="C886" s="374"/>
      <c r="D886" s="374"/>
      <c r="E886" s="374"/>
      <c r="F886" s="374"/>
      <c r="G886" s="374"/>
      <c r="H886" s="374"/>
      <c r="I886" s="374"/>
      <c r="J886" s="374"/>
      <c r="K886" s="374"/>
      <c r="L886" s="374"/>
      <c r="M886" s="374"/>
      <c r="N886" s="374"/>
      <c r="O886" s="374"/>
      <c r="P886" s="374"/>
      <c r="Q886" s="374"/>
    </row>
    <row r="887" spans="1:17" ht="14.4">
      <c r="A887" s="366" t="s">
        <v>68</v>
      </c>
      <c r="B887" s="368"/>
      <c r="C887" s="368"/>
      <c r="D887" s="368"/>
      <c r="E887" s="368"/>
      <c r="F887" s="368"/>
      <c r="G887" s="368"/>
      <c r="H887" s="368"/>
      <c r="I887" s="368"/>
      <c r="J887" s="368"/>
      <c r="K887" s="368"/>
      <c r="L887" s="368"/>
      <c r="M887" s="368"/>
      <c r="N887" s="368"/>
      <c r="O887" s="368"/>
      <c r="P887" s="368"/>
      <c r="Q887" s="368"/>
    </row>
    <row r="888" spans="1:17" ht="14.4">
      <c r="A888" s="366" t="s">
        <v>296</v>
      </c>
      <c r="B888" s="378">
        <f>+SUM(C888:Q888)</f>
        <v>11529.370291765843</v>
      </c>
      <c r="C888" s="367">
        <f>SUM('Initial Data'!$C$77:$C$80)/'Initial Data'!$C$14/1000</f>
        <v>634.57339732142862</v>
      </c>
      <c r="D888" s="367">
        <f>+C888*(1+'Initial Data'!$C$20/100)</f>
        <v>651.57996436964288</v>
      </c>
      <c r="E888" s="367">
        <f>+D888*(1+'Initial Data'!$C$20/100)</f>
        <v>669.0423074147493</v>
      </c>
      <c r="F888" s="367">
        <f>+E888*(1+'Initial Data'!$C$20/100)</f>
        <v>686.97264125346453</v>
      </c>
      <c r="G888" s="367">
        <f>+F888*(1+'Initial Data'!$C$20/100)</f>
        <v>705.38350803905735</v>
      </c>
      <c r="H888" s="367">
        <f>+G888*(1+'Initial Data'!$C$20/100)</f>
        <v>724.28778605450407</v>
      </c>
      <c r="I888" s="367">
        <f>+H888*(1+'Initial Data'!$C$20/100)</f>
        <v>743.6986987207647</v>
      </c>
      <c r="J888" s="367">
        <f>+I888*(1+'Initial Data'!$C$20/100)</f>
        <v>763.62982384648114</v>
      </c>
      <c r="K888" s="367">
        <f>+J888*(1+'Initial Data'!$C$20/100)</f>
        <v>784.09510312556677</v>
      </c>
      <c r="L888" s="367">
        <f>+K888*(1+'Initial Data'!$C$20/100)</f>
        <v>805.10885188933196</v>
      </c>
      <c r="M888" s="367">
        <f>+L888*(1+'Initial Data'!$C$20/100)</f>
        <v>826.68576911996604</v>
      </c>
      <c r="N888" s="367">
        <f>+M888*(1+'Initial Data'!$C$20/100)</f>
        <v>848.8409477323811</v>
      </c>
      <c r="O888" s="367">
        <f>+N888*(1+'Initial Data'!$C$20/100)</f>
        <v>871.58988513160887</v>
      </c>
      <c r="P888" s="367">
        <f>+O888*(1+'Initial Data'!$C$20/100)</f>
        <v>894.94849405313596</v>
      </c>
      <c r="Q888" s="367">
        <f>+P888*(1+'Initial Data'!$C$20/100)</f>
        <v>918.93311369375999</v>
      </c>
    </row>
    <row r="889" spans="1:17" ht="14.4">
      <c r="A889" s="366" t="s">
        <v>297</v>
      </c>
      <c r="B889" s="378">
        <f>+SUM(C889:Q889)</f>
        <v>13836.767075562186</v>
      </c>
      <c r="C889" s="367">
        <f>('Initial Data'!$C$82/1000+('Initial Data'!$C$83*'Initial Data'!$C$15/'Initial Data'!$C$14)/1000+'Initial Data'!$C$84/'Initial Data'!$C$14/1000)</f>
        <v>761.57188717892859</v>
      </c>
      <c r="D889" s="367">
        <f>+C889*(1+'Initial Data'!$C$20/100)</f>
        <v>781.98201375532381</v>
      </c>
      <c r="E889" s="367">
        <f>+D889*(1+'Initial Data'!$C$20/100)</f>
        <v>802.9391317239664</v>
      </c>
      <c r="F889" s="367">
        <f>+E889*(1+'Initial Data'!$C$20/100)</f>
        <v>824.45790045416868</v>
      </c>
      <c r="G889" s="367">
        <f>+F889*(1+'Initial Data'!$C$20/100)</f>
        <v>846.55337218634031</v>
      </c>
      <c r="H889" s="367">
        <f>+G889*(1+'Initial Data'!$C$20/100)</f>
        <v>869.24100256093413</v>
      </c>
      <c r="I889" s="367">
        <f>+H889*(1+'Initial Data'!$C$20/100)</f>
        <v>892.53666142956706</v>
      </c>
      <c r="J889" s="367">
        <f>+I889*(1+'Initial Data'!$C$20/100)</f>
        <v>916.45664395587937</v>
      </c>
      <c r="K889" s="367">
        <f>+J889*(1+'Initial Data'!$C$20/100)</f>
        <v>941.01768201389689</v>
      </c>
      <c r="L889" s="367">
        <f>+K889*(1+'Initial Data'!$C$20/100)</f>
        <v>966.23695589186923</v>
      </c>
      <c r="M889" s="367">
        <f>+L889*(1+'Initial Data'!$C$20/100)</f>
        <v>992.1321063097713</v>
      </c>
      <c r="N889" s="367">
        <f>+M889*(1+'Initial Data'!$C$20/100)</f>
        <v>1018.7212467588731</v>
      </c>
      <c r="O889" s="367">
        <f>+N889*(1+'Initial Data'!$C$20/100)</f>
        <v>1046.0229761720109</v>
      </c>
      <c r="P889" s="367">
        <f>+O889*(1+'Initial Data'!$C$20/100)</f>
        <v>1074.0563919334206</v>
      </c>
      <c r="Q889" s="367">
        <f>+P889*(1+'Initial Data'!$C$20/100)</f>
        <v>1102.8411032372362</v>
      </c>
    </row>
    <row r="890" spans="1:17" ht="14.4">
      <c r="A890" s="370"/>
      <c r="B890" s="369"/>
      <c r="C890" s="382"/>
      <c r="D890" s="369"/>
      <c r="E890" s="369"/>
      <c r="F890" s="369"/>
      <c r="G890" s="369"/>
      <c r="H890" s="369"/>
      <c r="I890" s="369"/>
      <c r="J890" s="369"/>
      <c r="K890" s="369"/>
      <c r="L890" s="369"/>
      <c r="M890" s="369"/>
      <c r="N890" s="369"/>
      <c r="O890" s="369"/>
      <c r="P890" s="369"/>
      <c r="Q890" s="369"/>
    </row>
    <row r="891" spans="1:17" ht="14.4">
      <c r="A891" s="366" t="s">
        <v>71</v>
      </c>
      <c r="B891" s="379"/>
      <c r="C891" s="379"/>
      <c r="D891" s="379"/>
      <c r="E891" s="379"/>
      <c r="F891" s="379"/>
      <c r="G891" s="379"/>
      <c r="H891" s="379"/>
      <c r="I891" s="379"/>
      <c r="J891" s="379"/>
      <c r="K891" s="379"/>
      <c r="L891" s="379"/>
      <c r="M891" s="379"/>
      <c r="N891" s="379"/>
      <c r="O891" s="379"/>
      <c r="P891" s="379"/>
      <c r="Q891" s="379"/>
    </row>
    <row r="892" spans="1:17" ht="14.4">
      <c r="A892" s="370"/>
      <c r="B892" s="379"/>
      <c r="C892" s="379"/>
      <c r="D892" s="379"/>
      <c r="E892" s="379"/>
      <c r="F892" s="379"/>
      <c r="G892" s="379"/>
      <c r="H892" s="379"/>
      <c r="I892" s="379"/>
      <c r="J892" s="379"/>
      <c r="K892" s="379"/>
      <c r="L892" s="379"/>
      <c r="M892" s="379"/>
      <c r="N892" s="379"/>
      <c r="O892" s="379"/>
      <c r="P892" s="379"/>
      <c r="Q892" s="379"/>
    </row>
    <row r="893" spans="1:17" ht="14.4">
      <c r="A893" s="366" t="s">
        <v>298</v>
      </c>
      <c r="B893" s="378">
        <f>+SUM(C893:Q893)</f>
        <v>25366.137367328029</v>
      </c>
      <c r="C893" s="367">
        <f>SUM(C888:C889)</f>
        <v>1396.1452845003573</v>
      </c>
      <c r="D893" s="367">
        <f>SUM(D888:D889)</f>
        <v>1433.5619781249666</v>
      </c>
      <c r="E893" s="367">
        <f t="shared" ref="E893:Q893" si="609">SUM(E888:E889)</f>
        <v>1471.9814391387158</v>
      </c>
      <c r="F893" s="367">
        <f t="shared" si="609"/>
        <v>1511.4305417076332</v>
      </c>
      <c r="G893" s="367">
        <f t="shared" si="609"/>
        <v>1551.9368802253975</v>
      </c>
      <c r="H893" s="367">
        <f t="shared" si="609"/>
        <v>1593.5287886154383</v>
      </c>
      <c r="I893" s="367">
        <f t="shared" si="609"/>
        <v>1636.2353601503319</v>
      </c>
      <c r="J893" s="367">
        <f t="shared" si="609"/>
        <v>1680.0864678023604</v>
      </c>
      <c r="K893" s="367">
        <f t="shared" si="609"/>
        <v>1725.1127851394635</v>
      </c>
      <c r="L893" s="367">
        <f t="shared" si="609"/>
        <v>1771.3458077812011</v>
      </c>
      <c r="M893" s="367">
        <f t="shared" si="609"/>
        <v>1818.8178754297373</v>
      </c>
      <c r="N893" s="367">
        <f t="shared" si="609"/>
        <v>1867.5621944912541</v>
      </c>
      <c r="O893" s="367">
        <f t="shared" si="609"/>
        <v>1917.6128613036199</v>
      </c>
      <c r="P893" s="367">
        <f t="shared" si="609"/>
        <v>1969.0048859865565</v>
      </c>
      <c r="Q893" s="367">
        <f t="shared" si="609"/>
        <v>2021.7742169309963</v>
      </c>
    </row>
    <row r="894" spans="1:17" ht="14.4">
      <c r="A894" s="370"/>
      <c r="B894" s="379"/>
      <c r="C894" s="379"/>
      <c r="D894" s="379"/>
      <c r="E894" s="379"/>
      <c r="F894" s="379"/>
      <c r="G894" s="379"/>
      <c r="H894" s="379"/>
      <c r="I894" s="379"/>
      <c r="J894" s="379"/>
      <c r="K894" s="379"/>
      <c r="L894" s="379"/>
      <c r="M894" s="379"/>
      <c r="N894" s="379"/>
      <c r="O894" s="379"/>
      <c r="P894" s="379"/>
      <c r="Q894" s="379"/>
    </row>
    <row r="895" spans="1:17" ht="14.4">
      <c r="A895" s="366" t="s">
        <v>299</v>
      </c>
      <c r="B895" s="378">
        <f t="shared" ref="B895:B896" si="610">+SUM(C895:Q895)</f>
        <v>43884.879418749995</v>
      </c>
      <c r="C895" s="367">
        <f>'WHRS_Project Scenario'!$C$8/'Initial Data'!$C$19</f>
        <v>4388.4879418749997</v>
      </c>
      <c r="D895" s="367">
        <f>'WHRS_Project Scenario'!$C$8/'Initial Data'!$C$19</f>
        <v>4388.4879418749997</v>
      </c>
      <c r="E895" s="367">
        <f>'WHRS_Project Scenario'!$C$8/'Initial Data'!$C$19</f>
        <v>4388.4879418749997</v>
      </c>
      <c r="F895" s="367">
        <f>'WHRS_Project Scenario'!$C$8/'Initial Data'!$C$19</f>
        <v>4388.4879418749997</v>
      </c>
      <c r="G895" s="367">
        <f>'WHRS_Project Scenario'!$C$8/'Initial Data'!$C$19</f>
        <v>4388.4879418749997</v>
      </c>
      <c r="H895" s="367">
        <f>'WHRS_Project Scenario'!$C$8/'Initial Data'!$C$19</f>
        <v>4388.4879418749997</v>
      </c>
      <c r="I895" s="367">
        <f>'WHRS_Project Scenario'!$C$8/'Initial Data'!$C$19</f>
        <v>4388.4879418749997</v>
      </c>
      <c r="J895" s="367">
        <f>'WHRS_Project Scenario'!$C$8/'Initial Data'!$C$19</f>
        <v>4388.4879418749997</v>
      </c>
      <c r="K895" s="367">
        <f>'WHRS_Project Scenario'!$C$8/'Initial Data'!$C$19</f>
        <v>4388.4879418749997</v>
      </c>
      <c r="L895" s="367">
        <f>'WHRS_Project Scenario'!$C$8/'Initial Data'!$C$19</f>
        <v>4388.4879418749997</v>
      </c>
      <c r="M895" s="367">
        <v>0</v>
      </c>
      <c r="N895" s="367">
        <v>0</v>
      </c>
      <c r="O895" s="367">
        <v>0</v>
      </c>
      <c r="P895" s="367">
        <v>0</v>
      </c>
      <c r="Q895" s="367">
        <v>0</v>
      </c>
    </row>
    <row r="896" spans="1:17" ht="14.4">
      <c r="A896" s="366" t="s">
        <v>300</v>
      </c>
      <c r="B896" s="378">
        <f t="shared" si="610"/>
        <v>43884.879418749995</v>
      </c>
      <c r="C896" s="367">
        <f>SUM(C895:C895)</f>
        <v>4388.4879418749997</v>
      </c>
      <c r="D896" s="367">
        <f t="shared" ref="D896:Q896" si="611">SUM(D895:D895)</f>
        <v>4388.4879418749997</v>
      </c>
      <c r="E896" s="367">
        <f t="shared" si="611"/>
        <v>4388.4879418749997</v>
      </c>
      <c r="F896" s="367">
        <f t="shared" si="611"/>
        <v>4388.4879418749997</v>
      </c>
      <c r="G896" s="367">
        <f t="shared" si="611"/>
        <v>4388.4879418749997</v>
      </c>
      <c r="H896" s="367">
        <f t="shared" si="611"/>
        <v>4388.4879418749997</v>
      </c>
      <c r="I896" s="367">
        <f t="shared" si="611"/>
        <v>4388.4879418749997</v>
      </c>
      <c r="J896" s="367">
        <f t="shared" si="611"/>
        <v>4388.4879418749997</v>
      </c>
      <c r="K896" s="367">
        <f t="shared" si="611"/>
        <v>4388.4879418749997</v>
      </c>
      <c r="L896" s="367">
        <f t="shared" si="611"/>
        <v>4388.4879418749997</v>
      </c>
      <c r="M896" s="367">
        <f t="shared" si="611"/>
        <v>0</v>
      </c>
      <c r="N896" s="367">
        <f t="shared" si="611"/>
        <v>0</v>
      </c>
      <c r="O896" s="367">
        <f t="shared" si="611"/>
        <v>0</v>
      </c>
      <c r="P896" s="367">
        <f t="shared" si="611"/>
        <v>0</v>
      </c>
      <c r="Q896" s="367">
        <f t="shared" si="611"/>
        <v>0</v>
      </c>
    </row>
    <row r="897" spans="1:17" ht="14.4">
      <c r="A897" s="370"/>
      <c r="B897" s="379"/>
      <c r="C897" s="379"/>
      <c r="D897" s="379"/>
      <c r="E897" s="379"/>
      <c r="F897" s="379"/>
      <c r="G897" s="379"/>
      <c r="H897" s="379"/>
      <c r="I897" s="379"/>
      <c r="J897" s="379"/>
      <c r="K897" s="379"/>
      <c r="L897" s="379"/>
      <c r="M897" s="379"/>
      <c r="N897" s="379"/>
      <c r="O897" s="379"/>
      <c r="P897" s="379"/>
      <c r="Q897" s="379"/>
    </row>
    <row r="898" spans="1:17" ht="14.4">
      <c r="A898" s="366" t="s">
        <v>301</v>
      </c>
      <c r="B898" s="378">
        <f>+SUM(C898:Q898)</f>
        <v>69251.016786078035</v>
      </c>
      <c r="C898" s="367">
        <f>+C893+C896</f>
        <v>5784.6332263753575</v>
      </c>
      <c r="D898" s="367">
        <f>+D893+D896</f>
        <v>5822.0499199999667</v>
      </c>
      <c r="E898" s="367">
        <f t="shared" ref="E898:Q898" si="612">+E893+E896</f>
        <v>5860.469381013716</v>
      </c>
      <c r="F898" s="367">
        <f t="shared" si="612"/>
        <v>5899.9184835826327</v>
      </c>
      <c r="G898" s="367">
        <f t="shared" si="612"/>
        <v>5940.4248221003973</v>
      </c>
      <c r="H898" s="367">
        <f t="shared" si="612"/>
        <v>5982.016730490438</v>
      </c>
      <c r="I898" s="367">
        <f t="shared" si="612"/>
        <v>6024.7233020253316</v>
      </c>
      <c r="J898" s="367">
        <f t="shared" si="612"/>
        <v>6068.5744096773597</v>
      </c>
      <c r="K898" s="367">
        <f t="shared" si="612"/>
        <v>6113.6007270144637</v>
      </c>
      <c r="L898" s="367">
        <f t="shared" si="612"/>
        <v>6159.8337496562008</v>
      </c>
      <c r="M898" s="367">
        <f t="shared" si="612"/>
        <v>1818.8178754297373</v>
      </c>
      <c r="N898" s="367">
        <f t="shared" si="612"/>
        <v>1867.5621944912541</v>
      </c>
      <c r="O898" s="367">
        <f t="shared" si="612"/>
        <v>1917.6128613036199</v>
      </c>
      <c r="P898" s="367">
        <f t="shared" si="612"/>
        <v>1969.0048859865565</v>
      </c>
      <c r="Q898" s="367">
        <f t="shared" si="612"/>
        <v>2021.7742169309963</v>
      </c>
    </row>
    <row r="899" spans="1:17" ht="14.4">
      <c r="A899" s="370"/>
      <c r="B899" s="379"/>
      <c r="C899" s="379"/>
      <c r="D899" s="379"/>
      <c r="E899" s="379"/>
      <c r="F899" s="379"/>
      <c r="G899" s="379"/>
      <c r="H899" s="379"/>
      <c r="I899" s="379"/>
      <c r="J899" s="379"/>
      <c r="K899" s="379"/>
      <c r="L899" s="379"/>
      <c r="M899" s="379"/>
      <c r="N899" s="379"/>
      <c r="O899" s="379"/>
      <c r="P899" s="379"/>
      <c r="Q899" s="379"/>
    </row>
    <row r="900" spans="1:17" ht="14.4">
      <c r="A900" s="364" t="s">
        <v>302</v>
      </c>
      <c r="B900" s="378">
        <f>+SUM(C900:Q900)</f>
        <v>1690327.3855618956</v>
      </c>
      <c r="C900" s="367">
        <f>+C885-C898</f>
        <v>91062.082281479961</v>
      </c>
      <c r="D900" s="367">
        <f>+D885-D898</f>
        <v>93620.157563465895</v>
      </c>
      <c r="E900" s="367">
        <f t="shared" ref="E900:Q900" si="613">+E885-E898</f>
        <v>96246.789263009006</v>
      </c>
      <c r="F900" s="367">
        <f t="shared" si="613"/>
        <v>98943.814692099899</v>
      </c>
      <c r="G900" s="367">
        <f t="shared" si="613"/>
        <v>101713.1204026904</v>
      </c>
      <c r="H900" s="367">
        <f t="shared" si="613"/>
        <v>104556.64350632476</v>
      </c>
      <c r="I900" s="367">
        <f t="shared" si="613"/>
        <v>107476.37302913651</v>
      </c>
      <c r="J900" s="367">
        <f t="shared" si="613"/>
        <v>110474.35130315959</v>
      </c>
      <c r="K900" s="367">
        <f t="shared" si="613"/>
        <v>113552.67539492653</v>
      </c>
      <c r="L900" s="367">
        <f t="shared" si="613"/>
        <v>116713.49857235279</v>
      </c>
      <c r="M900" s="367">
        <f t="shared" si="613"/>
        <v>124347.51975280905</v>
      </c>
      <c r="N900" s="367">
        <f t="shared" si="613"/>
        <v>127680.03328218435</v>
      </c>
      <c r="O900" s="367">
        <f t="shared" si="613"/>
        <v>131101.85817414688</v>
      </c>
      <c r="P900" s="367">
        <f t="shared" si="613"/>
        <v>134615.387973214</v>
      </c>
      <c r="Q900" s="367">
        <f t="shared" si="613"/>
        <v>138223.08037089615</v>
      </c>
    </row>
    <row r="901" spans="1:17" ht="14.4">
      <c r="A901" s="364"/>
    </row>
    <row r="902" spans="1:17" ht="14.4">
      <c r="A902" s="364" t="s">
        <v>222</v>
      </c>
      <c r="B902" s="402">
        <f>+B19</f>
        <v>0.8</v>
      </c>
      <c r="C902" s="367">
        <f>IF((+$B$902*C900)&lt;0,"0",(+$B$902*C900))</f>
        <v>72849.665825183969</v>
      </c>
      <c r="D902" s="367">
        <f t="shared" ref="D902:Q902" si="614">IF((+$B$902*D900)&lt;0,"0",(+$B$902*D900))</f>
        <v>74896.126050772713</v>
      </c>
      <c r="E902" s="367">
        <f t="shared" si="614"/>
        <v>76997.431410407211</v>
      </c>
      <c r="F902" s="367">
        <f t="shared" si="614"/>
        <v>79155.051753679931</v>
      </c>
      <c r="G902" s="367">
        <f t="shared" si="614"/>
        <v>81370.496322152321</v>
      </c>
      <c r="H902" s="367">
        <f t="shared" si="614"/>
        <v>83645.31480505981</v>
      </c>
      <c r="I902" s="367">
        <f t="shared" si="614"/>
        <v>85981.098423309217</v>
      </c>
      <c r="J902" s="367">
        <f t="shared" si="614"/>
        <v>88379.481042527681</v>
      </c>
      <c r="K902" s="367">
        <f t="shared" si="614"/>
        <v>90842.140315941229</v>
      </c>
      <c r="L902" s="367">
        <f t="shared" si="614"/>
        <v>93370.798857882241</v>
      </c>
      <c r="M902" s="367">
        <f t="shared" si="614"/>
        <v>99478.015802247246</v>
      </c>
      <c r="N902" s="367">
        <f t="shared" si="614"/>
        <v>102144.02662574749</v>
      </c>
      <c r="O902" s="367">
        <f t="shared" si="614"/>
        <v>104881.48653931751</v>
      </c>
      <c r="P902" s="367">
        <f t="shared" si="614"/>
        <v>107692.31037857122</v>
      </c>
      <c r="Q902" s="367">
        <f t="shared" si="614"/>
        <v>110578.46429671692</v>
      </c>
    </row>
    <row r="903" spans="1:17" ht="14.4">
      <c r="A903" s="364" t="s">
        <v>303</v>
      </c>
      <c r="B903" s="378">
        <f>+SUM(C903:Q903)</f>
        <v>1352261.9084495169</v>
      </c>
      <c r="C903" s="367">
        <f>SUM(C902:C902)</f>
        <v>72849.665825183969</v>
      </c>
      <c r="D903" s="367">
        <f t="shared" ref="D903:Q903" si="615">SUM(D902:D902)</f>
        <v>74896.126050772713</v>
      </c>
      <c r="E903" s="367">
        <f t="shared" si="615"/>
        <v>76997.431410407211</v>
      </c>
      <c r="F903" s="367">
        <f t="shared" si="615"/>
        <v>79155.051753679931</v>
      </c>
      <c r="G903" s="367">
        <f t="shared" si="615"/>
        <v>81370.496322152321</v>
      </c>
      <c r="H903" s="367">
        <f t="shared" si="615"/>
        <v>83645.31480505981</v>
      </c>
      <c r="I903" s="367">
        <f t="shared" si="615"/>
        <v>85981.098423309217</v>
      </c>
      <c r="J903" s="367">
        <f t="shared" si="615"/>
        <v>88379.481042527681</v>
      </c>
      <c r="K903" s="367">
        <f t="shared" si="615"/>
        <v>90842.140315941229</v>
      </c>
      <c r="L903" s="367">
        <f t="shared" si="615"/>
        <v>93370.798857882241</v>
      </c>
      <c r="M903" s="367">
        <f t="shared" si="615"/>
        <v>99478.015802247246</v>
      </c>
      <c r="N903" s="367">
        <f t="shared" si="615"/>
        <v>102144.02662574749</v>
      </c>
      <c r="O903" s="367">
        <f t="shared" si="615"/>
        <v>104881.48653931751</v>
      </c>
      <c r="P903" s="367">
        <f t="shared" si="615"/>
        <v>107692.31037857122</v>
      </c>
      <c r="Q903" s="367">
        <f t="shared" si="615"/>
        <v>110578.46429671692</v>
      </c>
    </row>
    <row r="904" spans="1:17" ht="14.4">
      <c r="A904" s="369"/>
    </row>
    <row r="905" spans="1:17" ht="14.4">
      <c r="A905" s="364" t="s">
        <v>304</v>
      </c>
      <c r="B905" s="378">
        <f t="shared" ref="B905:B907" si="616">+SUM(C905:Q905)</f>
        <v>338065.4771123791</v>
      </c>
      <c r="C905" s="367">
        <f>C900-C903</f>
        <v>18212.416456295992</v>
      </c>
      <c r="D905" s="367">
        <f t="shared" ref="D905:Q905" si="617">D900-D903</f>
        <v>18724.031512693182</v>
      </c>
      <c r="E905" s="367">
        <f t="shared" si="617"/>
        <v>19249.357852601795</v>
      </c>
      <c r="F905" s="367">
        <f t="shared" si="617"/>
        <v>19788.762938419968</v>
      </c>
      <c r="G905" s="367">
        <f t="shared" si="617"/>
        <v>20342.62408053808</v>
      </c>
      <c r="H905" s="367">
        <f t="shared" si="617"/>
        <v>20911.328701264953</v>
      </c>
      <c r="I905" s="367">
        <f t="shared" si="617"/>
        <v>21495.27460582729</v>
      </c>
      <c r="J905" s="367">
        <f t="shared" si="617"/>
        <v>22094.870260631913</v>
      </c>
      <c r="K905" s="367">
        <f t="shared" si="617"/>
        <v>22710.535078985296</v>
      </c>
      <c r="L905" s="367">
        <f t="shared" si="617"/>
        <v>23342.699714470553</v>
      </c>
      <c r="M905" s="367">
        <f t="shared" si="617"/>
        <v>24869.503950561804</v>
      </c>
      <c r="N905" s="367">
        <f t="shared" si="617"/>
        <v>25536.006656436861</v>
      </c>
      <c r="O905" s="367">
        <f t="shared" si="617"/>
        <v>26220.371634829367</v>
      </c>
      <c r="P905" s="367">
        <f t="shared" si="617"/>
        <v>26923.077594642789</v>
      </c>
      <c r="Q905" s="367">
        <f t="shared" si="617"/>
        <v>27644.616074179226</v>
      </c>
    </row>
    <row r="906" spans="1:17" ht="14.4">
      <c r="A906" s="364" t="s">
        <v>305</v>
      </c>
      <c r="B906" s="378">
        <f t="shared" si="616"/>
        <v>43884.879418749995</v>
      </c>
      <c r="C906" s="367">
        <f>+C895</f>
        <v>4388.4879418749997</v>
      </c>
      <c r="D906" s="367">
        <f t="shared" ref="D906:Q906" si="618">+D895</f>
        <v>4388.4879418749997</v>
      </c>
      <c r="E906" s="367">
        <f t="shared" si="618"/>
        <v>4388.4879418749997</v>
      </c>
      <c r="F906" s="367">
        <f t="shared" si="618"/>
        <v>4388.4879418749997</v>
      </c>
      <c r="G906" s="367">
        <f t="shared" si="618"/>
        <v>4388.4879418749997</v>
      </c>
      <c r="H906" s="367">
        <f t="shared" si="618"/>
        <v>4388.4879418749997</v>
      </c>
      <c r="I906" s="367">
        <f t="shared" si="618"/>
        <v>4388.4879418749997</v>
      </c>
      <c r="J906" s="367">
        <f t="shared" si="618"/>
        <v>4388.4879418749997</v>
      </c>
      <c r="K906" s="367">
        <f t="shared" si="618"/>
        <v>4388.4879418749997</v>
      </c>
      <c r="L906" s="367">
        <f t="shared" si="618"/>
        <v>4388.4879418749997</v>
      </c>
      <c r="M906" s="367">
        <f t="shared" si="618"/>
        <v>0</v>
      </c>
      <c r="N906" s="367">
        <f t="shared" si="618"/>
        <v>0</v>
      </c>
      <c r="O906" s="367">
        <f t="shared" si="618"/>
        <v>0</v>
      </c>
      <c r="P906" s="367">
        <f t="shared" si="618"/>
        <v>0</v>
      </c>
      <c r="Q906" s="367">
        <f t="shared" si="618"/>
        <v>0</v>
      </c>
    </row>
    <row r="907" spans="1:17" ht="14.4">
      <c r="A907" s="364" t="s">
        <v>306</v>
      </c>
      <c r="B907" s="378">
        <f t="shared" si="616"/>
        <v>0</v>
      </c>
      <c r="C907" s="367">
        <f>+'WHRS_Project Scenario'!D880</f>
        <v>0</v>
      </c>
      <c r="D907" s="367">
        <f>+'WHRS_Project Scenario'!E880</f>
        <v>0</v>
      </c>
      <c r="E907" s="367">
        <f>+'WHRS_Project Scenario'!F880</f>
        <v>0</v>
      </c>
      <c r="F907" s="367">
        <f>+'WHRS_Project Scenario'!G880</f>
        <v>0</v>
      </c>
      <c r="G907" s="367">
        <f>+'WHRS_Project Scenario'!H880</f>
        <v>0</v>
      </c>
      <c r="H907" s="367">
        <f>+'WHRS_Project Scenario'!I880</f>
        <v>0</v>
      </c>
      <c r="I907" s="367">
        <f>+'WHRS_Project Scenario'!J880</f>
        <v>0</v>
      </c>
      <c r="J907" s="367">
        <f>+'WHRS_Project Scenario'!K880</f>
        <v>0</v>
      </c>
      <c r="K907" s="367">
        <f>+'WHRS_Project Scenario'!L880</f>
        <v>0</v>
      </c>
      <c r="L907" s="367">
        <f>+'WHRS_Project Scenario'!M880</f>
        <v>0</v>
      </c>
      <c r="M907" s="367">
        <f>+'WHRS_Project Scenario'!N880</f>
        <v>0</v>
      </c>
      <c r="N907" s="367">
        <f>+'WHRS_Project Scenario'!O880</f>
        <v>0</v>
      </c>
      <c r="O907" s="367">
        <f>+'WHRS_Project Scenario'!P880</f>
        <v>0</v>
      </c>
      <c r="P907" s="367">
        <f>+'WHRS_Project Scenario'!Q880</f>
        <v>0</v>
      </c>
      <c r="Q907" s="367">
        <f>+'WHRS_Project Scenario'!R880</f>
        <v>0</v>
      </c>
    </row>
    <row r="908" spans="1:17" ht="14.4">
      <c r="A908" s="364"/>
    </row>
    <row r="909" spans="1:17" ht="14.4">
      <c r="A909" s="364" t="s">
        <v>110</v>
      </c>
      <c r="B909" s="378">
        <f>-'WHRS_Project Scenario'!C8</f>
        <v>-43884.879418749995</v>
      </c>
      <c r="C909" s="367">
        <f>C905+C906+C907</f>
        <v>22600.904398170991</v>
      </c>
      <c r="D909" s="367">
        <f t="shared" ref="D909:Q909" si="619">D905+D906+D907</f>
        <v>23112.519454568181</v>
      </c>
      <c r="E909" s="367">
        <f t="shared" si="619"/>
        <v>23637.845794476794</v>
      </c>
      <c r="F909" s="367">
        <f t="shared" si="619"/>
        <v>24177.250880294967</v>
      </c>
      <c r="G909" s="367">
        <f t="shared" si="619"/>
        <v>24731.112022413079</v>
      </c>
      <c r="H909" s="367">
        <f t="shared" si="619"/>
        <v>25299.816643139951</v>
      </c>
      <c r="I909" s="367">
        <f t="shared" si="619"/>
        <v>25883.762547702288</v>
      </c>
      <c r="J909" s="367">
        <f t="shared" si="619"/>
        <v>26483.358202506912</v>
      </c>
      <c r="K909" s="367">
        <f t="shared" si="619"/>
        <v>27099.023020860295</v>
      </c>
      <c r="L909" s="367">
        <f t="shared" si="619"/>
        <v>27731.187656345552</v>
      </c>
      <c r="M909" s="367">
        <f t="shared" si="619"/>
        <v>24869.503950561804</v>
      </c>
      <c r="N909" s="367">
        <f t="shared" si="619"/>
        <v>25536.006656436861</v>
      </c>
      <c r="O909" s="367">
        <f t="shared" si="619"/>
        <v>26220.371634829367</v>
      </c>
      <c r="P909" s="367">
        <f t="shared" si="619"/>
        <v>26923.077594642789</v>
      </c>
      <c r="Q909" s="367">
        <f t="shared" si="619"/>
        <v>27644.616074179226</v>
      </c>
    </row>
    <row r="910" spans="1:17" ht="15.6">
      <c r="A910" s="364" t="s">
        <v>51</v>
      </c>
      <c r="B910" s="132">
        <f>IRR(B909:Q909)</f>
        <v>0.53572302423107809</v>
      </c>
    </row>
    <row r="911" spans="1:17" ht="15.6">
      <c r="A911" s="364" t="s">
        <v>267</v>
      </c>
      <c r="B911" s="303">
        <f>NPV('Initial Data'!C21/100,B909:Q909)</f>
        <v>111730.77310784149</v>
      </c>
    </row>
    <row r="913" spans="1:17" ht="14.4">
      <c r="A913" s="508" t="s">
        <v>353</v>
      </c>
      <c r="B913" s="509"/>
      <c r="C913" s="509"/>
      <c r="D913" s="509"/>
      <c r="E913" s="509"/>
      <c r="F913" s="509"/>
      <c r="G913" s="509"/>
      <c r="H913" s="509"/>
      <c r="I913" s="509"/>
      <c r="J913" s="509"/>
      <c r="K913" s="509"/>
      <c r="L913" s="509"/>
      <c r="M913" s="509"/>
      <c r="N913" s="509"/>
      <c r="O913" s="509"/>
      <c r="P913" s="509"/>
      <c r="Q913" s="509"/>
    </row>
    <row r="914" spans="1:17" ht="14.4">
      <c r="A914" s="371" t="s">
        <v>355</v>
      </c>
      <c r="B914" s="372"/>
      <c r="C914" s="372"/>
      <c r="D914" s="372"/>
      <c r="E914" s="372"/>
      <c r="F914" s="372"/>
      <c r="G914" s="372"/>
      <c r="H914" s="372"/>
      <c r="I914" s="372"/>
      <c r="J914" s="372"/>
      <c r="K914" s="372"/>
      <c r="L914" s="372"/>
      <c r="M914" s="372"/>
      <c r="N914" s="372"/>
      <c r="O914" s="372"/>
      <c r="P914" s="372"/>
      <c r="Q914" s="372"/>
    </row>
    <row r="915" spans="1:17" ht="27">
      <c r="A915" s="376"/>
      <c r="B915" s="304" t="s">
        <v>35</v>
      </c>
      <c r="C915" s="352" t="s">
        <v>407</v>
      </c>
      <c r="D915" s="352" t="s">
        <v>408</v>
      </c>
      <c r="E915" s="352" t="s">
        <v>409</v>
      </c>
      <c r="F915" s="352" t="s">
        <v>410</v>
      </c>
      <c r="G915" s="352" t="s">
        <v>411</v>
      </c>
      <c r="H915" s="352" t="s">
        <v>412</v>
      </c>
      <c r="I915" s="352" t="s">
        <v>413</v>
      </c>
      <c r="J915" s="352" t="s">
        <v>414</v>
      </c>
      <c r="K915" s="352" t="s">
        <v>415</v>
      </c>
      <c r="L915" s="352" t="s">
        <v>416</v>
      </c>
      <c r="M915" s="352" t="s">
        <v>417</v>
      </c>
      <c r="N915" s="352" t="s">
        <v>418</v>
      </c>
      <c r="O915" s="352" t="s">
        <v>419</v>
      </c>
      <c r="P915" s="352" t="s">
        <v>420</v>
      </c>
      <c r="Q915" s="352" t="s">
        <v>421</v>
      </c>
    </row>
    <row r="916" spans="1:17" ht="14.4">
      <c r="A916" s="363" t="s">
        <v>290</v>
      </c>
      <c r="B916" s="365"/>
      <c r="C916" s="377">
        <f>+'WHRS_Project Scenario'!D15</f>
        <v>215214.92335078961</v>
      </c>
      <c r="D916" s="377">
        <f>+'WHRS_Project Scenario'!E15</f>
        <v>215214.92335078961</v>
      </c>
      <c r="E916" s="377">
        <f>+'WHRS_Project Scenario'!F15</f>
        <v>215214.92335078961</v>
      </c>
      <c r="F916" s="377">
        <f>+'WHRS_Project Scenario'!G15</f>
        <v>215214.92335078961</v>
      </c>
      <c r="G916" s="377">
        <f>+'WHRS_Project Scenario'!H15</f>
        <v>215214.92335078961</v>
      </c>
      <c r="H916" s="377">
        <f>+'WHRS_Project Scenario'!I15</f>
        <v>215214.92335078961</v>
      </c>
      <c r="I916" s="377">
        <f>+'WHRS_Project Scenario'!J15</f>
        <v>215214.92335078961</v>
      </c>
      <c r="J916" s="377">
        <f>+'WHRS_Project Scenario'!K15</f>
        <v>215214.92335078961</v>
      </c>
      <c r="K916" s="377">
        <f>+'WHRS_Project Scenario'!L15</f>
        <v>215214.92335078961</v>
      </c>
      <c r="L916" s="377">
        <f>+'WHRS_Project Scenario'!M15</f>
        <v>215214.92335078961</v>
      </c>
      <c r="M916" s="377">
        <f>+'WHRS_Project Scenario'!N15</f>
        <v>215214.92335078961</v>
      </c>
      <c r="N916" s="377">
        <f>+'WHRS_Project Scenario'!O15</f>
        <v>215214.92335078961</v>
      </c>
      <c r="O916" s="377">
        <f>+'WHRS_Project Scenario'!P15</f>
        <v>215214.92335078961</v>
      </c>
      <c r="P916" s="377">
        <f>+'WHRS_Project Scenario'!Q15</f>
        <v>215214.92335078961</v>
      </c>
      <c r="Q916" s="377">
        <f>+'WHRS_Project Scenario'!R15</f>
        <v>215214.92335078961</v>
      </c>
    </row>
    <row r="917" spans="1:17" ht="14.4">
      <c r="A917" s="364" t="s">
        <v>291</v>
      </c>
      <c r="B917" s="365"/>
      <c r="C917" s="377">
        <f>+'WHRS_Project Scenario'!D16</f>
        <v>70</v>
      </c>
      <c r="D917" s="377">
        <f>+'WHRS_Project Scenario'!E16</f>
        <v>70</v>
      </c>
      <c r="E917" s="377">
        <f>+'WHRS_Project Scenario'!F16</f>
        <v>70</v>
      </c>
      <c r="F917" s="377">
        <f>+'WHRS_Project Scenario'!G16</f>
        <v>70</v>
      </c>
      <c r="G917" s="377">
        <f>+'WHRS_Project Scenario'!H16</f>
        <v>70</v>
      </c>
      <c r="H917" s="377">
        <f>+'WHRS_Project Scenario'!I16</f>
        <v>70</v>
      </c>
      <c r="I917" s="377">
        <f>+'WHRS_Project Scenario'!J16</f>
        <v>70</v>
      </c>
      <c r="J917" s="377">
        <f>+'WHRS_Project Scenario'!K16</f>
        <v>70</v>
      </c>
      <c r="K917" s="377">
        <f>+'WHRS_Project Scenario'!L16</f>
        <v>70</v>
      </c>
      <c r="L917" s="377">
        <f>+'WHRS_Project Scenario'!M16</f>
        <v>70</v>
      </c>
      <c r="M917" s="377">
        <f>+'WHRS_Project Scenario'!N16</f>
        <v>70</v>
      </c>
      <c r="N917" s="377">
        <f>+'WHRS_Project Scenario'!O16</f>
        <v>70</v>
      </c>
      <c r="O917" s="377">
        <f>+'WHRS_Project Scenario'!P16</f>
        <v>70</v>
      </c>
      <c r="P917" s="377">
        <f>+'WHRS_Project Scenario'!Q16</f>
        <v>70</v>
      </c>
      <c r="Q917" s="377">
        <f>+'WHRS_Project Scenario'!R16</f>
        <v>70</v>
      </c>
    </row>
    <row r="918" spans="1:17" ht="14.4">
      <c r="A918" s="366" t="s">
        <v>292</v>
      </c>
      <c r="B918" s="365"/>
      <c r="C918" s="377">
        <f>+'WHRS_Project Scenario'!D17</f>
        <v>6.4285714285714288</v>
      </c>
      <c r="D918" s="377">
        <f>+'WHRS_Project Scenario'!E17</f>
        <v>6.6008571428571425</v>
      </c>
      <c r="E918" s="377">
        <f>+'WHRS_Project Scenario'!F17</f>
        <v>6.7777601142857131</v>
      </c>
      <c r="F918" s="377">
        <f>+'WHRS_Project Scenario'!G17</f>
        <v>6.9594040853485701</v>
      </c>
      <c r="G918" s="377">
        <f>+'WHRS_Project Scenario'!H17</f>
        <v>7.1459161148359112</v>
      </c>
      <c r="H918" s="377">
        <f>+'WHRS_Project Scenario'!I17</f>
        <v>7.3374266667135135</v>
      </c>
      <c r="I918" s="377">
        <f>+'WHRS_Project Scenario'!J17</f>
        <v>7.5340697013814353</v>
      </c>
      <c r="J918" s="377">
        <f>+'WHRS_Project Scenario'!K17</f>
        <v>7.7359827693784569</v>
      </c>
      <c r="K918" s="377">
        <f>+'WHRS_Project Scenario'!L17</f>
        <v>7.943307107597799</v>
      </c>
      <c r="L918" s="377">
        <f>+'WHRS_Project Scenario'!M17</f>
        <v>8.1561877380814192</v>
      </c>
      <c r="M918" s="377">
        <f>+'WHRS_Project Scenario'!N17</f>
        <v>8.3747735694620005</v>
      </c>
      <c r="N918" s="377">
        <f>+'WHRS_Project Scenario'!O17</f>
        <v>8.5992175011235812</v>
      </c>
      <c r="O918" s="377">
        <f>+'WHRS_Project Scenario'!P17</f>
        <v>8.8296765301536926</v>
      </c>
      <c r="P918" s="377">
        <f>+'WHRS_Project Scenario'!Q17</f>
        <v>9.066311861161811</v>
      </c>
      <c r="Q918" s="377">
        <f>+'WHRS_Project Scenario'!R17</f>
        <v>9.3092890190409463</v>
      </c>
    </row>
    <row r="919" spans="1:17" ht="14.4">
      <c r="A919" s="366" t="s">
        <v>293</v>
      </c>
      <c r="B919" s="365"/>
      <c r="C919" s="377">
        <f>+C917*C918</f>
        <v>450</v>
      </c>
      <c r="D919" s="377">
        <f t="shared" ref="D919" si="620">+D917*D918</f>
        <v>462.06</v>
      </c>
      <c r="E919" s="377">
        <f t="shared" ref="E919" si="621">+E917*E918</f>
        <v>474.44320799999991</v>
      </c>
      <c r="F919" s="377">
        <f t="shared" ref="F919" si="622">+F917*F918</f>
        <v>487.15828597439992</v>
      </c>
      <c r="G919" s="377">
        <f t="shared" ref="G919" si="623">+G917*G918</f>
        <v>500.21412803851376</v>
      </c>
      <c r="H919" s="377">
        <f t="shared" ref="H919" si="624">+H917*H918</f>
        <v>513.61986666994596</v>
      </c>
      <c r="I919" s="377">
        <f t="shared" ref="I919" si="625">+I917*I918</f>
        <v>527.3848790967005</v>
      </c>
      <c r="J919" s="377">
        <f t="shared" ref="J919" si="626">+J917*J918</f>
        <v>541.51879385649192</v>
      </c>
      <c r="K919" s="377">
        <f t="shared" ref="K919" si="627">+K917*K918</f>
        <v>556.03149753184596</v>
      </c>
      <c r="L919" s="377">
        <f t="shared" ref="L919" si="628">+L917*L918</f>
        <v>570.9331416656994</v>
      </c>
      <c r="M919" s="377">
        <f t="shared" ref="M919" si="629">+M917*M918</f>
        <v>586.23414986234002</v>
      </c>
      <c r="N919" s="377">
        <f t="shared" ref="N919" si="630">+N917*N918</f>
        <v>601.94522507865065</v>
      </c>
      <c r="O919" s="377">
        <f t="shared" ref="O919" si="631">+O917*O918</f>
        <v>618.0773571107585</v>
      </c>
      <c r="P919" s="377">
        <f t="shared" ref="P919" si="632">+P917*P918</f>
        <v>634.64183028132675</v>
      </c>
      <c r="Q919" s="377">
        <f t="shared" ref="Q919" si="633">+Q917*Q918</f>
        <v>651.65023133286627</v>
      </c>
    </row>
    <row r="920" spans="1:17" ht="14.4">
      <c r="A920" s="370"/>
      <c r="B920" s="373"/>
      <c r="C920" s="373"/>
      <c r="D920" s="373"/>
      <c r="E920" s="373"/>
      <c r="F920" s="373"/>
      <c r="G920" s="373"/>
      <c r="H920" s="373"/>
      <c r="I920" s="373"/>
      <c r="J920" s="373"/>
      <c r="K920" s="373"/>
      <c r="L920" s="373"/>
      <c r="M920" s="373"/>
      <c r="N920" s="373"/>
      <c r="O920" s="373"/>
      <c r="P920" s="373"/>
      <c r="Q920" s="373"/>
    </row>
    <row r="921" spans="1:17" ht="14.4">
      <c r="A921" s="366" t="s">
        <v>294</v>
      </c>
      <c r="B921" s="377">
        <f>+SUM(C921:Q921)</f>
        <v>1759578.4023479735</v>
      </c>
      <c r="C921" s="377">
        <f>C916*C919/1000*'Initial Data'!$C$34/'Initial Data'!$C$33</f>
        <v>96846.715507855319</v>
      </c>
      <c r="D921" s="377">
        <f>D916*D919/1000*'Initial Data'!$C$34/'Initial Data'!$C$33</f>
        <v>99442.207483465856</v>
      </c>
      <c r="E921" s="377">
        <f>E916*E919/1000*'Initial Data'!$C$34/'Initial Data'!$C$33</f>
        <v>102107.25864402272</v>
      </c>
      <c r="F921" s="377">
        <f>F916*F919/1000*'Initial Data'!$C$34/'Initial Data'!$C$33</f>
        <v>104843.73317568253</v>
      </c>
      <c r="G921" s="377">
        <f>G916*G919/1000*'Initial Data'!$C$34/'Initial Data'!$C$33</f>
        <v>107653.5452247908</v>
      </c>
      <c r="H921" s="377">
        <f>H916*H919/1000*'Initial Data'!$C$34/'Initial Data'!$C$33</f>
        <v>110538.66023681519</v>
      </c>
      <c r="I921" s="377">
        <f>I916*I919/1000*'Initial Data'!$C$34/'Initial Data'!$C$33</f>
        <v>113501.09633116184</v>
      </c>
      <c r="J921" s="377">
        <f>J916*J919/1000*'Initial Data'!$C$34/'Initial Data'!$C$33</f>
        <v>116542.92571283695</v>
      </c>
      <c r="K921" s="377">
        <f>K916*K919/1000*'Initial Data'!$C$34/'Initial Data'!$C$33</f>
        <v>119666.27612194099</v>
      </c>
      <c r="L921" s="377">
        <f>L916*L919/1000*'Initial Data'!$C$34/'Initial Data'!$C$33</f>
        <v>122873.332322009</v>
      </c>
      <c r="M921" s="377">
        <f>M916*M919/1000*'Initial Data'!$C$34/'Initial Data'!$C$33</f>
        <v>126166.33762823879</v>
      </c>
      <c r="N921" s="377">
        <f>N916*N919/1000*'Initial Data'!$C$34/'Initial Data'!$C$33</f>
        <v>129547.5954766756</v>
      </c>
      <c r="O921" s="377">
        <f>O916*O919/1000*'Initial Data'!$C$34/'Initial Data'!$C$33</f>
        <v>133019.47103545049</v>
      </c>
      <c r="P921" s="377">
        <f>P916*P919/1000*'Initial Data'!$C$34/'Initial Data'!$C$33</f>
        <v>136584.39285920057</v>
      </c>
      <c r="Q921" s="377">
        <f>Q916*Q919/1000*'Initial Data'!$C$34/'Initial Data'!$C$33</f>
        <v>140244.85458782714</v>
      </c>
    </row>
    <row r="922" spans="1:17" ht="14.4">
      <c r="A922" s="370"/>
      <c r="B922" s="373"/>
      <c r="C922" s="373"/>
      <c r="D922" s="373"/>
      <c r="E922" s="373"/>
      <c r="F922" s="373"/>
      <c r="G922" s="373"/>
      <c r="H922" s="373"/>
      <c r="I922" s="373"/>
      <c r="J922" s="373"/>
      <c r="K922" s="373"/>
      <c r="L922" s="373"/>
      <c r="M922" s="373"/>
      <c r="N922" s="373"/>
      <c r="O922" s="373"/>
      <c r="P922" s="373"/>
      <c r="Q922" s="373"/>
    </row>
    <row r="923" spans="1:17" ht="14.4">
      <c r="A923" s="366" t="s">
        <v>295</v>
      </c>
      <c r="B923" s="377">
        <f>+SUM(C923:Q923)</f>
        <v>1759578.4023479735</v>
      </c>
      <c r="C923" s="377">
        <f>+C921</f>
        <v>96846.715507855319</v>
      </c>
      <c r="D923" s="377">
        <f t="shared" ref="D923:Q923" si="634">+D921</f>
        <v>99442.207483465856</v>
      </c>
      <c r="E923" s="377">
        <f t="shared" si="634"/>
        <v>102107.25864402272</v>
      </c>
      <c r="F923" s="377">
        <f t="shared" si="634"/>
        <v>104843.73317568253</v>
      </c>
      <c r="G923" s="377">
        <f t="shared" si="634"/>
        <v>107653.5452247908</v>
      </c>
      <c r="H923" s="377">
        <f t="shared" si="634"/>
        <v>110538.66023681519</v>
      </c>
      <c r="I923" s="377">
        <f t="shared" si="634"/>
        <v>113501.09633116184</v>
      </c>
      <c r="J923" s="377">
        <f t="shared" si="634"/>
        <v>116542.92571283695</v>
      </c>
      <c r="K923" s="377">
        <f t="shared" si="634"/>
        <v>119666.27612194099</v>
      </c>
      <c r="L923" s="377">
        <f t="shared" si="634"/>
        <v>122873.332322009</v>
      </c>
      <c r="M923" s="377">
        <f t="shared" si="634"/>
        <v>126166.33762823879</v>
      </c>
      <c r="N923" s="377">
        <f t="shared" si="634"/>
        <v>129547.5954766756</v>
      </c>
      <c r="O923" s="377">
        <f t="shared" si="634"/>
        <v>133019.47103545049</v>
      </c>
      <c r="P923" s="377">
        <f t="shared" si="634"/>
        <v>136584.39285920057</v>
      </c>
      <c r="Q923" s="377">
        <f t="shared" si="634"/>
        <v>140244.85458782714</v>
      </c>
    </row>
    <row r="924" spans="1:17" ht="14.4">
      <c r="A924" s="370"/>
      <c r="B924" s="374"/>
      <c r="C924" s="374"/>
      <c r="D924" s="374"/>
      <c r="E924" s="374"/>
      <c r="F924" s="374"/>
      <c r="G924" s="374"/>
      <c r="H924" s="374"/>
      <c r="I924" s="374"/>
      <c r="J924" s="374"/>
      <c r="K924" s="374"/>
      <c r="L924" s="374"/>
      <c r="M924" s="374"/>
      <c r="N924" s="374"/>
      <c r="O924" s="374"/>
      <c r="P924" s="374"/>
      <c r="Q924" s="374"/>
    </row>
    <row r="925" spans="1:17" ht="14.4">
      <c r="A925" s="366" t="s">
        <v>68</v>
      </c>
      <c r="B925" s="368"/>
      <c r="C925" s="368"/>
      <c r="D925" s="368"/>
      <c r="E925" s="368"/>
      <c r="F925" s="368"/>
      <c r="G925" s="368"/>
      <c r="H925" s="368"/>
      <c r="I925" s="368"/>
      <c r="J925" s="368"/>
      <c r="K925" s="368"/>
      <c r="L925" s="368"/>
      <c r="M925" s="368"/>
      <c r="N925" s="368"/>
      <c r="O925" s="368"/>
      <c r="P925" s="368"/>
      <c r="Q925" s="368"/>
    </row>
    <row r="926" spans="1:17" ht="14.4">
      <c r="A926" s="366" t="s">
        <v>296</v>
      </c>
      <c r="B926" s="378">
        <f>+SUM(C926:Q926)</f>
        <v>11529.370291765843</v>
      </c>
      <c r="C926" s="367">
        <f>SUM('Initial Data'!$C$77:$C$80)/'Initial Data'!$C$14/1000</f>
        <v>634.57339732142862</v>
      </c>
      <c r="D926" s="367">
        <f>+C926*(1+'Initial Data'!$C$20/100)</f>
        <v>651.57996436964288</v>
      </c>
      <c r="E926" s="367">
        <f>+D926*(1+'Initial Data'!$C$20/100)</f>
        <v>669.0423074147493</v>
      </c>
      <c r="F926" s="367">
        <f>+E926*(1+'Initial Data'!$C$20/100)</f>
        <v>686.97264125346453</v>
      </c>
      <c r="G926" s="367">
        <f>+F926*(1+'Initial Data'!$C$20/100)</f>
        <v>705.38350803905735</v>
      </c>
      <c r="H926" s="367">
        <f>+G926*(1+'Initial Data'!$C$20/100)</f>
        <v>724.28778605450407</v>
      </c>
      <c r="I926" s="367">
        <f>+H926*(1+'Initial Data'!$C$20/100)</f>
        <v>743.6986987207647</v>
      </c>
      <c r="J926" s="367">
        <f>+I926*(1+'Initial Data'!$C$20/100)</f>
        <v>763.62982384648114</v>
      </c>
      <c r="K926" s="367">
        <f>+J926*(1+'Initial Data'!$C$20/100)</f>
        <v>784.09510312556677</v>
      </c>
      <c r="L926" s="367">
        <f>+K926*(1+'Initial Data'!$C$20/100)</f>
        <v>805.10885188933196</v>
      </c>
      <c r="M926" s="367">
        <f>+L926*(1+'Initial Data'!$C$20/100)</f>
        <v>826.68576911996604</v>
      </c>
      <c r="N926" s="367">
        <f>+M926*(1+'Initial Data'!$C$20/100)</f>
        <v>848.8409477323811</v>
      </c>
      <c r="O926" s="367">
        <f>+N926*(1+'Initial Data'!$C$20/100)</f>
        <v>871.58988513160887</v>
      </c>
      <c r="P926" s="367">
        <f>+O926*(1+'Initial Data'!$C$20/100)</f>
        <v>894.94849405313596</v>
      </c>
      <c r="Q926" s="367">
        <f>+P926*(1+'Initial Data'!$C$20/100)</f>
        <v>918.93311369375999</v>
      </c>
    </row>
    <row r="927" spans="1:17" ht="14.4">
      <c r="A927" s="366" t="s">
        <v>297</v>
      </c>
      <c r="B927" s="378">
        <f>+SUM(C927:Q927)</f>
        <v>13836.767075562186</v>
      </c>
      <c r="C927" s="367">
        <f>('Initial Data'!$C$82/1000+('Initial Data'!$C$83*'Initial Data'!$C$15/'Initial Data'!$C$14)/1000+'Initial Data'!$C$84/'Initial Data'!$C$14/1000)</f>
        <v>761.57188717892859</v>
      </c>
      <c r="D927" s="367">
        <f>+C927*(1+'Initial Data'!$C$20/100)</f>
        <v>781.98201375532381</v>
      </c>
      <c r="E927" s="367">
        <f>+D927*(1+'Initial Data'!$C$20/100)</f>
        <v>802.9391317239664</v>
      </c>
      <c r="F927" s="367">
        <f>+E927*(1+'Initial Data'!$C$20/100)</f>
        <v>824.45790045416868</v>
      </c>
      <c r="G927" s="367">
        <f>+F927*(1+'Initial Data'!$C$20/100)</f>
        <v>846.55337218634031</v>
      </c>
      <c r="H927" s="367">
        <f>+G927*(1+'Initial Data'!$C$20/100)</f>
        <v>869.24100256093413</v>
      </c>
      <c r="I927" s="367">
        <f>+H927*(1+'Initial Data'!$C$20/100)</f>
        <v>892.53666142956706</v>
      </c>
      <c r="J927" s="367">
        <f>+I927*(1+'Initial Data'!$C$20/100)</f>
        <v>916.45664395587937</v>
      </c>
      <c r="K927" s="367">
        <f>+J927*(1+'Initial Data'!$C$20/100)</f>
        <v>941.01768201389689</v>
      </c>
      <c r="L927" s="367">
        <f>+K927*(1+'Initial Data'!$C$20/100)</f>
        <v>966.23695589186923</v>
      </c>
      <c r="M927" s="367">
        <f>+L927*(1+'Initial Data'!$C$20/100)</f>
        <v>992.1321063097713</v>
      </c>
      <c r="N927" s="367">
        <f>+M927*(1+'Initial Data'!$C$20/100)</f>
        <v>1018.7212467588731</v>
      </c>
      <c r="O927" s="367">
        <f>+N927*(1+'Initial Data'!$C$20/100)</f>
        <v>1046.0229761720109</v>
      </c>
      <c r="P927" s="367">
        <f>+O927*(1+'Initial Data'!$C$20/100)</f>
        <v>1074.0563919334206</v>
      </c>
      <c r="Q927" s="367">
        <f>+P927*(1+'Initial Data'!$C$20/100)</f>
        <v>1102.8411032372362</v>
      </c>
    </row>
    <row r="928" spans="1:17" ht="14.4">
      <c r="A928" s="370"/>
      <c r="B928" s="369"/>
      <c r="C928" s="382"/>
      <c r="D928" s="369"/>
      <c r="E928" s="369"/>
      <c r="F928" s="369"/>
      <c r="G928" s="369"/>
      <c r="H928" s="369"/>
      <c r="I928" s="369"/>
      <c r="J928" s="369"/>
      <c r="K928" s="369"/>
      <c r="L928" s="369"/>
      <c r="M928" s="369"/>
      <c r="N928" s="369"/>
      <c r="O928" s="369"/>
      <c r="P928" s="369"/>
      <c r="Q928" s="369"/>
    </row>
    <row r="929" spans="1:17" ht="14.4">
      <c r="A929" s="366" t="s">
        <v>71</v>
      </c>
      <c r="B929" s="379"/>
      <c r="C929" s="379"/>
      <c r="D929" s="379"/>
      <c r="E929" s="379"/>
      <c r="F929" s="379"/>
      <c r="G929" s="379"/>
      <c r="H929" s="379"/>
      <c r="I929" s="379"/>
      <c r="J929" s="379"/>
      <c r="K929" s="379"/>
      <c r="L929" s="379"/>
      <c r="M929" s="379"/>
      <c r="N929" s="379"/>
      <c r="O929" s="379"/>
      <c r="P929" s="379"/>
      <c r="Q929" s="379"/>
    </row>
    <row r="930" spans="1:17" ht="14.4">
      <c r="A930" s="370"/>
      <c r="B930" s="379"/>
      <c r="C930" s="379"/>
      <c r="D930" s="379"/>
      <c r="E930" s="379"/>
      <c r="F930" s="379"/>
      <c r="G930" s="379"/>
      <c r="H930" s="379"/>
      <c r="I930" s="379"/>
      <c r="J930" s="379"/>
      <c r="K930" s="379"/>
      <c r="L930" s="379"/>
      <c r="M930" s="379"/>
      <c r="N930" s="379"/>
      <c r="O930" s="379"/>
      <c r="P930" s="379"/>
      <c r="Q930" s="379"/>
    </row>
    <row r="931" spans="1:17" ht="14.4">
      <c r="A931" s="366" t="s">
        <v>298</v>
      </c>
      <c r="B931" s="378">
        <f>+SUM(C931:Q931)</f>
        <v>25366.137367328029</v>
      </c>
      <c r="C931" s="367">
        <f>SUM(C926:C927)</f>
        <v>1396.1452845003573</v>
      </c>
      <c r="D931" s="367">
        <f>SUM(D926:D927)</f>
        <v>1433.5619781249666</v>
      </c>
      <c r="E931" s="367">
        <f t="shared" ref="E931:Q931" si="635">SUM(E926:E927)</f>
        <v>1471.9814391387158</v>
      </c>
      <c r="F931" s="367">
        <f t="shared" si="635"/>
        <v>1511.4305417076332</v>
      </c>
      <c r="G931" s="367">
        <f t="shared" si="635"/>
        <v>1551.9368802253975</v>
      </c>
      <c r="H931" s="367">
        <f t="shared" si="635"/>
        <v>1593.5287886154383</v>
      </c>
      <c r="I931" s="367">
        <f t="shared" si="635"/>
        <v>1636.2353601503319</v>
      </c>
      <c r="J931" s="367">
        <f t="shared" si="635"/>
        <v>1680.0864678023604</v>
      </c>
      <c r="K931" s="367">
        <f t="shared" si="635"/>
        <v>1725.1127851394635</v>
      </c>
      <c r="L931" s="367">
        <f t="shared" si="635"/>
        <v>1771.3458077812011</v>
      </c>
      <c r="M931" s="367">
        <f t="shared" si="635"/>
        <v>1818.8178754297373</v>
      </c>
      <c r="N931" s="367">
        <f t="shared" si="635"/>
        <v>1867.5621944912541</v>
      </c>
      <c r="O931" s="367">
        <f t="shared" si="635"/>
        <v>1917.6128613036199</v>
      </c>
      <c r="P931" s="367">
        <f t="shared" si="635"/>
        <v>1969.0048859865565</v>
      </c>
      <c r="Q931" s="367">
        <f t="shared" si="635"/>
        <v>2021.7742169309963</v>
      </c>
    </row>
    <row r="932" spans="1:17" ht="14.4">
      <c r="A932" s="370"/>
      <c r="B932" s="379"/>
      <c r="C932" s="379"/>
      <c r="D932" s="379"/>
      <c r="E932" s="379"/>
      <c r="F932" s="379"/>
      <c r="G932" s="379"/>
      <c r="H932" s="379"/>
      <c r="I932" s="379"/>
      <c r="J932" s="379"/>
      <c r="K932" s="379"/>
      <c r="L932" s="379"/>
      <c r="M932" s="379"/>
      <c r="N932" s="379"/>
      <c r="O932" s="379"/>
      <c r="P932" s="379"/>
      <c r="Q932" s="379"/>
    </row>
    <row r="933" spans="1:17" ht="14.4">
      <c r="A933" s="366" t="s">
        <v>299</v>
      </c>
      <c r="B933" s="378">
        <f t="shared" ref="B933:B934" si="636">+SUM(C933:Q933)</f>
        <v>43884.879418749995</v>
      </c>
      <c r="C933" s="367">
        <f>'WHRS_Project Scenario'!$C$8/'Initial Data'!$C$19</f>
        <v>4388.4879418749997</v>
      </c>
      <c r="D933" s="367">
        <f>'WHRS_Project Scenario'!$C$8/'Initial Data'!$C$19</f>
        <v>4388.4879418749997</v>
      </c>
      <c r="E933" s="367">
        <f>'WHRS_Project Scenario'!$C$8/'Initial Data'!$C$19</f>
        <v>4388.4879418749997</v>
      </c>
      <c r="F933" s="367">
        <f>'WHRS_Project Scenario'!$C$8/'Initial Data'!$C$19</f>
        <v>4388.4879418749997</v>
      </c>
      <c r="G933" s="367">
        <f>'WHRS_Project Scenario'!$C$8/'Initial Data'!$C$19</f>
        <v>4388.4879418749997</v>
      </c>
      <c r="H933" s="367">
        <f>'WHRS_Project Scenario'!$C$8/'Initial Data'!$C$19</f>
        <v>4388.4879418749997</v>
      </c>
      <c r="I933" s="367">
        <f>'WHRS_Project Scenario'!$C$8/'Initial Data'!$C$19</f>
        <v>4388.4879418749997</v>
      </c>
      <c r="J933" s="367">
        <f>'WHRS_Project Scenario'!$C$8/'Initial Data'!$C$19</f>
        <v>4388.4879418749997</v>
      </c>
      <c r="K933" s="367">
        <f>'WHRS_Project Scenario'!$C$8/'Initial Data'!$C$19</f>
        <v>4388.4879418749997</v>
      </c>
      <c r="L933" s="367">
        <f>'WHRS_Project Scenario'!$C$8/'Initial Data'!$C$19</f>
        <v>4388.4879418749997</v>
      </c>
      <c r="M933" s="367">
        <v>0</v>
      </c>
      <c r="N933" s="367">
        <v>0</v>
      </c>
      <c r="O933" s="367">
        <v>0</v>
      </c>
      <c r="P933" s="367">
        <v>0</v>
      </c>
      <c r="Q933" s="367">
        <v>0</v>
      </c>
    </row>
    <row r="934" spans="1:17" ht="14.4">
      <c r="A934" s="366" t="s">
        <v>300</v>
      </c>
      <c r="B934" s="378">
        <f t="shared" si="636"/>
        <v>43884.879418749995</v>
      </c>
      <c r="C934" s="367">
        <f>SUM(C933:C933)</f>
        <v>4388.4879418749997</v>
      </c>
      <c r="D934" s="367">
        <f t="shared" ref="D934:Q934" si="637">SUM(D933:D933)</f>
        <v>4388.4879418749997</v>
      </c>
      <c r="E934" s="367">
        <f t="shared" si="637"/>
        <v>4388.4879418749997</v>
      </c>
      <c r="F934" s="367">
        <f t="shared" si="637"/>
        <v>4388.4879418749997</v>
      </c>
      <c r="G934" s="367">
        <f t="shared" si="637"/>
        <v>4388.4879418749997</v>
      </c>
      <c r="H934" s="367">
        <f t="shared" si="637"/>
        <v>4388.4879418749997</v>
      </c>
      <c r="I934" s="367">
        <f t="shared" si="637"/>
        <v>4388.4879418749997</v>
      </c>
      <c r="J934" s="367">
        <f t="shared" si="637"/>
        <v>4388.4879418749997</v>
      </c>
      <c r="K934" s="367">
        <f t="shared" si="637"/>
        <v>4388.4879418749997</v>
      </c>
      <c r="L934" s="367">
        <f t="shared" si="637"/>
        <v>4388.4879418749997</v>
      </c>
      <c r="M934" s="367">
        <f t="shared" si="637"/>
        <v>0</v>
      </c>
      <c r="N934" s="367">
        <f t="shared" si="637"/>
        <v>0</v>
      </c>
      <c r="O934" s="367">
        <f t="shared" si="637"/>
        <v>0</v>
      </c>
      <c r="P934" s="367">
        <f t="shared" si="637"/>
        <v>0</v>
      </c>
      <c r="Q934" s="367">
        <f t="shared" si="637"/>
        <v>0</v>
      </c>
    </row>
    <row r="935" spans="1:17" ht="14.4">
      <c r="A935" s="370"/>
      <c r="B935" s="379"/>
      <c r="C935" s="379"/>
      <c r="D935" s="379"/>
      <c r="E935" s="379"/>
      <c r="F935" s="379"/>
      <c r="G935" s="379"/>
      <c r="H935" s="379"/>
      <c r="I935" s="379"/>
      <c r="J935" s="379"/>
      <c r="K935" s="379"/>
      <c r="L935" s="379"/>
      <c r="M935" s="379"/>
      <c r="N935" s="379"/>
      <c r="O935" s="379"/>
      <c r="P935" s="379"/>
      <c r="Q935" s="379"/>
    </row>
    <row r="936" spans="1:17" ht="14.4">
      <c r="A936" s="366" t="s">
        <v>301</v>
      </c>
      <c r="B936" s="378">
        <f>+SUM(C936:Q936)</f>
        <v>69251.016786078035</v>
      </c>
      <c r="C936" s="367">
        <f>+C931+C934</f>
        <v>5784.6332263753575</v>
      </c>
      <c r="D936" s="367">
        <f>+D931+D934</f>
        <v>5822.0499199999667</v>
      </c>
      <c r="E936" s="367">
        <f t="shared" ref="E936:Q936" si="638">+E931+E934</f>
        <v>5860.469381013716</v>
      </c>
      <c r="F936" s="367">
        <f t="shared" si="638"/>
        <v>5899.9184835826327</v>
      </c>
      <c r="G936" s="367">
        <f t="shared" si="638"/>
        <v>5940.4248221003973</v>
      </c>
      <c r="H936" s="367">
        <f t="shared" si="638"/>
        <v>5982.016730490438</v>
      </c>
      <c r="I936" s="367">
        <f t="shared" si="638"/>
        <v>6024.7233020253316</v>
      </c>
      <c r="J936" s="367">
        <f t="shared" si="638"/>
        <v>6068.5744096773597</v>
      </c>
      <c r="K936" s="367">
        <f t="shared" si="638"/>
        <v>6113.6007270144637</v>
      </c>
      <c r="L936" s="367">
        <f t="shared" si="638"/>
        <v>6159.8337496562008</v>
      </c>
      <c r="M936" s="367">
        <f t="shared" si="638"/>
        <v>1818.8178754297373</v>
      </c>
      <c r="N936" s="367">
        <f t="shared" si="638"/>
        <v>1867.5621944912541</v>
      </c>
      <c r="O936" s="367">
        <f t="shared" si="638"/>
        <v>1917.6128613036199</v>
      </c>
      <c r="P936" s="367">
        <f t="shared" si="638"/>
        <v>1969.0048859865565</v>
      </c>
      <c r="Q936" s="367">
        <f t="shared" si="638"/>
        <v>2021.7742169309963</v>
      </c>
    </row>
    <row r="937" spans="1:17" ht="14.4">
      <c r="A937" s="370"/>
      <c r="B937" s="379"/>
      <c r="C937" s="379"/>
      <c r="D937" s="379"/>
      <c r="E937" s="379"/>
      <c r="F937" s="379"/>
      <c r="G937" s="379"/>
      <c r="H937" s="379"/>
      <c r="I937" s="379"/>
      <c r="J937" s="379"/>
      <c r="K937" s="379"/>
      <c r="L937" s="379"/>
      <c r="M937" s="379"/>
      <c r="N937" s="379"/>
      <c r="O937" s="379"/>
      <c r="P937" s="379"/>
      <c r="Q937" s="379"/>
    </row>
    <row r="938" spans="1:17" ht="14.4">
      <c r="A938" s="364" t="s">
        <v>302</v>
      </c>
      <c r="B938" s="378">
        <f>+SUM(C938:Q938)</f>
        <v>1690327.3855618956</v>
      </c>
      <c r="C938" s="367">
        <f>+C923-C936</f>
        <v>91062.082281479961</v>
      </c>
      <c r="D938" s="367">
        <f>+D923-D936</f>
        <v>93620.157563465895</v>
      </c>
      <c r="E938" s="367">
        <f t="shared" ref="E938:Q938" si="639">+E923-E936</f>
        <v>96246.789263009006</v>
      </c>
      <c r="F938" s="367">
        <f t="shared" si="639"/>
        <v>98943.814692099899</v>
      </c>
      <c r="G938" s="367">
        <f t="shared" si="639"/>
        <v>101713.1204026904</v>
      </c>
      <c r="H938" s="367">
        <f t="shared" si="639"/>
        <v>104556.64350632476</v>
      </c>
      <c r="I938" s="367">
        <f t="shared" si="639"/>
        <v>107476.37302913651</v>
      </c>
      <c r="J938" s="367">
        <f t="shared" si="639"/>
        <v>110474.35130315959</v>
      </c>
      <c r="K938" s="367">
        <f t="shared" si="639"/>
        <v>113552.67539492653</v>
      </c>
      <c r="L938" s="367">
        <f t="shared" si="639"/>
        <v>116713.49857235279</v>
      </c>
      <c r="M938" s="367">
        <f t="shared" si="639"/>
        <v>124347.51975280905</v>
      </c>
      <c r="N938" s="367">
        <f t="shared" si="639"/>
        <v>127680.03328218435</v>
      </c>
      <c r="O938" s="367">
        <f t="shared" si="639"/>
        <v>131101.85817414688</v>
      </c>
      <c r="P938" s="367">
        <f t="shared" si="639"/>
        <v>134615.387973214</v>
      </c>
      <c r="Q938" s="367">
        <f t="shared" si="639"/>
        <v>138223.08037089615</v>
      </c>
    </row>
    <row r="939" spans="1:17" ht="14.4">
      <c r="A939" s="364"/>
    </row>
    <row r="940" spans="1:17" ht="14.4">
      <c r="A940" s="364" t="s">
        <v>222</v>
      </c>
      <c r="B940" s="402">
        <f>+D19</f>
        <v>0.6</v>
      </c>
      <c r="C940" s="367">
        <f>IF((+$B$940*C938)&lt;0,"0",(+$B$940*C938))</f>
        <v>54637.249368887977</v>
      </c>
      <c r="D940" s="367">
        <f t="shared" ref="D940:Q940" si="640">IF((+$B$940*D938)&lt;0,"0",(+$B$940*D938))</f>
        <v>56172.094538079538</v>
      </c>
      <c r="E940" s="367">
        <f t="shared" si="640"/>
        <v>57748.073557805401</v>
      </c>
      <c r="F940" s="367">
        <f t="shared" si="640"/>
        <v>59366.288815259933</v>
      </c>
      <c r="G940" s="367">
        <f t="shared" si="640"/>
        <v>61027.872241614241</v>
      </c>
      <c r="H940" s="367">
        <f t="shared" si="640"/>
        <v>62733.986103794858</v>
      </c>
      <c r="I940" s="367">
        <f t="shared" si="640"/>
        <v>64485.823817481898</v>
      </c>
      <c r="J940" s="367">
        <f t="shared" si="640"/>
        <v>66284.610781895753</v>
      </c>
      <c r="K940" s="367">
        <f t="shared" si="640"/>
        <v>68131.605236955918</v>
      </c>
      <c r="L940" s="367">
        <f t="shared" si="640"/>
        <v>70028.099143411673</v>
      </c>
      <c r="M940" s="367">
        <f t="shared" si="640"/>
        <v>74608.511851685427</v>
      </c>
      <c r="N940" s="367">
        <f t="shared" si="640"/>
        <v>76608.019969310611</v>
      </c>
      <c r="O940" s="367">
        <f t="shared" si="640"/>
        <v>78661.114904488131</v>
      </c>
      <c r="P940" s="367">
        <f t="shared" si="640"/>
        <v>80769.232783928397</v>
      </c>
      <c r="Q940" s="367">
        <f t="shared" si="640"/>
        <v>82933.848222537679</v>
      </c>
    </row>
    <row r="941" spans="1:17" ht="14.4">
      <c r="A941" s="364" t="s">
        <v>303</v>
      </c>
      <c r="B941" s="378">
        <f>+SUM(C941:Q941)</f>
        <v>1014196.4313371376</v>
      </c>
      <c r="C941" s="367">
        <f>SUM(C940:C940)</f>
        <v>54637.249368887977</v>
      </c>
      <c r="D941" s="367">
        <f t="shared" ref="D941:Q941" si="641">SUM(D940:D940)</f>
        <v>56172.094538079538</v>
      </c>
      <c r="E941" s="367">
        <f t="shared" si="641"/>
        <v>57748.073557805401</v>
      </c>
      <c r="F941" s="367">
        <f t="shared" si="641"/>
        <v>59366.288815259933</v>
      </c>
      <c r="G941" s="367">
        <f t="shared" si="641"/>
        <v>61027.872241614241</v>
      </c>
      <c r="H941" s="367">
        <f t="shared" si="641"/>
        <v>62733.986103794858</v>
      </c>
      <c r="I941" s="367">
        <f t="shared" si="641"/>
        <v>64485.823817481898</v>
      </c>
      <c r="J941" s="367">
        <f t="shared" si="641"/>
        <v>66284.610781895753</v>
      </c>
      <c r="K941" s="367">
        <f t="shared" si="641"/>
        <v>68131.605236955918</v>
      </c>
      <c r="L941" s="367">
        <f t="shared" si="641"/>
        <v>70028.099143411673</v>
      </c>
      <c r="M941" s="367">
        <f t="shared" si="641"/>
        <v>74608.511851685427</v>
      </c>
      <c r="N941" s="367">
        <f t="shared" si="641"/>
        <v>76608.019969310611</v>
      </c>
      <c r="O941" s="367">
        <f t="shared" si="641"/>
        <v>78661.114904488131</v>
      </c>
      <c r="P941" s="367">
        <f t="shared" si="641"/>
        <v>80769.232783928397</v>
      </c>
      <c r="Q941" s="367">
        <f t="shared" si="641"/>
        <v>82933.848222537679</v>
      </c>
    </row>
    <row r="942" spans="1:17" ht="14.4">
      <c r="A942" s="369"/>
    </row>
    <row r="943" spans="1:17" ht="14.4">
      <c r="A943" s="364" t="s">
        <v>304</v>
      </c>
      <c r="B943" s="378">
        <f t="shared" ref="B943:B945" si="642">+SUM(C943:Q943)</f>
        <v>676130.95422475843</v>
      </c>
      <c r="C943" s="367">
        <f>C938-C941</f>
        <v>36424.832912591984</v>
      </c>
      <c r="D943" s="367">
        <f t="shared" ref="D943:Q943" si="643">D938-D941</f>
        <v>37448.063025386356</v>
      </c>
      <c r="E943" s="367">
        <f t="shared" si="643"/>
        <v>38498.715705203605</v>
      </c>
      <c r="F943" s="367">
        <f t="shared" si="643"/>
        <v>39577.525876839965</v>
      </c>
      <c r="G943" s="367">
        <f t="shared" si="643"/>
        <v>40685.248161076161</v>
      </c>
      <c r="H943" s="367">
        <f t="shared" si="643"/>
        <v>41822.657402529905</v>
      </c>
      <c r="I943" s="367">
        <f t="shared" si="643"/>
        <v>42990.549211654608</v>
      </c>
      <c r="J943" s="367">
        <f t="shared" si="643"/>
        <v>44189.74052126384</v>
      </c>
      <c r="K943" s="367">
        <f t="shared" si="643"/>
        <v>45421.070157970607</v>
      </c>
      <c r="L943" s="367">
        <f t="shared" si="643"/>
        <v>46685.39942894112</v>
      </c>
      <c r="M943" s="367">
        <f t="shared" si="643"/>
        <v>49739.007901123623</v>
      </c>
      <c r="N943" s="367">
        <f t="shared" si="643"/>
        <v>51072.013312873736</v>
      </c>
      <c r="O943" s="367">
        <f t="shared" si="643"/>
        <v>52440.743269658749</v>
      </c>
      <c r="P943" s="367">
        <f t="shared" si="643"/>
        <v>53846.155189285608</v>
      </c>
      <c r="Q943" s="367">
        <f t="shared" si="643"/>
        <v>55289.232148358467</v>
      </c>
    </row>
    <row r="944" spans="1:17" ht="14.4">
      <c r="A944" s="364" t="s">
        <v>305</v>
      </c>
      <c r="B944" s="378">
        <f t="shared" si="642"/>
        <v>43884.879418749995</v>
      </c>
      <c r="C944" s="367">
        <f>+C933</f>
        <v>4388.4879418749997</v>
      </c>
      <c r="D944" s="367">
        <f t="shared" ref="D944:Q944" si="644">+D933</f>
        <v>4388.4879418749997</v>
      </c>
      <c r="E944" s="367">
        <f t="shared" si="644"/>
        <v>4388.4879418749997</v>
      </c>
      <c r="F944" s="367">
        <f t="shared" si="644"/>
        <v>4388.4879418749997</v>
      </c>
      <c r="G944" s="367">
        <f t="shared" si="644"/>
        <v>4388.4879418749997</v>
      </c>
      <c r="H944" s="367">
        <f t="shared" si="644"/>
        <v>4388.4879418749997</v>
      </c>
      <c r="I944" s="367">
        <f t="shared" si="644"/>
        <v>4388.4879418749997</v>
      </c>
      <c r="J944" s="367">
        <f t="shared" si="644"/>
        <v>4388.4879418749997</v>
      </c>
      <c r="K944" s="367">
        <f t="shared" si="644"/>
        <v>4388.4879418749997</v>
      </c>
      <c r="L944" s="367">
        <f t="shared" si="644"/>
        <v>4388.4879418749997</v>
      </c>
      <c r="M944" s="367">
        <f t="shared" si="644"/>
        <v>0</v>
      </c>
      <c r="N944" s="367">
        <f t="shared" si="644"/>
        <v>0</v>
      </c>
      <c r="O944" s="367">
        <f t="shared" si="644"/>
        <v>0</v>
      </c>
      <c r="P944" s="367">
        <f t="shared" si="644"/>
        <v>0</v>
      </c>
      <c r="Q944" s="367">
        <f t="shared" si="644"/>
        <v>0</v>
      </c>
    </row>
    <row r="945" spans="1:17" ht="14.4">
      <c r="A945" s="364" t="s">
        <v>306</v>
      </c>
      <c r="B945" s="378">
        <f t="shared" si="642"/>
        <v>0</v>
      </c>
      <c r="C945" s="367">
        <f>+'WHRS_Project Scenario'!D918</f>
        <v>0</v>
      </c>
      <c r="D945" s="367">
        <f>+'WHRS_Project Scenario'!E918</f>
        <v>0</v>
      </c>
      <c r="E945" s="367">
        <f>+'WHRS_Project Scenario'!F918</f>
        <v>0</v>
      </c>
      <c r="F945" s="367">
        <f>+'WHRS_Project Scenario'!G918</f>
        <v>0</v>
      </c>
      <c r="G945" s="367">
        <f>+'WHRS_Project Scenario'!H918</f>
        <v>0</v>
      </c>
      <c r="H945" s="367">
        <f>+'WHRS_Project Scenario'!I918</f>
        <v>0</v>
      </c>
      <c r="I945" s="367">
        <f>+'WHRS_Project Scenario'!J918</f>
        <v>0</v>
      </c>
      <c r="J945" s="367">
        <f>+'WHRS_Project Scenario'!K918</f>
        <v>0</v>
      </c>
      <c r="K945" s="367">
        <f>+'WHRS_Project Scenario'!L918</f>
        <v>0</v>
      </c>
      <c r="L945" s="367">
        <f>+'WHRS_Project Scenario'!M918</f>
        <v>0</v>
      </c>
      <c r="M945" s="367">
        <f>+'WHRS_Project Scenario'!N918</f>
        <v>0</v>
      </c>
      <c r="N945" s="367">
        <f>+'WHRS_Project Scenario'!O918</f>
        <v>0</v>
      </c>
      <c r="O945" s="367">
        <f>+'WHRS_Project Scenario'!P918</f>
        <v>0</v>
      </c>
      <c r="P945" s="367">
        <f>+'WHRS_Project Scenario'!Q918</f>
        <v>0</v>
      </c>
      <c r="Q945" s="367">
        <f>+'WHRS_Project Scenario'!R918</f>
        <v>0</v>
      </c>
    </row>
    <row r="946" spans="1:17" ht="14.4">
      <c r="A946" s="364"/>
    </row>
    <row r="947" spans="1:17" ht="14.4">
      <c r="A947" s="364" t="s">
        <v>110</v>
      </c>
      <c r="B947" s="378">
        <f>-'WHRS_Project Scenario'!C8</f>
        <v>-43884.879418749995</v>
      </c>
      <c r="C947" s="367">
        <f>C943+C944+C945</f>
        <v>40813.320854466983</v>
      </c>
      <c r="D947" s="367">
        <f t="shared" ref="D947:Q947" si="645">D943+D944+D945</f>
        <v>41836.550967261355</v>
      </c>
      <c r="E947" s="367">
        <f t="shared" si="645"/>
        <v>42887.203647078604</v>
      </c>
      <c r="F947" s="367">
        <f t="shared" si="645"/>
        <v>43966.013818714964</v>
      </c>
      <c r="G947" s="367">
        <f t="shared" si="645"/>
        <v>45073.736102951159</v>
      </c>
      <c r="H947" s="367">
        <f t="shared" si="645"/>
        <v>46211.145344404904</v>
      </c>
      <c r="I947" s="367">
        <f t="shared" si="645"/>
        <v>47379.037153529607</v>
      </c>
      <c r="J947" s="367">
        <f t="shared" si="645"/>
        <v>48578.228463138839</v>
      </c>
      <c r="K947" s="367">
        <f t="shared" si="645"/>
        <v>49809.558099845606</v>
      </c>
      <c r="L947" s="367">
        <f t="shared" si="645"/>
        <v>51073.887370816119</v>
      </c>
      <c r="M947" s="367">
        <f t="shared" si="645"/>
        <v>49739.007901123623</v>
      </c>
      <c r="N947" s="367">
        <f t="shared" si="645"/>
        <v>51072.013312873736</v>
      </c>
      <c r="O947" s="367">
        <f t="shared" si="645"/>
        <v>52440.743269658749</v>
      </c>
      <c r="P947" s="367">
        <f t="shared" si="645"/>
        <v>53846.155189285608</v>
      </c>
      <c r="Q947" s="367">
        <f t="shared" si="645"/>
        <v>55289.232148358467</v>
      </c>
    </row>
    <row r="948" spans="1:17" ht="15.6">
      <c r="A948" s="364" t="s">
        <v>51</v>
      </c>
      <c r="B948" s="132">
        <f>IRR(B947:Q947)</f>
        <v>0.95499790915849203</v>
      </c>
    </row>
    <row r="949" spans="1:17" ht="15.6">
      <c r="A949" s="364" t="s">
        <v>267</v>
      </c>
      <c r="B949" s="303">
        <f>NPV('Initial Data'!C21/100,B947:Q947)</f>
        <v>240505.24602788352</v>
      </c>
    </row>
    <row r="951" spans="1:17" ht="14.4">
      <c r="A951" s="508" t="s">
        <v>353</v>
      </c>
      <c r="B951" s="509"/>
      <c r="C951" s="509"/>
      <c r="D951" s="509"/>
      <c r="E951" s="509"/>
      <c r="F951" s="509"/>
      <c r="G951" s="509"/>
      <c r="H951" s="509"/>
      <c r="I951" s="509"/>
      <c r="J951" s="509"/>
      <c r="K951" s="509"/>
      <c r="L951" s="509"/>
      <c r="M951" s="509"/>
      <c r="N951" s="509"/>
      <c r="O951" s="509"/>
      <c r="P951" s="509"/>
      <c r="Q951" s="509"/>
    </row>
    <row r="952" spans="1:17" ht="14.4">
      <c r="A952" s="371" t="s">
        <v>356</v>
      </c>
      <c r="B952" s="372"/>
      <c r="C952" s="372"/>
      <c r="D952" s="372"/>
      <c r="E952" s="372"/>
      <c r="F952" s="372"/>
      <c r="G952" s="372"/>
      <c r="H952" s="372"/>
      <c r="I952" s="372"/>
      <c r="J952" s="372"/>
      <c r="K952" s="372"/>
      <c r="L952" s="372"/>
      <c r="M952" s="372"/>
      <c r="N952" s="372"/>
      <c r="O952" s="372"/>
      <c r="P952" s="372"/>
      <c r="Q952" s="372"/>
    </row>
    <row r="953" spans="1:17" ht="27">
      <c r="A953" s="376"/>
      <c r="B953" s="304" t="s">
        <v>35</v>
      </c>
      <c r="C953" s="352" t="s">
        <v>407</v>
      </c>
      <c r="D953" s="352" t="s">
        <v>408</v>
      </c>
      <c r="E953" s="352" t="s">
        <v>409</v>
      </c>
      <c r="F953" s="352" t="s">
        <v>410</v>
      </c>
      <c r="G953" s="352" t="s">
        <v>411</v>
      </c>
      <c r="H953" s="352" t="s">
        <v>412</v>
      </c>
      <c r="I953" s="352" t="s">
        <v>413</v>
      </c>
      <c r="J953" s="352" t="s">
        <v>414</v>
      </c>
      <c r="K953" s="352" t="s">
        <v>415</v>
      </c>
      <c r="L953" s="352" t="s">
        <v>416</v>
      </c>
      <c r="M953" s="352" t="s">
        <v>417</v>
      </c>
      <c r="N953" s="352" t="s">
        <v>418</v>
      </c>
      <c r="O953" s="352" t="s">
        <v>419</v>
      </c>
      <c r="P953" s="352" t="s">
        <v>420</v>
      </c>
      <c r="Q953" s="352" t="s">
        <v>421</v>
      </c>
    </row>
    <row r="954" spans="1:17" ht="14.4">
      <c r="A954" s="363" t="s">
        <v>290</v>
      </c>
      <c r="B954" s="365"/>
      <c r="C954" s="377">
        <f>+'WHRS_Project Scenario'!D15</f>
        <v>215214.92335078961</v>
      </c>
      <c r="D954" s="377">
        <f>+'WHRS_Project Scenario'!E15</f>
        <v>215214.92335078961</v>
      </c>
      <c r="E954" s="377">
        <f>+'WHRS_Project Scenario'!F15</f>
        <v>215214.92335078961</v>
      </c>
      <c r="F954" s="377">
        <f>+'WHRS_Project Scenario'!G15</f>
        <v>215214.92335078961</v>
      </c>
      <c r="G954" s="377">
        <f>+'WHRS_Project Scenario'!H15</f>
        <v>215214.92335078961</v>
      </c>
      <c r="H954" s="377">
        <f>+'WHRS_Project Scenario'!I15</f>
        <v>215214.92335078961</v>
      </c>
      <c r="I954" s="377">
        <f>+'WHRS_Project Scenario'!J15</f>
        <v>215214.92335078961</v>
      </c>
      <c r="J954" s="377">
        <f>+'WHRS_Project Scenario'!K15</f>
        <v>215214.92335078961</v>
      </c>
      <c r="K954" s="377">
        <f>+'WHRS_Project Scenario'!L15</f>
        <v>215214.92335078961</v>
      </c>
      <c r="L954" s="377">
        <f>+'WHRS_Project Scenario'!M15</f>
        <v>215214.92335078961</v>
      </c>
      <c r="M954" s="377">
        <f>+'WHRS_Project Scenario'!N15</f>
        <v>215214.92335078961</v>
      </c>
      <c r="N954" s="377">
        <f>+'WHRS_Project Scenario'!O15</f>
        <v>215214.92335078961</v>
      </c>
      <c r="O954" s="377">
        <f>+'WHRS_Project Scenario'!P15</f>
        <v>215214.92335078961</v>
      </c>
      <c r="P954" s="377">
        <f>+'WHRS_Project Scenario'!Q15</f>
        <v>215214.92335078961</v>
      </c>
      <c r="Q954" s="377">
        <f>+'WHRS_Project Scenario'!R15</f>
        <v>215214.92335078961</v>
      </c>
    </row>
    <row r="955" spans="1:17" ht="14.4">
      <c r="A955" s="364" t="s">
        <v>291</v>
      </c>
      <c r="B955" s="365"/>
      <c r="C955" s="377">
        <f>+'WHRS_Project Scenario'!D16</f>
        <v>70</v>
      </c>
      <c r="D955" s="377">
        <f>+'WHRS_Project Scenario'!E16</f>
        <v>70</v>
      </c>
      <c r="E955" s="377">
        <f>+'WHRS_Project Scenario'!F16</f>
        <v>70</v>
      </c>
      <c r="F955" s="377">
        <f>+'WHRS_Project Scenario'!G16</f>
        <v>70</v>
      </c>
      <c r="G955" s="377">
        <f>+'WHRS_Project Scenario'!H16</f>
        <v>70</v>
      </c>
      <c r="H955" s="377">
        <f>+'WHRS_Project Scenario'!I16</f>
        <v>70</v>
      </c>
      <c r="I955" s="377">
        <f>+'WHRS_Project Scenario'!J16</f>
        <v>70</v>
      </c>
      <c r="J955" s="377">
        <f>+'WHRS_Project Scenario'!K16</f>
        <v>70</v>
      </c>
      <c r="K955" s="377">
        <f>+'WHRS_Project Scenario'!L16</f>
        <v>70</v>
      </c>
      <c r="L955" s="377">
        <f>+'WHRS_Project Scenario'!M16</f>
        <v>70</v>
      </c>
      <c r="M955" s="377">
        <f>+'WHRS_Project Scenario'!N16</f>
        <v>70</v>
      </c>
      <c r="N955" s="377">
        <f>+'WHRS_Project Scenario'!O16</f>
        <v>70</v>
      </c>
      <c r="O955" s="377">
        <f>+'WHRS_Project Scenario'!P16</f>
        <v>70</v>
      </c>
      <c r="P955" s="377">
        <f>+'WHRS_Project Scenario'!Q16</f>
        <v>70</v>
      </c>
      <c r="Q955" s="377">
        <f>+'WHRS_Project Scenario'!R16</f>
        <v>70</v>
      </c>
    </row>
    <row r="956" spans="1:17" ht="14.4">
      <c r="A956" s="366" t="s">
        <v>292</v>
      </c>
      <c r="B956" s="365"/>
      <c r="C956" s="377">
        <f>+'WHRS_Project Scenario'!D17</f>
        <v>6.4285714285714288</v>
      </c>
      <c r="D956" s="377">
        <f>+'WHRS_Project Scenario'!E17</f>
        <v>6.6008571428571425</v>
      </c>
      <c r="E956" s="377">
        <f>+'WHRS_Project Scenario'!F17</f>
        <v>6.7777601142857131</v>
      </c>
      <c r="F956" s="377">
        <f>+'WHRS_Project Scenario'!G17</f>
        <v>6.9594040853485701</v>
      </c>
      <c r="G956" s="377">
        <f>+'WHRS_Project Scenario'!H17</f>
        <v>7.1459161148359112</v>
      </c>
      <c r="H956" s="377">
        <f>+'WHRS_Project Scenario'!I17</f>
        <v>7.3374266667135135</v>
      </c>
      <c r="I956" s="377">
        <f>+'WHRS_Project Scenario'!J17</f>
        <v>7.5340697013814353</v>
      </c>
      <c r="J956" s="377">
        <f>+'WHRS_Project Scenario'!K17</f>
        <v>7.7359827693784569</v>
      </c>
      <c r="K956" s="377">
        <f>+'WHRS_Project Scenario'!L17</f>
        <v>7.943307107597799</v>
      </c>
      <c r="L956" s="377">
        <f>+'WHRS_Project Scenario'!M17</f>
        <v>8.1561877380814192</v>
      </c>
      <c r="M956" s="377">
        <f>+'WHRS_Project Scenario'!N17</f>
        <v>8.3747735694620005</v>
      </c>
      <c r="N956" s="377">
        <f>+'WHRS_Project Scenario'!O17</f>
        <v>8.5992175011235812</v>
      </c>
      <c r="O956" s="377">
        <f>+'WHRS_Project Scenario'!P17</f>
        <v>8.8296765301536926</v>
      </c>
      <c r="P956" s="377">
        <f>+'WHRS_Project Scenario'!Q17</f>
        <v>9.066311861161811</v>
      </c>
      <c r="Q956" s="377">
        <f>+'WHRS_Project Scenario'!R17</f>
        <v>9.3092890190409463</v>
      </c>
    </row>
    <row r="957" spans="1:17" ht="14.4">
      <c r="A957" s="366" t="s">
        <v>293</v>
      </c>
      <c r="B957" s="365"/>
      <c r="C957" s="377">
        <f>+C955*C956</f>
        <v>450</v>
      </c>
      <c r="D957" s="377">
        <f t="shared" ref="D957" si="646">+D955*D956</f>
        <v>462.06</v>
      </c>
      <c r="E957" s="377">
        <f t="shared" ref="E957" si="647">+E955*E956</f>
        <v>474.44320799999991</v>
      </c>
      <c r="F957" s="377">
        <f t="shared" ref="F957" si="648">+F955*F956</f>
        <v>487.15828597439992</v>
      </c>
      <c r="G957" s="377">
        <f t="shared" ref="G957" si="649">+G955*G956</f>
        <v>500.21412803851376</v>
      </c>
      <c r="H957" s="377">
        <f t="shared" ref="H957" si="650">+H955*H956</f>
        <v>513.61986666994596</v>
      </c>
      <c r="I957" s="377">
        <f t="shared" ref="I957" si="651">+I955*I956</f>
        <v>527.3848790967005</v>
      </c>
      <c r="J957" s="377">
        <f t="shared" ref="J957" si="652">+J955*J956</f>
        <v>541.51879385649192</v>
      </c>
      <c r="K957" s="377">
        <f t="shared" ref="K957" si="653">+K955*K956</f>
        <v>556.03149753184596</v>
      </c>
      <c r="L957" s="377">
        <f t="shared" ref="L957" si="654">+L955*L956</f>
        <v>570.9331416656994</v>
      </c>
      <c r="M957" s="377">
        <f t="shared" ref="M957" si="655">+M955*M956</f>
        <v>586.23414986234002</v>
      </c>
      <c r="N957" s="377">
        <f t="shared" ref="N957" si="656">+N955*N956</f>
        <v>601.94522507865065</v>
      </c>
      <c r="O957" s="377">
        <f t="shared" ref="O957" si="657">+O955*O956</f>
        <v>618.0773571107585</v>
      </c>
      <c r="P957" s="377">
        <f t="shared" ref="P957" si="658">+P955*P956</f>
        <v>634.64183028132675</v>
      </c>
      <c r="Q957" s="377">
        <f t="shared" ref="Q957" si="659">+Q955*Q956</f>
        <v>651.65023133286627</v>
      </c>
    </row>
    <row r="958" spans="1:17" ht="14.4">
      <c r="A958" s="370"/>
      <c r="B958" s="373"/>
      <c r="C958" s="373"/>
      <c r="D958" s="373"/>
      <c r="E958" s="373"/>
      <c r="F958" s="373"/>
      <c r="G958" s="373"/>
      <c r="H958" s="373"/>
      <c r="I958" s="373"/>
      <c r="J958" s="373"/>
      <c r="K958" s="373"/>
      <c r="L958" s="373"/>
      <c r="M958" s="373"/>
      <c r="N958" s="373"/>
      <c r="O958" s="373"/>
      <c r="P958" s="373"/>
      <c r="Q958" s="373"/>
    </row>
    <row r="959" spans="1:17" ht="14.4">
      <c r="A959" s="366" t="s">
        <v>294</v>
      </c>
      <c r="B959" s="377">
        <f>+SUM(C959:Q959)</f>
        <v>1759578.4023479735</v>
      </c>
      <c r="C959" s="377">
        <f>C954*C957/1000*'Initial Data'!$C$34/'Initial Data'!$C$33</f>
        <v>96846.715507855319</v>
      </c>
      <c r="D959" s="377">
        <f>D954*D957/1000*'Initial Data'!$C$34/'Initial Data'!$C$33</f>
        <v>99442.207483465856</v>
      </c>
      <c r="E959" s="377">
        <f>E954*E957/1000*'Initial Data'!$C$34/'Initial Data'!$C$33</f>
        <v>102107.25864402272</v>
      </c>
      <c r="F959" s="377">
        <f>F954*F957/1000*'Initial Data'!$C$34/'Initial Data'!$C$33</f>
        <v>104843.73317568253</v>
      </c>
      <c r="G959" s="377">
        <f>G954*G957/1000*'Initial Data'!$C$34/'Initial Data'!$C$33</f>
        <v>107653.5452247908</v>
      </c>
      <c r="H959" s="377">
        <f>H954*H957/1000*'Initial Data'!$C$34/'Initial Data'!$C$33</f>
        <v>110538.66023681519</v>
      </c>
      <c r="I959" s="377">
        <f>I954*I957/1000*'Initial Data'!$C$34/'Initial Data'!$C$33</f>
        <v>113501.09633116184</v>
      </c>
      <c r="J959" s="377">
        <f>J954*J957/1000*'Initial Data'!$C$34/'Initial Data'!$C$33</f>
        <v>116542.92571283695</v>
      </c>
      <c r="K959" s="377">
        <f>K954*K957/1000*'Initial Data'!$C$34/'Initial Data'!$C$33</f>
        <v>119666.27612194099</v>
      </c>
      <c r="L959" s="377">
        <f>L954*L957/1000*'Initial Data'!$C$34/'Initial Data'!$C$33</f>
        <v>122873.332322009</v>
      </c>
      <c r="M959" s="377">
        <f>M954*M957/1000*'Initial Data'!$C$34/'Initial Data'!$C$33</f>
        <v>126166.33762823879</v>
      </c>
      <c r="N959" s="377">
        <f>N954*N957/1000*'Initial Data'!$C$34/'Initial Data'!$C$33</f>
        <v>129547.5954766756</v>
      </c>
      <c r="O959" s="377">
        <f>O954*O957/1000*'Initial Data'!$C$34/'Initial Data'!$C$33</f>
        <v>133019.47103545049</v>
      </c>
      <c r="P959" s="377">
        <f>P954*P957/1000*'Initial Data'!$C$34/'Initial Data'!$C$33</f>
        <v>136584.39285920057</v>
      </c>
      <c r="Q959" s="377">
        <f>Q954*Q957/1000*'Initial Data'!$C$34/'Initial Data'!$C$33</f>
        <v>140244.85458782714</v>
      </c>
    </row>
    <row r="960" spans="1:17" ht="14.4">
      <c r="A960" s="370"/>
      <c r="B960" s="373"/>
      <c r="C960" s="373"/>
      <c r="D960" s="373"/>
      <c r="E960" s="373"/>
      <c r="F960" s="373"/>
      <c r="G960" s="373"/>
      <c r="H960" s="373"/>
      <c r="I960" s="373"/>
      <c r="J960" s="373"/>
      <c r="K960" s="373"/>
      <c r="L960" s="373"/>
      <c r="M960" s="373"/>
      <c r="N960" s="373"/>
      <c r="O960" s="373"/>
      <c r="P960" s="373"/>
      <c r="Q960" s="373"/>
    </row>
    <row r="961" spans="1:17" ht="14.4">
      <c r="A961" s="366" t="s">
        <v>295</v>
      </c>
      <c r="B961" s="377">
        <f>+SUM(C961:Q961)</f>
        <v>1759578.4023479735</v>
      </c>
      <c r="C961" s="377">
        <f>+C959</f>
        <v>96846.715507855319</v>
      </c>
      <c r="D961" s="377">
        <f t="shared" ref="D961:Q961" si="660">+D959</f>
        <v>99442.207483465856</v>
      </c>
      <c r="E961" s="377">
        <f t="shared" si="660"/>
        <v>102107.25864402272</v>
      </c>
      <c r="F961" s="377">
        <f t="shared" si="660"/>
        <v>104843.73317568253</v>
      </c>
      <c r="G961" s="377">
        <f t="shared" si="660"/>
        <v>107653.5452247908</v>
      </c>
      <c r="H961" s="377">
        <f t="shared" si="660"/>
        <v>110538.66023681519</v>
      </c>
      <c r="I961" s="377">
        <f t="shared" si="660"/>
        <v>113501.09633116184</v>
      </c>
      <c r="J961" s="377">
        <f t="shared" si="660"/>
        <v>116542.92571283695</v>
      </c>
      <c r="K961" s="377">
        <f t="shared" si="660"/>
        <v>119666.27612194099</v>
      </c>
      <c r="L961" s="377">
        <f t="shared" si="660"/>
        <v>122873.332322009</v>
      </c>
      <c r="M961" s="377">
        <f t="shared" si="660"/>
        <v>126166.33762823879</v>
      </c>
      <c r="N961" s="377">
        <f t="shared" si="660"/>
        <v>129547.5954766756</v>
      </c>
      <c r="O961" s="377">
        <f t="shared" si="660"/>
        <v>133019.47103545049</v>
      </c>
      <c r="P961" s="377">
        <f t="shared" si="660"/>
        <v>136584.39285920057</v>
      </c>
      <c r="Q961" s="377">
        <f t="shared" si="660"/>
        <v>140244.85458782714</v>
      </c>
    </row>
    <row r="962" spans="1:17" ht="14.4">
      <c r="A962" s="370"/>
      <c r="B962" s="374"/>
      <c r="C962" s="374"/>
      <c r="D962" s="374"/>
      <c r="E962" s="374"/>
      <c r="F962" s="374"/>
      <c r="G962" s="374"/>
      <c r="H962" s="374"/>
      <c r="I962" s="374"/>
      <c r="J962" s="374"/>
      <c r="K962" s="374"/>
      <c r="L962" s="374"/>
      <c r="M962" s="374"/>
      <c r="N962" s="374"/>
      <c r="O962" s="374"/>
      <c r="P962" s="374"/>
      <c r="Q962" s="374"/>
    </row>
    <row r="963" spans="1:17" ht="14.4">
      <c r="A963" s="366" t="s">
        <v>68</v>
      </c>
      <c r="B963" s="368"/>
      <c r="C963" s="368"/>
      <c r="D963" s="368"/>
      <c r="E963" s="368"/>
      <c r="F963" s="368"/>
      <c r="G963" s="368"/>
      <c r="H963" s="368"/>
      <c r="I963" s="368"/>
      <c r="J963" s="368"/>
      <c r="K963" s="368"/>
      <c r="L963" s="368"/>
      <c r="M963" s="368"/>
      <c r="N963" s="368"/>
      <c r="O963" s="368"/>
      <c r="P963" s="368"/>
      <c r="Q963" s="368"/>
    </row>
    <row r="964" spans="1:17" ht="14.4">
      <c r="A964" s="366" t="s">
        <v>296</v>
      </c>
      <c r="B964" s="378">
        <f>+SUM(C964:Q964)</f>
        <v>11529.370291765843</v>
      </c>
      <c r="C964" s="367">
        <f>SUM('Initial Data'!$C$77:$C$80)/'Initial Data'!$C$14/1000</f>
        <v>634.57339732142862</v>
      </c>
      <c r="D964" s="367">
        <f>+C964*(1+'Initial Data'!$C$20/100)</f>
        <v>651.57996436964288</v>
      </c>
      <c r="E964" s="367">
        <f>+D964*(1+'Initial Data'!$C$20/100)</f>
        <v>669.0423074147493</v>
      </c>
      <c r="F964" s="367">
        <f>+E964*(1+'Initial Data'!$C$20/100)</f>
        <v>686.97264125346453</v>
      </c>
      <c r="G964" s="367">
        <f>+F964*(1+'Initial Data'!$C$20/100)</f>
        <v>705.38350803905735</v>
      </c>
      <c r="H964" s="367">
        <f>+G964*(1+'Initial Data'!$C$20/100)</f>
        <v>724.28778605450407</v>
      </c>
      <c r="I964" s="367">
        <f>+H964*(1+'Initial Data'!$C$20/100)</f>
        <v>743.6986987207647</v>
      </c>
      <c r="J964" s="367">
        <f>+I964*(1+'Initial Data'!$C$20/100)</f>
        <v>763.62982384648114</v>
      </c>
      <c r="K964" s="367">
        <f>+J964*(1+'Initial Data'!$C$20/100)</f>
        <v>784.09510312556677</v>
      </c>
      <c r="L964" s="367">
        <f>+K964*(1+'Initial Data'!$C$20/100)</f>
        <v>805.10885188933196</v>
      </c>
      <c r="M964" s="367">
        <f>+L964*(1+'Initial Data'!$C$20/100)</f>
        <v>826.68576911996604</v>
      </c>
      <c r="N964" s="367">
        <f>+M964*(1+'Initial Data'!$C$20/100)</f>
        <v>848.8409477323811</v>
      </c>
      <c r="O964" s="367">
        <f>+N964*(1+'Initial Data'!$C$20/100)</f>
        <v>871.58988513160887</v>
      </c>
      <c r="P964" s="367">
        <f>+O964*(1+'Initial Data'!$C$20/100)</f>
        <v>894.94849405313596</v>
      </c>
      <c r="Q964" s="367">
        <f>+P964*(1+'Initial Data'!$C$20/100)</f>
        <v>918.93311369375999</v>
      </c>
    </row>
    <row r="965" spans="1:17" ht="14.4">
      <c r="A965" s="366" t="s">
        <v>297</v>
      </c>
      <c r="B965" s="378">
        <f>+SUM(C965:Q965)</f>
        <v>13836.767075562186</v>
      </c>
      <c r="C965" s="367">
        <f>('Initial Data'!$C$82/1000+('Initial Data'!$C$83*'Initial Data'!$C$15/'Initial Data'!$C$14)/1000+'Initial Data'!$C$84/'Initial Data'!$C$14/1000)</f>
        <v>761.57188717892859</v>
      </c>
      <c r="D965" s="367">
        <f>+C965*(1+'Initial Data'!$C$20/100)</f>
        <v>781.98201375532381</v>
      </c>
      <c r="E965" s="367">
        <f>+D965*(1+'Initial Data'!$C$20/100)</f>
        <v>802.9391317239664</v>
      </c>
      <c r="F965" s="367">
        <f>+E965*(1+'Initial Data'!$C$20/100)</f>
        <v>824.45790045416868</v>
      </c>
      <c r="G965" s="367">
        <f>+F965*(1+'Initial Data'!$C$20/100)</f>
        <v>846.55337218634031</v>
      </c>
      <c r="H965" s="367">
        <f>+G965*(1+'Initial Data'!$C$20/100)</f>
        <v>869.24100256093413</v>
      </c>
      <c r="I965" s="367">
        <f>+H965*(1+'Initial Data'!$C$20/100)</f>
        <v>892.53666142956706</v>
      </c>
      <c r="J965" s="367">
        <f>+I965*(1+'Initial Data'!$C$20/100)</f>
        <v>916.45664395587937</v>
      </c>
      <c r="K965" s="367">
        <f>+J965*(1+'Initial Data'!$C$20/100)</f>
        <v>941.01768201389689</v>
      </c>
      <c r="L965" s="367">
        <f>+K965*(1+'Initial Data'!$C$20/100)</f>
        <v>966.23695589186923</v>
      </c>
      <c r="M965" s="367">
        <f>+L965*(1+'Initial Data'!$C$20/100)</f>
        <v>992.1321063097713</v>
      </c>
      <c r="N965" s="367">
        <f>+M965*(1+'Initial Data'!$C$20/100)</f>
        <v>1018.7212467588731</v>
      </c>
      <c r="O965" s="367">
        <f>+N965*(1+'Initial Data'!$C$20/100)</f>
        <v>1046.0229761720109</v>
      </c>
      <c r="P965" s="367">
        <f>+O965*(1+'Initial Data'!$C$20/100)</f>
        <v>1074.0563919334206</v>
      </c>
      <c r="Q965" s="367">
        <f>+P965*(1+'Initial Data'!$C$20/100)</f>
        <v>1102.8411032372362</v>
      </c>
    </row>
    <row r="966" spans="1:17" ht="14.4">
      <c r="A966" s="370"/>
      <c r="B966" s="369"/>
      <c r="C966" s="382"/>
      <c r="D966" s="369"/>
      <c r="E966" s="369"/>
      <c r="F966" s="369"/>
      <c r="G966" s="369"/>
      <c r="H966" s="369"/>
      <c r="I966" s="369"/>
      <c r="J966" s="369"/>
      <c r="K966" s="369"/>
      <c r="L966" s="369"/>
      <c r="M966" s="369"/>
      <c r="N966" s="369"/>
      <c r="O966" s="369"/>
      <c r="P966" s="369"/>
      <c r="Q966" s="369"/>
    </row>
    <row r="967" spans="1:17" ht="14.4">
      <c r="A967" s="366" t="s">
        <v>71</v>
      </c>
      <c r="B967" s="379"/>
      <c r="C967" s="379"/>
      <c r="D967" s="379"/>
      <c r="E967" s="379"/>
      <c r="F967" s="379"/>
      <c r="G967" s="379"/>
      <c r="H967" s="379"/>
      <c r="I967" s="379"/>
      <c r="J967" s="379"/>
      <c r="K967" s="379"/>
      <c r="L967" s="379"/>
      <c r="M967" s="379"/>
      <c r="N967" s="379"/>
      <c r="O967" s="379"/>
      <c r="P967" s="379"/>
      <c r="Q967" s="379"/>
    </row>
    <row r="968" spans="1:17" ht="14.4">
      <c r="A968" s="370"/>
      <c r="B968" s="379"/>
      <c r="C968" s="379"/>
      <c r="D968" s="379"/>
      <c r="E968" s="379"/>
      <c r="F968" s="379"/>
      <c r="G968" s="379"/>
      <c r="H968" s="379"/>
      <c r="I968" s="379"/>
      <c r="J968" s="379"/>
      <c r="K968" s="379"/>
      <c r="L968" s="379"/>
      <c r="M968" s="379"/>
      <c r="N968" s="379"/>
      <c r="O968" s="379"/>
      <c r="P968" s="379"/>
      <c r="Q968" s="379"/>
    </row>
    <row r="969" spans="1:17" ht="14.4">
      <c r="A969" s="366" t="s">
        <v>298</v>
      </c>
      <c r="B969" s="378">
        <f>+SUM(C969:Q969)</f>
        <v>25366.137367328029</v>
      </c>
      <c r="C969" s="367">
        <f>SUM(C964:C965)</f>
        <v>1396.1452845003573</v>
      </c>
      <c r="D969" s="367">
        <f>SUM(D964:D965)</f>
        <v>1433.5619781249666</v>
      </c>
      <c r="E969" s="367">
        <f t="shared" ref="E969:Q969" si="661">SUM(E964:E965)</f>
        <v>1471.9814391387158</v>
      </c>
      <c r="F969" s="367">
        <f t="shared" si="661"/>
        <v>1511.4305417076332</v>
      </c>
      <c r="G969" s="367">
        <f t="shared" si="661"/>
        <v>1551.9368802253975</v>
      </c>
      <c r="H969" s="367">
        <f t="shared" si="661"/>
        <v>1593.5287886154383</v>
      </c>
      <c r="I969" s="367">
        <f t="shared" si="661"/>
        <v>1636.2353601503319</v>
      </c>
      <c r="J969" s="367">
        <f t="shared" si="661"/>
        <v>1680.0864678023604</v>
      </c>
      <c r="K969" s="367">
        <f t="shared" si="661"/>
        <v>1725.1127851394635</v>
      </c>
      <c r="L969" s="367">
        <f t="shared" si="661"/>
        <v>1771.3458077812011</v>
      </c>
      <c r="M969" s="367">
        <f t="shared" si="661"/>
        <v>1818.8178754297373</v>
      </c>
      <c r="N969" s="367">
        <f t="shared" si="661"/>
        <v>1867.5621944912541</v>
      </c>
      <c r="O969" s="367">
        <f t="shared" si="661"/>
        <v>1917.6128613036199</v>
      </c>
      <c r="P969" s="367">
        <f t="shared" si="661"/>
        <v>1969.0048859865565</v>
      </c>
      <c r="Q969" s="367">
        <f t="shared" si="661"/>
        <v>2021.7742169309963</v>
      </c>
    </row>
    <row r="970" spans="1:17" ht="14.4">
      <c r="A970" s="370"/>
      <c r="B970" s="379"/>
      <c r="C970" s="379"/>
      <c r="D970" s="379"/>
      <c r="E970" s="379"/>
      <c r="F970" s="379"/>
      <c r="G970" s="379"/>
      <c r="H970" s="379"/>
      <c r="I970" s="379"/>
      <c r="J970" s="379"/>
      <c r="K970" s="379"/>
      <c r="L970" s="379"/>
      <c r="M970" s="379"/>
      <c r="N970" s="379"/>
      <c r="O970" s="379"/>
      <c r="P970" s="379"/>
      <c r="Q970" s="379"/>
    </row>
    <row r="971" spans="1:17" ht="14.4">
      <c r="A971" s="366" t="s">
        <v>299</v>
      </c>
      <c r="B971" s="378">
        <f t="shared" ref="B971:B972" si="662">+SUM(C971:Q971)</f>
        <v>43884.879418749995</v>
      </c>
      <c r="C971" s="367">
        <f>'WHRS_Project Scenario'!$C$8/'Initial Data'!$C$19</f>
        <v>4388.4879418749997</v>
      </c>
      <c r="D971" s="367">
        <f>'WHRS_Project Scenario'!$C$8/'Initial Data'!$C$19</f>
        <v>4388.4879418749997</v>
      </c>
      <c r="E971" s="367">
        <f>'WHRS_Project Scenario'!$C$8/'Initial Data'!$C$19</f>
        <v>4388.4879418749997</v>
      </c>
      <c r="F971" s="367">
        <f>'WHRS_Project Scenario'!$C$8/'Initial Data'!$C$19</f>
        <v>4388.4879418749997</v>
      </c>
      <c r="G971" s="367">
        <f>'WHRS_Project Scenario'!$C$8/'Initial Data'!$C$19</f>
        <v>4388.4879418749997</v>
      </c>
      <c r="H971" s="367">
        <f>'WHRS_Project Scenario'!$C$8/'Initial Data'!$C$19</f>
        <v>4388.4879418749997</v>
      </c>
      <c r="I971" s="367">
        <f>'WHRS_Project Scenario'!$C$8/'Initial Data'!$C$19</f>
        <v>4388.4879418749997</v>
      </c>
      <c r="J971" s="367">
        <f>'WHRS_Project Scenario'!$C$8/'Initial Data'!$C$19</f>
        <v>4388.4879418749997</v>
      </c>
      <c r="K971" s="367">
        <f>'WHRS_Project Scenario'!$C$8/'Initial Data'!$C$19</f>
        <v>4388.4879418749997</v>
      </c>
      <c r="L971" s="367">
        <f>'WHRS_Project Scenario'!$C$8/'Initial Data'!$C$19</f>
        <v>4388.4879418749997</v>
      </c>
      <c r="M971" s="367">
        <v>0</v>
      </c>
      <c r="N971" s="367">
        <v>0</v>
      </c>
      <c r="O971" s="367">
        <v>0</v>
      </c>
      <c r="P971" s="367">
        <v>0</v>
      </c>
      <c r="Q971" s="367">
        <v>0</v>
      </c>
    </row>
    <row r="972" spans="1:17" ht="14.4">
      <c r="A972" s="366" t="s">
        <v>300</v>
      </c>
      <c r="B972" s="378">
        <f t="shared" si="662"/>
        <v>43884.879418749995</v>
      </c>
      <c r="C972" s="367">
        <f>SUM(C971:C971)</f>
        <v>4388.4879418749997</v>
      </c>
      <c r="D972" s="367">
        <f t="shared" ref="D972:Q972" si="663">SUM(D971:D971)</f>
        <v>4388.4879418749997</v>
      </c>
      <c r="E972" s="367">
        <f t="shared" si="663"/>
        <v>4388.4879418749997</v>
      </c>
      <c r="F972" s="367">
        <f t="shared" si="663"/>
        <v>4388.4879418749997</v>
      </c>
      <c r="G972" s="367">
        <f t="shared" si="663"/>
        <v>4388.4879418749997</v>
      </c>
      <c r="H972" s="367">
        <f t="shared" si="663"/>
        <v>4388.4879418749997</v>
      </c>
      <c r="I972" s="367">
        <f t="shared" si="663"/>
        <v>4388.4879418749997</v>
      </c>
      <c r="J972" s="367">
        <f t="shared" si="663"/>
        <v>4388.4879418749997</v>
      </c>
      <c r="K972" s="367">
        <f t="shared" si="663"/>
        <v>4388.4879418749997</v>
      </c>
      <c r="L972" s="367">
        <f t="shared" si="663"/>
        <v>4388.4879418749997</v>
      </c>
      <c r="M972" s="367">
        <f t="shared" si="663"/>
        <v>0</v>
      </c>
      <c r="N972" s="367">
        <f t="shared" si="663"/>
        <v>0</v>
      </c>
      <c r="O972" s="367">
        <f t="shared" si="663"/>
        <v>0</v>
      </c>
      <c r="P972" s="367">
        <f t="shared" si="663"/>
        <v>0</v>
      </c>
      <c r="Q972" s="367">
        <f t="shared" si="663"/>
        <v>0</v>
      </c>
    </row>
    <row r="973" spans="1:17" ht="14.4">
      <c r="A973" s="370"/>
      <c r="B973" s="379"/>
      <c r="C973" s="379"/>
      <c r="D973" s="379"/>
      <c r="E973" s="379"/>
      <c r="F973" s="379"/>
      <c r="G973" s="379"/>
      <c r="H973" s="379"/>
      <c r="I973" s="379"/>
      <c r="J973" s="379"/>
      <c r="K973" s="379"/>
      <c r="L973" s="379"/>
      <c r="M973" s="379"/>
      <c r="N973" s="379"/>
      <c r="O973" s="379"/>
      <c r="P973" s="379"/>
      <c r="Q973" s="379"/>
    </row>
    <row r="974" spans="1:17" ht="14.4">
      <c r="A974" s="366" t="s">
        <v>301</v>
      </c>
      <c r="B974" s="378">
        <f>+SUM(C974:Q974)</f>
        <v>69251.016786078035</v>
      </c>
      <c r="C974" s="367">
        <f>+C969+C972</f>
        <v>5784.6332263753575</v>
      </c>
      <c r="D974" s="367">
        <f>+D969+D972</f>
        <v>5822.0499199999667</v>
      </c>
      <c r="E974" s="367">
        <f t="shared" ref="E974:Q974" si="664">+E969+E972</f>
        <v>5860.469381013716</v>
      </c>
      <c r="F974" s="367">
        <f t="shared" si="664"/>
        <v>5899.9184835826327</v>
      </c>
      <c r="G974" s="367">
        <f t="shared" si="664"/>
        <v>5940.4248221003973</v>
      </c>
      <c r="H974" s="367">
        <f t="shared" si="664"/>
        <v>5982.016730490438</v>
      </c>
      <c r="I974" s="367">
        <f t="shared" si="664"/>
        <v>6024.7233020253316</v>
      </c>
      <c r="J974" s="367">
        <f t="shared" si="664"/>
        <v>6068.5744096773597</v>
      </c>
      <c r="K974" s="367">
        <f t="shared" si="664"/>
        <v>6113.6007270144637</v>
      </c>
      <c r="L974" s="367">
        <f t="shared" si="664"/>
        <v>6159.8337496562008</v>
      </c>
      <c r="M974" s="367">
        <f t="shared" si="664"/>
        <v>1818.8178754297373</v>
      </c>
      <c r="N974" s="367">
        <f t="shared" si="664"/>
        <v>1867.5621944912541</v>
      </c>
      <c r="O974" s="367">
        <f t="shared" si="664"/>
        <v>1917.6128613036199</v>
      </c>
      <c r="P974" s="367">
        <f t="shared" si="664"/>
        <v>1969.0048859865565</v>
      </c>
      <c r="Q974" s="367">
        <f t="shared" si="664"/>
        <v>2021.7742169309963</v>
      </c>
    </row>
    <row r="975" spans="1:17" ht="14.4">
      <c r="A975" s="370"/>
      <c r="B975" s="379"/>
      <c r="C975" s="379"/>
      <c r="D975" s="379"/>
      <c r="E975" s="379"/>
      <c r="F975" s="379"/>
      <c r="G975" s="379"/>
      <c r="H975" s="379"/>
      <c r="I975" s="379"/>
      <c r="J975" s="379"/>
      <c r="K975" s="379"/>
      <c r="L975" s="379"/>
      <c r="M975" s="379"/>
      <c r="N975" s="379"/>
      <c r="O975" s="379"/>
      <c r="P975" s="379"/>
      <c r="Q975" s="379"/>
    </row>
    <row r="976" spans="1:17" ht="14.4">
      <c r="A976" s="364" t="s">
        <v>302</v>
      </c>
      <c r="B976" s="378">
        <f>+SUM(C976:Q976)</f>
        <v>1690327.3855618956</v>
      </c>
      <c r="C976" s="367">
        <f>+C961-C974</f>
        <v>91062.082281479961</v>
      </c>
      <c r="D976" s="367">
        <f>+D961-D974</f>
        <v>93620.157563465895</v>
      </c>
      <c r="E976" s="367">
        <f t="shared" ref="E976:Q976" si="665">+E961-E974</f>
        <v>96246.789263009006</v>
      </c>
      <c r="F976" s="367">
        <f t="shared" si="665"/>
        <v>98943.814692099899</v>
      </c>
      <c r="G976" s="367">
        <f t="shared" si="665"/>
        <v>101713.1204026904</v>
      </c>
      <c r="H976" s="367">
        <f t="shared" si="665"/>
        <v>104556.64350632476</v>
      </c>
      <c r="I976" s="367">
        <f t="shared" si="665"/>
        <v>107476.37302913651</v>
      </c>
      <c r="J976" s="367">
        <f t="shared" si="665"/>
        <v>110474.35130315959</v>
      </c>
      <c r="K976" s="367">
        <f t="shared" si="665"/>
        <v>113552.67539492653</v>
      </c>
      <c r="L976" s="367">
        <f t="shared" si="665"/>
        <v>116713.49857235279</v>
      </c>
      <c r="M976" s="367">
        <f t="shared" si="665"/>
        <v>124347.51975280905</v>
      </c>
      <c r="N976" s="367">
        <f t="shared" si="665"/>
        <v>127680.03328218435</v>
      </c>
      <c r="O976" s="367">
        <f t="shared" si="665"/>
        <v>131101.85817414688</v>
      </c>
      <c r="P976" s="367">
        <f t="shared" si="665"/>
        <v>134615.387973214</v>
      </c>
      <c r="Q976" s="367">
        <f t="shared" si="665"/>
        <v>138223.08037089615</v>
      </c>
    </row>
    <row r="977" spans="1:17" ht="14.4">
      <c r="A977" s="364"/>
    </row>
    <row r="978" spans="1:17" ht="14.4">
      <c r="A978" s="364" t="s">
        <v>222</v>
      </c>
      <c r="B978" s="402">
        <f>E19</f>
        <v>0.5</v>
      </c>
      <c r="C978" s="367">
        <f>IF((+$B$978*C976)&lt;0,"0",(+$B$978*C976))</f>
        <v>45531.041140739981</v>
      </c>
      <c r="D978" s="367">
        <f t="shared" ref="D978:P978" si="666">IF((+$B$978*D976)&lt;0,"0",(+$B$978*D976))</f>
        <v>46810.078781732947</v>
      </c>
      <c r="E978" s="367">
        <f t="shared" si="666"/>
        <v>48123.394631504503</v>
      </c>
      <c r="F978" s="367">
        <f t="shared" si="666"/>
        <v>49471.907346049949</v>
      </c>
      <c r="G978" s="367">
        <f t="shared" si="666"/>
        <v>50856.560201345201</v>
      </c>
      <c r="H978" s="367">
        <f t="shared" si="666"/>
        <v>52278.321753162381</v>
      </c>
      <c r="I978" s="367">
        <f t="shared" si="666"/>
        <v>53738.186514568253</v>
      </c>
      <c r="J978" s="367">
        <f t="shared" si="666"/>
        <v>55237.175651579797</v>
      </c>
      <c r="K978" s="367">
        <f t="shared" si="666"/>
        <v>56776.337697463263</v>
      </c>
      <c r="L978" s="367">
        <f t="shared" si="666"/>
        <v>58356.749286176397</v>
      </c>
      <c r="M978" s="367">
        <f t="shared" si="666"/>
        <v>62173.759876404525</v>
      </c>
      <c r="N978" s="367">
        <f t="shared" si="666"/>
        <v>63840.016641092174</v>
      </c>
      <c r="O978" s="367">
        <f t="shared" si="666"/>
        <v>65550.92908707344</v>
      </c>
      <c r="P978" s="367">
        <f t="shared" si="666"/>
        <v>67307.693986607002</v>
      </c>
      <c r="Q978" s="367">
        <f>IF((+$B$978*Q976)&lt;0,"0",(+$B$978*Q976))</f>
        <v>69111.540185448073</v>
      </c>
    </row>
    <row r="979" spans="1:17" ht="14.4">
      <c r="A979" s="364" t="s">
        <v>303</v>
      </c>
      <c r="B979" s="378">
        <f>+SUM(C979:Q979)</f>
        <v>845163.69278094778</v>
      </c>
      <c r="C979" s="367">
        <f>SUM(C978:C978)</f>
        <v>45531.041140739981</v>
      </c>
      <c r="D979" s="367">
        <f t="shared" ref="D979:Q979" si="667">SUM(D978:D978)</f>
        <v>46810.078781732947</v>
      </c>
      <c r="E979" s="367">
        <f t="shared" si="667"/>
        <v>48123.394631504503</v>
      </c>
      <c r="F979" s="367">
        <f t="shared" si="667"/>
        <v>49471.907346049949</v>
      </c>
      <c r="G979" s="367">
        <f t="shared" si="667"/>
        <v>50856.560201345201</v>
      </c>
      <c r="H979" s="367">
        <f t="shared" si="667"/>
        <v>52278.321753162381</v>
      </c>
      <c r="I979" s="367">
        <f t="shared" si="667"/>
        <v>53738.186514568253</v>
      </c>
      <c r="J979" s="367">
        <f t="shared" si="667"/>
        <v>55237.175651579797</v>
      </c>
      <c r="K979" s="367">
        <f t="shared" si="667"/>
        <v>56776.337697463263</v>
      </c>
      <c r="L979" s="367">
        <f t="shared" si="667"/>
        <v>58356.749286176397</v>
      </c>
      <c r="M979" s="367">
        <f t="shared" si="667"/>
        <v>62173.759876404525</v>
      </c>
      <c r="N979" s="367">
        <f t="shared" si="667"/>
        <v>63840.016641092174</v>
      </c>
      <c r="O979" s="367">
        <f t="shared" si="667"/>
        <v>65550.92908707344</v>
      </c>
      <c r="P979" s="367">
        <f t="shared" si="667"/>
        <v>67307.693986607002</v>
      </c>
      <c r="Q979" s="367">
        <f t="shared" si="667"/>
        <v>69111.540185448073</v>
      </c>
    </row>
    <row r="980" spans="1:17" ht="14.4">
      <c r="A980" s="369"/>
    </row>
    <row r="981" spans="1:17" ht="14.4">
      <c r="A981" s="364" t="s">
        <v>304</v>
      </c>
      <c r="B981" s="378">
        <f t="shared" ref="B981:B983" si="668">+SUM(C981:Q981)</f>
        <v>845163.69278094778</v>
      </c>
      <c r="C981" s="367">
        <f>C976-C979</f>
        <v>45531.041140739981</v>
      </c>
      <c r="D981" s="367">
        <f t="shared" ref="D981:Q981" si="669">D976-D979</f>
        <v>46810.078781732947</v>
      </c>
      <c r="E981" s="367">
        <f t="shared" si="669"/>
        <v>48123.394631504503</v>
      </c>
      <c r="F981" s="367">
        <f t="shared" si="669"/>
        <v>49471.907346049949</v>
      </c>
      <c r="G981" s="367">
        <f t="shared" si="669"/>
        <v>50856.560201345201</v>
      </c>
      <c r="H981" s="367">
        <f t="shared" si="669"/>
        <v>52278.321753162381</v>
      </c>
      <c r="I981" s="367">
        <f t="shared" si="669"/>
        <v>53738.186514568253</v>
      </c>
      <c r="J981" s="367">
        <f t="shared" si="669"/>
        <v>55237.175651579797</v>
      </c>
      <c r="K981" s="367">
        <f t="shared" si="669"/>
        <v>56776.337697463263</v>
      </c>
      <c r="L981" s="367">
        <f t="shared" si="669"/>
        <v>58356.749286176397</v>
      </c>
      <c r="M981" s="367">
        <f t="shared" si="669"/>
        <v>62173.759876404525</v>
      </c>
      <c r="N981" s="367">
        <f t="shared" si="669"/>
        <v>63840.016641092174</v>
      </c>
      <c r="O981" s="367">
        <f t="shared" si="669"/>
        <v>65550.92908707344</v>
      </c>
      <c r="P981" s="367">
        <f t="shared" si="669"/>
        <v>67307.693986607002</v>
      </c>
      <c r="Q981" s="367">
        <f t="shared" si="669"/>
        <v>69111.540185448073</v>
      </c>
    </row>
    <row r="982" spans="1:17" ht="14.4">
      <c r="A982" s="364" t="s">
        <v>305</v>
      </c>
      <c r="B982" s="378">
        <f t="shared" si="668"/>
        <v>43884.879418749995</v>
      </c>
      <c r="C982" s="367">
        <f>+C971</f>
        <v>4388.4879418749997</v>
      </c>
      <c r="D982" s="367">
        <f t="shared" ref="D982:Q982" si="670">+D971</f>
        <v>4388.4879418749997</v>
      </c>
      <c r="E982" s="367">
        <f t="shared" si="670"/>
        <v>4388.4879418749997</v>
      </c>
      <c r="F982" s="367">
        <f t="shared" si="670"/>
        <v>4388.4879418749997</v>
      </c>
      <c r="G982" s="367">
        <f t="shared" si="670"/>
        <v>4388.4879418749997</v>
      </c>
      <c r="H982" s="367">
        <f t="shared" si="670"/>
        <v>4388.4879418749997</v>
      </c>
      <c r="I982" s="367">
        <f t="shared" si="670"/>
        <v>4388.4879418749997</v>
      </c>
      <c r="J982" s="367">
        <f t="shared" si="670"/>
        <v>4388.4879418749997</v>
      </c>
      <c r="K982" s="367">
        <f t="shared" si="670"/>
        <v>4388.4879418749997</v>
      </c>
      <c r="L982" s="367">
        <f t="shared" si="670"/>
        <v>4388.4879418749997</v>
      </c>
      <c r="M982" s="367">
        <f t="shared" si="670"/>
        <v>0</v>
      </c>
      <c r="N982" s="367">
        <f t="shared" si="670"/>
        <v>0</v>
      </c>
      <c r="O982" s="367">
        <f t="shared" si="670"/>
        <v>0</v>
      </c>
      <c r="P982" s="367">
        <f t="shared" si="670"/>
        <v>0</v>
      </c>
      <c r="Q982" s="367">
        <f t="shared" si="670"/>
        <v>0</v>
      </c>
    </row>
    <row r="983" spans="1:17" ht="14.4">
      <c r="A983" s="364" t="s">
        <v>306</v>
      </c>
      <c r="B983" s="378">
        <f t="shared" si="668"/>
        <v>0</v>
      </c>
      <c r="C983" s="367">
        <f>+'WHRS_Project Scenario'!D956</f>
        <v>0</v>
      </c>
      <c r="D983" s="367">
        <f>+'WHRS_Project Scenario'!E956</f>
        <v>0</v>
      </c>
      <c r="E983" s="367">
        <f>+'WHRS_Project Scenario'!F956</f>
        <v>0</v>
      </c>
      <c r="F983" s="367">
        <f>+'WHRS_Project Scenario'!G956</f>
        <v>0</v>
      </c>
      <c r="G983" s="367">
        <f>+'WHRS_Project Scenario'!H956</f>
        <v>0</v>
      </c>
      <c r="H983" s="367">
        <f>+'WHRS_Project Scenario'!I956</f>
        <v>0</v>
      </c>
      <c r="I983" s="367">
        <f>+'WHRS_Project Scenario'!J956</f>
        <v>0</v>
      </c>
      <c r="J983" s="367">
        <f>+'WHRS_Project Scenario'!K956</f>
        <v>0</v>
      </c>
      <c r="K983" s="367">
        <f>+'WHRS_Project Scenario'!L956</f>
        <v>0</v>
      </c>
      <c r="L983" s="367">
        <f>+'WHRS_Project Scenario'!M956</f>
        <v>0</v>
      </c>
      <c r="M983" s="367">
        <f>+'WHRS_Project Scenario'!N956</f>
        <v>0</v>
      </c>
      <c r="N983" s="367">
        <f>+'WHRS_Project Scenario'!O956</f>
        <v>0</v>
      </c>
      <c r="O983" s="367">
        <f>+'WHRS_Project Scenario'!P956</f>
        <v>0</v>
      </c>
      <c r="P983" s="367">
        <f>+'WHRS_Project Scenario'!Q956</f>
        <v>0</v>
      </c>
      <c r="Q983" s="367">
        <f>+'WHRS_Project Scenario'!R956</f>
        <v>0</v>
      </c>
    </row>
    <row r="984" spans="1:17" ht="14.4">
      <c r="A984" s="364"/>
    </row>
    <row r="985" spans="1:17" ht="14.4">
      <c r="A985" s="364" t="s">
        <v>110</v>
      </c>
      <c r="B985" s="378">
        <f>-'WHRS_Project Scenario'!C8</f>
        <v>-43884.879418749995</v>
      </c>
      <c r="C985" s="367">
        <f>C981+C982+C983</f>
        <v>49919.529082614979</v>
      </c>
      <c r="D985" s="367">
        <f t="shared" ref="D985:Q985" si="671">D981+D982+D983</f>
        <v>51198.566723607946</v>
      </c>
      <c r="E985" s="367">
        <f t="shared" si="671"/>
        <v>52511.882573379502</v>
      </c>
      <c r="F985" s="367">
        <f t="shared" si="671"/>
        <v>53860.395287924948</v>
      </c>
      <c r="G985" s="367">
        <f t="shared" si="671"/>
        <v>55245.0481432202</v>
      </c>
      <c r="H985" s="367">
        <f t="shared" si="671"/>
        <v>56666.80969503738</v>
      </c>
      <c r="I985" s="367">
        <f t="shared" si="671"/>
        <v>58126.674456443252</v>
      </c>
      <c r="J985" s="367">
        <f t="shared" si="671"/>
        <v>59625.663593454796</v>
      </c>
      <c r="K985" s="367">
        <f t="shared" si="671"/>
        <v>61164.825639338262</v>
      </c>
      <c r="L985" s="367">
        <f t="shared" si="671"/>
        <v>62745.237228051396</v>
      </c>
      <c r="M985" s="367">
        <f t="shared" si="671"/>
        <v>62173.759876404525</v>
      </c>
      <c r="N985" s="367">
        <f t="shared" si="671"/>
        <v>63840.016641092174</v>
      </c>
      <c r="O985" s="367">
        <f t="shared" si="671"/>
        <v>65550.92908707344</v>
      </c>
      <c r="P985" s="367">
        <f t="shared" si="671"/>
        <v>67307.693986607002</v>
      </c>
      <c r="Q985" s="367">
        <f t="shared" si="671"/>
        <v>69111.540185448073</v>
      </c>
    </row>
    <row r="986" spans="1:17" ht="15.6">
      <c r="A986" s="364" t="s">
        <v>51</v>
      </c>
      <c r="B986" s="132">
        <f>IRR(B985:Q985)</f>
        <v>1.1631218350174719</v>
      </c>
    </row>
    <row r="987" spans="1:17" ht="15.6">
      <c r="A987" s="364" t="s">
        <v>267</v>
      </c>
      <c r="B987" s="303">
        <f>NPV('Initial Data'!C21/100,B985:Q985)</f>
        <v>304892.48248790449</v>
      </c>
    </row>
    <row r="989" spans="1:17" ht="14.4">
      <c r="A989" s="508" t="s">
        <v>353</v>
      </c>
      <c r="B989" s="509"/>
      <c r="C989" s="509"/>
      <c r="D989" s="509"/>
      <c r="E989" s="509"/>
      <c r="F989" s="509"/>
      <c r="G989" s="509"/>
      <c r="H989" s="509"/>
      <c r="I989" s="509"/>
      <c r="J989" s="509"/>
      <c r="K989" s="509"/>
      <c r="L989" s="509"/>
      <c r="M989" s="509"/>
      <c r="N989" s="509"/>
      <c r="O989" s="509"/>
      <c r="P989" s="509"/>
      <c r="Q989" s="509"/>
    </row>
    <row r="990" spans="1:17" ht="14.4">
      <c r="A990" s="371" t="s">
        <v>357</v>
      </c>
      <c r="B990" s="372"/>
      <c r="C990" s="372"/>
      <c r="D990" s="372"/>
      <c r="E990" s="372"/>
      <c r="F990" s="372"/>
      <c r="G990" s="372"/>
      <c r="H990" s="372"/>
      <c r="I990" s="372"/>
      <c r="J990" s="372"/>
      <c r="K990" s="372"/>
      <c r="L990" s="372"/>
      <c r="M990" s="372"/>
      <c r="N990" s="372"/>
      <c r="O990" s="372"/>
      <c r="P990" s="372"/>
      <c r="Q990" s="372"/>
    </row>
    <row r="991" spans="1:17" ht="27">
      <c r="A991" s="376"/>
      <c r="B991" s="304" t="s">
        <v>35</v>
      </c>
      <c r="C991" s="352" t="s">
        <v>407</v>
      </c>
      <c r="D991" s="352" t="s">
        <v>408</v>
      </c>
      <c r="E991" s="352" t="s">
        <v>409</v>
      </c>
      <c r="F991" s="352" t="s">
        <v>410</v>
      </c>
      <c r="G991" s="352" t="s">
        <v>411</v>
      </c>
      <c r="H991" s="352" t="s">
        <v>412</v>
      </c>
      <c r="I991" s="352" t="s">
        <v>413</v>
      </c>
      <c r="J991" s="352" t="s">
        <v>414</v>
      </c>
      <c r="K991" s="352" t="s">
        <v>415</v>
      </c>
      <c r="L991" s="352" t="s">
        <v>416</v>
      </c>
      <c r="M991" s="352" t="s">
        <v>417</v>
      </c>
      <c r="N991" s="352" t="s">
        <v>418</v>
      </c>
      <c r="O991" s="352" t="s">
        <v>419</v>
      </c>
      <c r="P991" s="352" t="s">
        <v>420</v>
      </c>
      <c r="Q991" s="352" t="s">
        <v>421</v>
      </c>
    </row>
    <row r="992" spans="1:17" ht="14.4">
      <c r="A992" s="363" t="s">
        <v>290</v>
      </c>
      <c r="B992" s="365"/>
      <c r="C992" s="377">
        <f>+'WHRS_Project Scenario'!D15</f>
        <v>215214.92335078961</v>
      </c>
      <c r="D992" s="377">
        <f>+'WHRS_Project Scenario'!E15</f>
        <v>215214.92335078961</v>
      </c>
      <c r="E992" s="377">
        <f>+'WHRS_Project Scenario'!F15</f>
        <v>215214.92335078961</v>
      </c>
      <c r="F992" s="377">
        <f>+'WHRS_Project Scenario'!G15</f>
        <v>215214.92335078961</v>
      </c>
      <c r="G992" s="377">
        <f>+'WHRS_Project Scenario'!H15</f>
        <v>215214.92335078961</v>
      </c>
      <c r="H992" s="377">
        <f>+'WHRS_Project Scenario'!I15</f>
        <v>215214.92335078961</v>
      </c>
      <c r="I992" s="377">
        <f>+'WHRS_Project Scenario'!J15</f>
        <v>215214.92335078961</v>
      </c>
      <c r="J992" s="377">
        <f>+'WHRS_Project Scenario'!K15</f>
        <v>215214.92335078961</v>
      </c>
      <c r="K992" s="377">
        <f>+'WHRS_Project Scenario'!L15</f>
        <v>215214.92335078961</v>
      </c>
      <c r="L992" s="377">
        <f>+'WHRS_Project Scenario'!M15</f>
        <v>215214.92335078961</v>
      </c>
      <c r="M992" s="377">
        <f>+'WHRS_Project Scenario'!N15</f>
        <v>215214.92335078961</v>
      </c>
      <c r="N992" s="377">
        <f>+'WHRS_Project Scenario'!O15</f>
        <v>215214.92335078961</v>
      </c>
      <c r="O992" s="377">
        <f>+'WHRS_Project Scenario'!P15</f>
        <v>215214.92335078961</v>
      </c>
      <c r="P992" s="377">
        <f>+'WHRS_Project Scenario'!Q15</f>
        <v>215214.92335078961</v>
      </c>
      <c r="Q992" s="377">
        <f>+'WHRS_Project Scenario'!R15</f>
        <v>215214.92335078961</v>
      </c>
    </row>
    <row r="993" spans="1:17" ht="14.4">
      <c r="A993" s="364" t="s">
        <v>291</v>
      </c>
      <c r="B993" s="365"/>
      <c r="C993" s="377">
        <f>+'WHRS_Project Scenario'!D16</f>
        <v>70</v>
      </c>
      <c r="D993" s="377">
        <f>+'WHRS_Project Scenario'!E16</f>
        <v>70</v>
      </c>
      <c r="E993" s="377">
        <f>+'WHRS_Project Scenario'!F16</f>
        <v>70</v>
      </c>
      <c r="F993" s="377">
        <f>+'WHRS_Project Scenario'!G16</f>
        <v>70</v>
      </c>
      <c r="G993" s="377">
        <f>+'WHRS_Project Scenario'!H16</f>
        <v>70</v>
      </c>
      <c r="H993" s="377">
        <f>+'WHRS_Project Scenario'!I16</f>
        <v>70</v>
      </c>
      <c r="I993" s="377">
        <f>+'WHRS_Project Scenario'!J16</f>
        <v>70</v>
      </c>
      <c r="J993" s="377">
        <f>+'WHRS_Project Scenario'!K16</f>
        <v>70</v>
      </c>
      <c r="K993" s="377">
        <f>+'WHRS_Project Scenario'!L16</f>
        <v>70</v>
      </c>
      <c r="L993" s="377">
        <f>+'WHRS_Project Scenario'!M16</f>
        <v>70</v>
      </c>
      <c r="M993" s="377">
        <f>+'WHRS_Project Scenario'!N16</f>
        <v>70</v>
      </c>
      <c r="N993" s="377">
        <f>+'WHRS_Project Scenario'!O16</f>
        <v>70</v>
      </c>
      <c r="O993" s="377">
        <f>+'WHRS_Project Scenario'!P16</f>
        <v>70</v>
      </c>
      <c r="P993" s="377">
        <f>+'WHRS_Project Scenario'!Q16</f>
        <v>70</v>
      </c>
      <c r="Q993" s="377">
        <f>+'WHRS_Project Scenario'!R16</f>
        <v>70</v>
      </c>
    </row>
    <row r="994" spans="1:17" ht="14.4">
      <c r="A994" s="366" t="s">
        <v>292</v>
      </c>
      <c r="B994" s="365"/>
      <c r="C994" s="377">
        <f>+'WHRS_Project Scenario'!D17</f>
        <v>6.4285714285714288</v>
      </c>
      <c r="D994" s="377">
        <f>+'WHRS_Project Scenario'!E17</f>
        <v>6.6008571428571425</v>
      </c>
      <c r="E994" s="377">
        <f>+'WHRS_Project Scenario'!F17</f>
        <v>6.7777601142857131</v>
      </c>
      <c r="F994" s="377">
        <f>+'WHRS_Project Scenario'!G17</f>
        <v>6.9594040853485701</v>
      </c>
      <c r="G994" s="377">
        <f>+'WHRS_Project Scenario'!H17</f>
        <v>7.1459161148359112</v>
      </c>
      <c r="H994" s="377">
        <f>+'WHRS_Project Scenario'!I17</f>
        <v>7.3374266667135135</v>
      </c>
      <c r="I994" s="377">
        <f>+'WHRS_Project Scenario'!J17</f>
        <v>7.5340697013814353</v>
      </c>
      <c r="J994" s="377">
        <f>+'WHRS_Project Scenario'!K17</f>
        <v>7.7359827693784569</v>
      </c>
      <c r="K994" s="377">
        <f>+'WHRS_Project Scenario'!L17</f>
        <v>7.943307107597799</v>
      </c>
      <c r="L994" s="377">
        <f>+'WHRS_Project Scenario'!M17</f>
        <v>8.1561877380814192</v>
      </c>
      <c r="M994" s="377">
        <f>+'WHRS_Project Scenario'!N17</f>
        <v>8.3747735694620005</v>
      </c>
      <c r="N994" s="377">
        <f>+'WHRS_Project Scenario'!O17</f>
        <v>8.5992175011235812</v>
      </c>
      <c r="O994" s="377">
        <f>+'WHRS_Project Scenario'!P17</f>
        <v>8.8296765301536926</v>
      </c>
      <c r="P994" s="377">
        <f>+'WHRS_Project Scenario'!Q17</f>
        <v>9.066311861161811</v>
      </c>
      <c r="Q994" s="377">
        <f>+'WHRS_Project Scenario'!R17</f>
        <v>9.3092890190409463</v>
      </c>
    </row>
    <row r="995" spans="1:17" ht="14.4">
      <c r="A995" s="366" t="s">
        <v>293</v>
      </c>
      <c r="B995" s="365"/>
      <c r="C995" s="377">
        <f>+C993*C994</f>
        <v>450</v>
      </c>
      <c r="D995" s="377">
        <f t="shared" ref="D995" si="672">+D993*D994</f>
        <v>462.06</v>
      </c>
      <c r="E995" s="377">
        <f t="shared" ref="E995" si="673">+E993*E994</f>
        <v>474.44320799999991</v>
      </c>
      <c r="F995" s="377">
        <f t="shared" ref="F995" si="674">+F993*F994</f>
        <v>487.15828597439992</v>
      </c>
      <c r="G995" s="377">
        <f t="shared" ref="G995" si="675">+G993*G994</f>
        <v>500.21412803851376</v>
      </c>
      <c r="H995" s="377">
        <f t="shared" ref="H995" si="676">+H993*H994</f>
        <v>513.61986666994596</v>
      </c>
      <c r="I995" s="377">
        <f t="shared" ref="I995" si="677">+I993*I994</f>
        <v>527.3848790967005</v>
      </c>
      <c r="J995" s="377">
        <f t="shared" ref="J995" si="678">+J993*J994</f>
        <v>541.51879385649192</v>
      </c>
      <c r="K995" s="377">
        <f t="shared" ref="K995" si="679">+K993*K994</f>
        <v>556.03149753184596</v>
      </c>
      <c r="L995" s="377">
        <f t="shared" ref="L995" si="680">+L993*L994</f>
        <v>570.9331416656994</v>
      </c>
      <c r="M995" s="377">
        <f t="shared" ref="M995" si="681">+M993*M994</f>
        <v>586.23414986234002</v>
      </c>
      <c r="N995" s="377">
        <f t="shared" ref="N995" si="682">+N993*N994</f>
        <v>601.94522507865065</v>
      </c>
      <c r="O995" s="377">
        <f t="shared" ref="O995" si="683">+O993*O994</f>
        <v>618.0773571107585</v>
      </c>
      <c r="P995" s="377">
        <f t="shared" ref="P995" si="684">+P993*P994</f>
        <v>634.64183028132675</v>
      </c>
      <c r="Q995" s="377">
        <f t="shared" ref="Q995" si="685">+Q993*Q994</f>
        <v>651.65023133286627</v>
      </c>
    </row>
    <row r="996" spans="1:17" ht="14.4">
      <c r="A996" s="370"/>
      <c r="B996" s="373"/>
      <c r="C996" s="373"/>
      <c r="D996" s="373"/>
      <c r="E996" s="373"/>
      <c r="F996" s="373"/>
      <c r="G996" s="373"/>
      <c r="H996" s="373"/>
      <c r="I996" s="373"/>
      <c r="J996" s="373"/>
      <c r="K996" s="373"/>
      <c r="L996" s="373"/>
      <c r="M996" s="373"/>
      <c r="N996" s="373"/>
      <c r="O996" s="373"/>
      <c r="P996" s="373"/>
      <c r="Q996" s="373"/>
    </row>
    <row r="997" spans="1:17" ht="14.4">
      <c r="A997" s="366" t="s">
        <v>294</v>
      </c>
      <c r="B997" s="377">
        <f>+SUM(C997:Q997)</f>
        <v>1759578.4023479735</v>
      </c>
      <c r="C997" s="377">
        <f>C992*C995/1000*'Initial Data'!$C$34/'Initial Data'!$C$33</f>
        <v>96846.715507855319</v>
      </c>
      <c r="D997" s="377">
        <f>D992*D995/1000*'Initial Data'!$C$34/'Initial Data'!$C$33</f>
        <v>99442.207483465856</v>
      </c>
      <c r="E997" s="377">
        <f>E992*E995/1000*'Initial Data'!$C$34/'Initial Data'!$C$33</f>
        <v>102107.25864402272</v>
      </c>
      <c r="F997" s="377">
        <f>F992*F995/1000*'Initial Data'!$C$34/'Initial Data'!$C$33</f>
        <v>104843.73317568253</v>
      </c>
      <c r="G997" s="377">
        <f>G992*G995/1000*'Initial Data'!$C$34/'Initial Data'!$C$33</f>
        <v>107653.5452247908</v>
      </c>
      <c r="H997" s="377">
        <f>H992*H995/1000*'Initial Data'!$C$34/'Initial Data'!$C$33</f>
        <v>110538.66023681519</v>
      </c>
      <c r="I997" s="377">
        <f>I992*I995/1000*'Initial Data'!$C$34/'Initial Data'!$C$33</f>
        <v>113501.09633116184</v>
      </c>
      <c r="J997" s="377">
        <f>J992*J995/1000*'Initial Data'!$C$34/'Initial Data'!$C$33</f>
        <v>116542.92571283695</v>
      </c>
      <c r="K997" s="377">
        <f>K992*K995/1000*'Initial Data'!$C$34/'Initial Data'!$C$33</f>
        <v>119666.27612194099</v>
      </c>
      <c r="L997" s="377">
        <f>L992*L995/1000*'Initial Data'!$C$34/'Initial Data'!$C$33</f>
        <v>122873.332322009</v>
      </c>
      <c r="M997" s="377">
        <f>M992*M995/1000*'Initial Data'!$C$34/'Initial Data'!$C$33</f>
        <v>126166.33762823879</v>
      </c>
      <c r="N997" s="377">
        <f>N992*N995/1000*'Initial Data'!$C$34/'Initial Data'!$C$33</f>
        <v>129547.5954766756</v>
      </c>
      <c r="O997" s="377">
        <f>O992*O995/1000*'Initial Data'!$C$34/'Initial Data'!$C$33</f>
        <v>133019.47103545049</v>
      </c>
      <c r="P997" s="377">
        <f>P992*P995/1000*'Initial Data'!$C$34/'Initial Data'!$C$33</f>
        <v>136584.39285920057</v>
      </c>
      <c r="Q997" s="377">
        <f>Q992*Q995/1000*'Initial Data'!$C$34/'Initial Data'!$C$33</f>
        <v>140244.85458782714</v>
      </c>
    </row>
    <row r="998" spans="1:17" ht="14.4">
      <c r="A998" s="370"/>
      <c r="B998" s="373"/>
      <c r="C998" s="373"/>
      <c r="D998" s="373"/>
      <c r="E998" s="373"/>
      <c r="F998" s="373"/>
      <c r="G998" s="373"/>
      <c r="H998" s="373"/>
      <c r="I998" s="373"/>
      <c r="J998" s="373"/>
      <c r="K998" s="373"/>
      <c r="L998" s="373"/>
      <c r="M998" s="373"/>
      <c r="N998" s="373"/>
      <c r="O998" s="373"/>
      <c r="P998" s="373"/>
      <c r="Q998" s="373"/>
    </row>
    <row r="999" spans="1:17" ht="14.4">
      <c r="A999" s="366" t="s">
        <v>295</v>
      </c>
      <c r="B999" s="377">
        <f>+SUM(C999:Q999)</f>
        <v>1759578.4023479735</v>
      </c>
      <c r="C999" s="377">
        <f>+C997</f>
        <v>96846.715507855319</v>
      </c>
      <c r="D999" s="377">
        <f t="shared" ref="D999:Q999" si="686">+D997</f>
        <v>99442.207483465856</v>
      </c>
      <c r="E999" s="377">
        <f t="shared" si="686"/>
        <v>102107.25864402272</v>
      </c>
      <c r="F999" s="377">
        <f t="shared" si="686"/>
        <v>104843.73317568253</v>
      </c>
      <c r="G999" s="377">
        <f t="shared" si="686"/>
        <v>107653.5452247908</v>
      </c>
      <c r="H999" s="377">
        <f t="shared" si="686"/>
        <v>110538.66023681519</v>
      </c>
      <c r="I999" s="377">
        <f t="shared" si="686"/>
        <v>113501.09633116184</v>
      </c>
      <c r="J999" s="377">
        <f t="shared" si="686"/>
        <v>116542.92571283695</v>
      </c>
      <c r="K999" s="377">
        <f t="shared" si="686"/>
        <v>119666.27612194099</v>
      </c>
      <c r="L999" s="377">
        <f t="shared" si="686"/>
        <v>122873.332322009</v>
      </c>
      <c r="M999" s="377">
        <f t="shared" si="686"/>
        <v>126166.33762823879</v>
      </c>
      <c r="N999" s="377">
        <f t="shared" si="686"/>
        <v>129547.5954766756</v>
      </c>
      <c r="O999" s="377">
        <f t="shared" si="686"/>
        <v>133019.47103545049</v>
      </c>
      <c r="P999" s="377">
        <f t="shared" si="686"/>
        <v>136584.39285920057</v>
      </c>
      <c r="Q999" s="377">
        <f t="shared" si="686"/>
        <v>140244.85458782714</v>
      </c>
    </row>
    <row r="1000" spans="1:17" ht="14.4">
      <c r="A1000" s="370"/>
      <c r="B1000" s="374"/>
      <c r="C1000" s="374"/>
      <c r="D1000" s="374"/>
      <c r="E1000" s="374"/>
      <c r="F1000" s="374"/>
      <c r="G1000" s="374"/>
      <c r="H1000" s="374"/>
      <c r="I1000" s="374"/>
      <c r="J1000" s="374"/>
      <c r="K1000" s="374"/>
      <c r="L1000" s="374"/>
      <c r="M1000" s="374"/>
      <c r="N1000" s="374"/>
      <c r="O1000" s="374"/>
      <c r="P1000" s="374"/>
      <c r="Q1000" s="374"/>
    </row>
    <row r="1001" spans="1:17" ht="14.4">
      <c r="A1001" s="366" t="s">
        <v>68</v>
      </c>
      <c r="B1001" s="368"/>
      <c r="C1001" s="368"/>
      <c r="D1001" s="368"/>
      <c r="E1001" s="368"/>
      <c r="F1001" s="368"/>
      <c r="G1001" s="368"/>
      <c r="H1001" s="368"/>
      <c r="I1001" s="368"/>
      <c r="J1001" s="368"/>
      <c r="K1001" s="368"/>
      <c r="L1001" s="368"/>
      <c r="M1001" s="368"/>
      <c r="N1001" s="368"/>
      <c r="O1001" s="368"/>
      <c r="P1001" s="368"/>
      <c r="Q1001" s="368"/>
    </row>
    <row r="1002" spans="1:17" ht="14.4">
      <c r="A1002" s="366" t="s">
        <v>296</v>
      </c>
      <c r="B1002" s="378">
        <f>+SUM(C1002:Q1002)</f>
        <v>11529.370291765843</v>
      </c>
      <c r="C1002" s="367">
        <f>SUM('Initial Data'!$C$77:$C$80)/'Initial Data'!$C$14/1000</f>
        <v>634.57339732142862</v>
      </c>
      <c r="D1002" s="367">
        <f>+C1002*(1+'Initial Data'!$C$20/100)</f>
        <v>651.57996436964288</v>
      </c>
      <c r="E1002" s="367">
        <f>+D1002*(1+'Initial Data'!$C$20/100)</f>
        <v>669.0423074147493</v>
      </c>
      <c r="F1002" s="367">
        <f>+E1002*(1+'Initial Data'!$C$20/100)</f>
        <v>686.97264125346453</v>
      </c>
      <c r="G1002" s="367">
        <f>+F1002*(1+'Initial Data'!$C$20/100)</f>
        <v>705.38350803905735</v>
      </c>
      <c r="H1002" s="367">
        <f>+G1002*(1+'Initial Data'!$C$20/100)</f>
        <v>724.28778605450407</v>
      </c>
      <c r="I1002" s="367">
        <f>+H1002*(1+'Initial Data'!$C$20/100)</f>
        <v>743.6986987207647</v>
      </c>
      <c r="J1002" s="367">
        <f>+I1002*(1+'Initial Data'!$C$20/100)</f>
        <v>763.62982384648114</v>
      </c>
      <c r="K1002" s="367">
        <f>+J1002*(1+'Initial Data'!$C$20/100)</f>
        <v>784.09510312556677</v>
      </c>
      <c r="L1002" s="367">
        <f>+K1002*(1+'Initial Data'!$C$20/100)</f>
        <v>805.10885188933196</v>
      </c>
      <c r="M1002" s="367">
        <f>+L1002*(1+'Initial Data'!$C$20/100)</f>
        <v>826.68576911996604</v>
      </c>
      <c r="N1002" s="367">
        <f>+M1002*(1+'Initial Data'!$C$20/100)</f>
        <v>848.8409477323811</v>
      </c>
      <c r="O1002" s="367">
        <f>+N1002*(1+'Initial Data'!$C$20/100)</f>
        <v>871.58988513160887</v>
      </c>
      <c r="P1002" s="367">
        <f>+O1002*(1+'Initial Data'!$C$20/100)</f>
        <v>894.94849405313596</v>
      </c>
      <c r="Q1002" s="367">
        <f>+P1002*(1+'Initial Data'!$C$20/100)</f>
        <v>918.93311369375999</v>
      </c>
    </row>
    <row r="1003" spans="1:17" ht="14.4">
      <c r="A1003" s="366" t="s">
        <v>297</v>
      </c>
      <c r="B1003" s="378">
        <f>+SUM(C1003:Q1003)</f>
        <v>13836.767075562186</v>
      </c>
      <c r="C1003" s="367">
        <f>('Initial Data'!$C$82/1000+('Initial Data'!$C$83*'Initial Data'!$C$15/'Initial Data'!$C$14)/1000+'Initial Data'!$C$84/'Initial Data'!$C$14/1000)</f>
        <v>761.57188717892859</v>
      </c>
      <c r="D1003" s="367">
        <f>+C1003*(1+'Initial Data'!$C$20/100)</f>
        <v>781.98201375532381</v>
      </c>
      <c r="E1003" s="367">
        <f>+D1003*(1+'Initial Data'!$C$20/100)</f>
        <v>802.9391317239664</v>
      </c>
      <c r="F1003" s="367">
        <f>+E1003*(1+'Initial Data'!$C$20/100)</f>
        <v>824.45790045416868</v>
      </c>
      <c r="G1003" s="367">
        <f>+F1003*(1+'Initial Data'!$C$20/100)</f>
        <v>846.55337218634031</v>
      </c>
      <c r="H1003" s="367">
        <f>+G1003*(1+'Initial Data'!$C$20/100)</f>
        <v>869.24100256093413</v>
      </c>
      <c r="I1003" s="367">
        <f>+H1003*(1+'Initial Data'!$C$20/100)</f>
        <v>892.53666142956706</v>
      </c>
      <c r="J1003" s="367">
        <f>+I1003*(1+'Initial Data'!$C$20/100)</f>
        <v>916.45664395587937</v>
      </c>
      <c r="K1003" s="367">
        <f>+J1003*(1+'Initial Data'!$C$20/100)</f>
        <v>941.01768201389689</v>
      </c>
      <c r="L1003" s="367">
        <f>+K1003*(1+'Initial Data'!$C$20/100)</f>
        <v>966.23695589186923</v>
      </c>
      <c r="M1003" s="367">
        <f>+L1003*(1+'Initial Data'!$C$20/100)</f>
        <v>992.1321063097713</v>
      </c>
      <c r="N1003" s="367">
        <f>+M1003*(1+'Initial Data'!$C$20/100)</f>
        <v>1018.7212467588731</v>
      </c>
      <c r="O1003" s="367">
        <f>+N1003*(1+'Initial Data'!$C$20/100)</f>
        <v>1046.0229761720109</v>
      </c>
      <c r="P1003" s="367">
        <f>+O1003*(1+'Initial Data'!$C$20/100)</f>
        <v>1074.0563919334206</v>
      </c>
      <c r="Q1003" s="367">
        <f>+P1003*(1+'Initial Data'!$C$20/100)</f>
        <v>1102.8411032372362</v>
      </c>
    </row>
    <row r="1004" spans="1:17" ht="14.4">
      <c r="A1004" s="370"/>
      <c r="B1004" s="369"/>
      <c r="C1004" s="382"/>
      <c r="D1004" s="369"/>
      <c r="E1004" s="369"/>
      <c r="F1004" s="369"/>
      <c r="G1004" s="369"/>
      <c r="H1004" s="369"/>
      <c r="I1004" s="369"/>
      <c r="J1004" s="369"/>
      <c r="K1004" s="369"/>
      <c r="L1004" s="369"/>
      <c r="M1004" s="369"/>
      <c r="N1004" s="369"/>
      <c r="O1004" s="369"/>
      <c r="P1004" s="369"/>
      <c r="Q1004" s="369"/>
    </row>
    <row r="1005" spans="1:17" ht="14.4">
      <c r="A1005" s="366" t="s">
        <v>71</v>
      </c>
      <c r="B1005" s="379"/>
      <c r="C1005" s="379"/>
      <c r="D1005" s="379"/>
      <c r="E1005" s="379"/>
      <c r="F1005" s="379"/>
      <c r="G1005" s="379"/>
      <c r="H1005" s="379"/>
      <c r="I1005" s="379"/>
      <c r="J1005" s="379"/>
      <c r="K1005" s="379"/>
      <c r="L1005" s="379"/>
      <c r="M1005" s="379"/>
      <c r="N1005" s="379"/>
      <c r="O1005" s="379"/>
      <c r="P1005" s="379"/>
      <c r="Q1005" s="379"/>
    </row>
    <row r="1006" spans="1:17" ht="14.4">
      <c r="A1006" s="370"/>
      <c r="B1006" s="379"/>
      <c r="C1006" s="379"/>
      <c r="D1006" s="379"/>
      <c r="E1006" s="379"/>
      <c r="F1006" s="379"/>
      <c r="G1006" s="379"/>
      <c r="H1006" s="379"/>
      <c r="I1006" s="379"/>
      <c r="J1006" s="379"/>
      <c r="K1006" s="379"/>
      <c r="L1006" s="379"/>
      <c r="M1006" s="379"/>
      <c r="N1006" s="379"/>
      <c r="O1006" s="379"/>
      <c r="P1006" s="379"/>
      <c r="Q1006" s="379"/>
    </row>
    <row r="1007" spans="1:17" ht="14.4">
      <c r="A1007" s="366" t="s">
        <v>298</v>
      </c>
      <c r="B1007" s="378">
        <f>+SUM(C1007:Q1007)</f>
        <v>25366.137367328029</v>
      </c>
      <c r="C1007" s="367">
        <f>SUM(C1002:C1003)</f>
        <v>1396.1452845003573</v>
      </c>
      <c r="D1007" s="367">
        <f>SUM(D1002:D1003)</f>
        <v>1433.5619781249666</v>
      </c>
      <c r="E1007" s="367">
        <f t="shared" ref="E1007:Q1007" si="687">SUM(E1002:E1003)</f>
        <v>1471.9814391387158</v>
      </c>
      <c r="F1007" s="367">
        <f t="shared" si="687"/>
        <v>1511.4305417076332</v>
      </c>
      <c r="G1007" s="367">
        <f t="shared" si="687"/>
        <v>1551.9368802253975</v>
      </c>
      <c r="H1007" s="367">
        <f t="shared" si="687"/>
        <v>1593.5287886154383</v>
      </c>
      <c r="I1007" s="367">
        <f t="shared" si="687"/>
        <v>1636.2353601503319</v>
      </c>
      <c r="J1007" s="367">
        <f t="shared" si="687"/>
        <v>1680.0864678023604</v>
      </c>
      <c r="K1007" s="367">
        <f t="shared" si="687"/>
        <v>1725.1127851394635</v>
      </c>
      <c r="L1007" s="367">
        <f t="shared" si="687"/>
        <v>1771.3458077812011</v>
      </c>
      <c r="M1007" s="367">
        <f t="shared" si="687"/>
        <v>1818.8178754297373</v>
      </c>
      <c r="N1007" s="367">
        <f t="shared" si="687"/>
        <v>1867.5621944912541</v>
      </c>
      <c r="O1007" s="367">
        <f t="shared" si="687"/>
        <v>1917.6128613036199</v>
      </c>
      <c r="P1007" s="367">
        <f t="shared" si="687"/>
        <v>1969.0048859865565</v>
      </c>
      <c r="Q1007" s="367">
        <f t="shared" si="687"/>
        <v>2021.7742169309963</v>
      </c>
    </row>
    <row r="1008" spans="1:17" ht="14.4">
      <c r="A1008" s="370"/>
      <c r="B1008" s="379"/>
      <c r="C1008" s="379"/>
      <c r="D1008" s="379"/>
      <c r="E1008" s="379"/>
      <c r="F1008" s="379"/>
      <c r="G1008" s="379"/>
      <c r="H1008" s="379"/>
      <c r="I1008" s="379"/>
      <c r="J1008" s="379"/>
      <c r="K1008" s="379"/>
      <c r="L1008" s="379"/>
      <c r="M1008" s="379"/>
      <c r="N1008" s="379"/>
      <c r="O1008" s="379"/>
      <c r="P1008" s="379"/>
      <c r="Q1008" s="379"/>
    </row>
    <row r="1009" spans="1:17" ht="14.4">
      <c r="A1009" s="366" t="s">
        <v>299</v>
      </c>
      <c r="B1009" s="378">
        <f t="shared" ref="B1009:B1010" si="688">+SUM(C1009:Q1009)</f>
        <v>43884.879418749995</v>
      </c>
      <c r="C1009" s="367">
        <f>'WHRS_Project Scenario'!$C$8/'Initial Data'!$C$19</f>
        <v>4388.4879418749997</v>
      </c>
      <c r="D1009" s="367">
        <f>'WHRS_Project Scenario'!$C$8/'Initial Data'!$C$19</f>
        <v>4388.4879418749997</v>
      </c>
      <c r="E1009" s="367">
        <f>'WHRS_Project Scenario'!$C$8/'Initial Data'!$C$19</f>
        <v>4388.4879418749997</v>
      </c>
      <c r="F1009" s="367">
        <f>'WHRS_Project Scenario'!$C$8/'Initial Data'!$C$19</f>
        <v>4388.4879418749997</v>
      </c>
      <c r="G1009" s="367">
        <f>'WHRS_Project Scenario'!$C$8/'Initial Data'!$C$19</f>
        <v>4388.4879418749997</v>
      </c>
      <c r="H1009" s="367">
        <f>'WHRS_Project Scenario'!$C$8/'Initial Data'!$C$19</f>
        <v>4388.4879418749997</v>
      </c>
      <c r="I1009" s="367">
        <f>'WHRS_Project Scenario'!$C$8/'Initial Data'!$C$19</f>
        <v>4388.4879418749997</v>
      </c>
      <c r="J1009" s="367">
        <f>'WHRS_Project Scenario'!$C$8/'Initial Data'!$C$19</f>
        <v>4388.4879418749997</v>
      </c>
      <c r="K1009" s="367">
        <f>'WHRS_Project Scenario'!$C$8/'Initial Data'!$C$19</f>
        <v>4388.4879418749997</v>
      </c>
      <c r="L1009" s="367">
        <f>'WHRS_Project Scenario'!$C$8/'Initial Data'!$C$19</f>
        <v>4388.4879418749997</v>
      </c>
      <c r="M1009" s="367">
        <v>0</v>
      </c>
      <c r="N1009" s="367">
        <v>0</v>
      </c>
      <c r="O1009" s="367">
        <v>0</v>
      </c>
      <c r="P1009" s="367">
        <v>0</v>
      </c>
      <c r="Q1009" s="367">
        <v>0</v>
      </c>
    </row>
    <row r="1010" spans="1:17" ht="14.4">
      <c r="A1010" s="366" t="s">
        <v>300</v>
      </c>
      <c r="B1010" s="378">
        <f t="shared" si="688"/>
        <v>43884.879418749995</v>
      </c>
      <c r="C1010" s="367">
        <f>SUM(C1009:C1009)</f>
        <v>4388.4879418749997</v>
      </c>
      <c r="D1010" s="367">
        <f t="shared" ref="D1010:Q1010" si="689">SUM(D1009:D1009)</f>
        <v>4388.4879418749997</v>
      </c>
      <c r="E1010" s="367">
        <f t="shared" si="689"/>
        <v>4388.4879418749997</v>
      </c>
      <c r="F1010" s="367">
        <f t="shared" si="689"/>
        <v>4388.4879418749997</v>
      </c>
      <c r="G1010" s="367">
        <f t="shared" si="689"/>
        <v>4388.4879418749997</v>
      </c>
      <c r="H1010" s="367">
        <f t="shared" si="689"/>
        <v>4388.4879418749997</v>
      </c>
      <c r="I1010" s="367">
        <f t="shared" si="689"/>
        <v>4388.4879418749997</v>
      </c>
      <c r="J1010" s="367">
        <f t="shared" si="689"/>
        <v>4388.4879418749997</v>
      </c>
      <c r="K1010" s="367">
        <f t="shared" si="689"/>
        <v>4388.4879418749997</v>
      </c>
      <c r="L1010" s="367">
        <f t="shared" si="689"/>
        <v>4388.4879418749997</v>
      </c>
      <c r="M1010" s="367">
        <f t="shared" si="689"/>
        <v>0</v>
      </c>
      <c r="N1010" s="367">
        <f t="shared" si="689"/>
        <v>0</v>
      </c>
      <c r="O1010" s="367">
        <f t="shared" si="689"/>
        <v>0</v>
      </c>
      <c r="P1010" s="367">
        <f t="shared" si="689"/>
        <v>0</v>
      </c>
      <c r="Q1010" s="367">
        <f t="shared" si="689"/>
        <v>0</v>
      </c>
    </row>
    <row r="1011" spans="1:17" ht="14.4">
      <c r="A1011" s="370"/>
      <c r="B1011" s="379"/>
      <c r="C1011" s="379"/>
      <c r="D1011" s="379"/>
      <c r="E1011" s="379"/>
      <c r="F1011" s="379"/>
      <c r="G1011" s="379"/>
      <c r="H1011" s="379"/>
      <c r="I1011" s="379"/>
      <c r="J1011" s="379"/>
      <c r="K1011" s="379"/>
      <c r="L1011" s="379"/>
      <c r="M1011" s="379"/>
      <c r="N1011" s="379"/>
      <c r="O1011" s="379"/>
      <c r="P1011" s="379"/>
      <c r="Q1011" s="379"/>
    </row>
    <row r="1012" spans="1:17" ht="14.4">
      <c r="A1012" s="366" t="s">
        <v>301</v>
      </c>
      <c r="B1012" s="378">
        <f>+SUM(C1012:Q1012)</f>
        <v>69251.016786078035</v>
      </c>
      <c r="C1012" s="367">
        <f>+C1007+C1010</f>
        <v>5784.6332263753575</v>
      </c>
      <c r="D1012" s="367">
        <f>+D1007+D1010</f>
        <v>5822.0499199999667</v>
      </c>
      <c r="E1012" s="367">
        <f t="shared" ref="E1012:Q1012" si="690">+E1007+E1010</f>
        <v>5860.469381013716</v>
      </c>
      <c r="F1012" s="367">
        <f t="shared" si="690"/>
        <v>5899.9184835826327</v>
      </c>
      <c r="G1012" s="367">
        <f t="shared" si="690"/>
        <v>5940.4248221003973</v>
      </c>
      <c r="H1012" s="367">
        <f t="shared" si="690"/>
        <v>5982.016730490438</v>
      </c>
      <c r="I1012" s="367">
        <f t="shared" si="690"/>
        <v>6024.7233020253316</v>
      </c>
      <c r="J1012" s="367">
        <f t="shared" si="690"/>
        <v>6068.5744096773597</v>
      </c>
      <c r="K1012" s="367">
        <f t="shared" si="690"/>
        <v>6113.6007270144637</v>
      </c>
      <c r="L1012" s="367">
        <f t="shared" si="690"/>
        <v>6159.8337496562008</v>
      </c>
      <c r="M1012" s="367">
        <f t="shared" si="690"/>
        <v>1818.8178754297373</v>
      </c>
      <c r="N1012" s="367">
        <f t="shared" si="690"/>
        <v>1867.5621944912541</v>
      </c>
      <c r="O1012" s="367">
        <f t="shared" si="690"/>
        <v>1917.6128613036199</v>
      </c>
      <c r="P1012" s="367">
        <f t="shared" si="690"/>
        <v>1969.0048859865565</v>
      </c>
      <c r="Q1012" s="367">
        <f t="shared" si="690"/>
        <v>2021.7742169309963</v>
      </c>
    </row>
    <row r="1013" spans="1:17" ht="14.4">
      <c r="A1013" s="370"/>
      <c r="B1013" s="379"/>
      <c r="C1013" s="379"/>
      <c r="D1013" s="379"/>
      <c r="E1013" s="379"/>
      <c r="F1013" s="379"/>
      <c r="G1013" s="379"/>
      <c r="H1013" s="379"/>
      <c r="I1013" s="379"/>
      <c r="J1013" s="379"/>
      <c r="K1013" s="379"/>
      <c r="L1013" s="379"/>
      <c r="M1013" s="379"/>
      <c r="N1013" s="379"/>
      <c r="O1013" s="379"/>
      <c r="P1013" s="379"/>
      <c r="Q1013" s="379"/>
    </row>
    <row r="1014" spans="1:17" ht="14.4">
      <c r="A1014" s="364" t="s">
        <v>302</v>
      </c>
      <c r="B1014" s="378">
        <f>+SUM(C1014:Q1014)</f>
        <v>1690327.3855618956</v>
      </c>
      <c r="C1014" s="367">
        <f>+C999-C1012</f>
        <v>91062.082281479961</v>
      </c>
      <c r="D1014" s="367">
        <f>+D999-D1012</f>
        <v>93620.157563465895</v>
      </c>
      <c r="E1014" s="367">
        <f t="shared" ref="E1014:Q1014" si="691">+E999-E1012</f>
        <v>96246.789263009006</v>
      </c>
      <c r="F1014" s="367">
        <f t="shared" si="691"/>
        <v>98943.814692099899</v>
      </c>
      <c r="G1014" s="367">
        <f t="shared" si="691"/>
        <v>101713.1204026904</v>
      </c>
      <c r="H1014" s="367">
        <f t="shared" si="691"/>
        <v>104556.64350632476</v>
      </c>
      <c r="I1014" s="367">
        <f t="shared" si="691"/>
        <v>107476.37302913651</v>
      </c>
      <c r="J1014" s="367">
        <f t="shared" si="691"/>
        <v>110474.35130315959</v>
      </c>
      <c r="K1014" s="367">
        <f t="shared" si="691"/>
        <v>113552.67539492653</v>
      </c>
      <c r="L1014" s="367">
        <f t="shared" si="691"/>
        <v>116713.49857235279</v>
      </c>
      <c r="M1014" s="367">
        <f t="shared" si="691"/>
        <v>124347.51975280905</v>
      </c>
      <c r="N1014" s="367">
        <f t="shared" si="691"/>
        <v>127680.03328218435</v>
      </c>
      <c r="O1014" s="367">
        <f t="shared" si="691"/>
        <v>131101.85817414688</v>
      </c>
      <c r="P1014" s="367">
        <f t="shared" si="691"/>
        <v>134615.387973214</v>
      </c>
      <c r="Q1014" s="367">
        <f t="shared" si="691"/>
        <v>138223.08037089615</v>
      </c>
    </row>
    <row r="1015" spans="1:17" ht="14.4">
      <c r="A1015" s="364"/>
    </row>
    <row r="1016" spans="1:17" ht="14.4">
      <c r="A1016" s="364" t="s">
        <v>222</v>
      </c>
      <c r="B1016" s="402">
        <f>F19</f>
        <v>0.4</v>
      </c>
      <c r="C1016" s="367">
        <f>IF((+$B$1016*C1014)&lt;0,"0",(+$B$1016*C1014))</f>
        <v>36424.832912591984</v>
      </c>
      <c r="D1016" s="367">
        <f t="shared" ref="D1016:Q1016" si="692">IF((+$B$1016*D1014)&lt;0,"0",(+$B$1016*D1014))</f>
        <v>37448.063025386356</v>
      </c>
      <c r="E1016" s="367">
        <f t="shared" si="692"/>
        <v>38498.715705203605</v>
      </c>
      <c r="F1016" s="367">
        <f t="shared" si="692"/>
        <v>39577.525876839965</v>
      </c>
      <c r="G1016" s="367">
        <f t="shared" si="692"/>
        <v>40685.248161076161</v>
      </c>
      <c r="H1016" s="367">
        <f t="shared" si="692"/>
        <v>41822.657402529905</v>
      </c>
      <c r="I1016" s="367">
        <f t="shared" si="692"/>
        <v>42990.549211654608</v>
      </c>
      <c r="J1016" s="367">
        <f t="shared" si="692"/>
        <v>44189.74052126384</v>
      </c>
      <c r="K1016" s="367">
        <f t="shared" si="692"/>
        <v>45421.070157970615</v>
      </c>
      <c r="L1016" s="367">
        <f t="shared" si="692"/>
        <v>46685.39942894112</v>
      </c>
      <c r="M1016" s="367">
        <f t="shared" si="692"/>
        <v>49739.007901123623</v>
      </c>
      <c r="N1016" s="367">
        <f t="shared" si="692"/>
        <v>51072.013312873743</v>
      </c>
      <c r="O1016" s="367">
        <f t="shared" si="692"/>
        <v>52440.743269658757</v>
      </c>
      <c r="P1016" s="367">
        <f t="shared" si="692"/>
        <v>53846.155189285608</v>
      </c>
      <c r="Q1016" s="367">
        <f t="shared" si="692"/>
        <v>55289.23214835846</v>
      </c>
    </row>
    <row r="1017" spans="1:17" ht="14.4">
      <c r="A1017" s="364" t="s">
        <v>303</v>
      </c>
      <c r="B1017" s="378">
        <f>+SUM(C1017:Q1017)</f>
        <v>676130.95422475843</v>
      </c>
      <c r="C1017" s="367">
        <f>SUM(C1016:C1016)</f>
        <v>36424.832912591984</v>
      </c>
      <c r="D1017" s="367">
        <f t="shared" ref="D1017:Q1017" si="693">SUM(D1016:D1016)</f>
        <v>37448.063025386356</v>
      </c>
      <c r="E1017" s="367">
        <f t="shared" si="693"/>
        <v>38498.715705203605</v>
      </c>
      <c r="F1017" s="367">
        <f t="shared" si="693"/>
        <v>39577.525876839965</v>
      </c>
      <c r="G1017" s="367">
        <f t="shared" si="693"/>
        <v>40685.248161076161</v>
      </c>
      <c r="H1017" s="367">
        <f t="shared" si="693"/>
        <v>41822.657402529905</v>
      </c>
      <c r="I1017" s="367">
        <f t="shared" si="693"/>
        <v>42990.549211654608</v>
      </c>
      <c r="J1017" s="367">
        <f t="shared" si="693"/>
        <v>44189.74052126384</v>
      </c>
      <c r="K1017" s="367">
        <f t="shared" si="693"/>
        <v>45421.070157970615</v>
      </c>
      <c r="L1017" s="367">
        <f t="shared" si="693"/>
        <v>46685.39942894112</v>
      </c>
      <c r="M1017" s="367">
        <f t="shared" si="693"/>
        <v>49739.007901123623</v>
      </c>
      <c r="N1017" s="367">
        <f t="shared" si="693"/>
        <v>51072.013312873743</v>
      </c>
      <c r="O1017" s="367">
        <f t="shared" si="693"/>
        <v>52440.743269658757</v>
      </c>
      <c r="P1017" s="367">
        <f t="shared" si="693"/>
        <v>53846.155189285608</v>
      </c>
      <c r="Q1017" s="367">
        <f t="shared" si="693"/>
        <v>55289.23214835846</v>
      </c>
    </row>
    <row r="1018" spans="1:17" ht="14.4">
      <c r="A1018" s="369"/>
    </row>
    <row r="1019" spans="1:17" ht="14.4">
      <c r="A1019" s="364" t="s">
        <v>304</v>
      </c>
      <c r="B1019" s="378">
        <f t="shared" ref="B1019:B1021" si="694">+SUM(C1019:Q1019)</f>
        <v>1014196.4313371376</v>
      </c>
      <c r="C1019" s="367">
        <f>C1014-C1017</f>
        <v>54637.249368887977</v>
      </c>
      <c r="D1019" s="367">
        <f t="shared" ref="D1019:Q1019" si="695">D1014-D1017</f>
        <v>56172.094538079538</v>
      </c>
      <c r="E1019" s="367">
        <f t="shared" si="695"/>
        <v>57748.073557805401</v>
      </c>
      <c r="F1019" s="367">
        <f t="shared" si="695"/>
        <v>59366.288815259933</v>
      </c>
      <c r="G1019" s="367">
        <f t="shared" si="695"/>
        <v>61027.872241614241</v>
      </c>
      <c r="H1019" s="367">
        <f t="shared" si="695"/>
        <v>62733.986103794858</v>
      </c>
      <c r="I1019" s="367">
        <f t="shared" si="695"/>
        <v>64485.823817481898</v>
      </c>
      <c r="J1019" s="367">
        <f t="shared" si="695"/>
        <v>66284.610781895753</v>
      </c>
      <c r="K1019" s="367">
        <f t="shared" si="695"/>
        <v>68131.605236955918</v>
      </c>
      <c r="L1019" s="367">
        <f t="shared" si="695"/>
        <v>70028.099143411673</v>
      </c>
      <c r="M1019" s="367">
        <f t="shared" si="695"/>
        <v>74608.511851685427</v>
      </c>
      <c r="N1019" s="367">
        <f t="shared" si="695"/>
        <v>76608.019969310611</v>
      </c>
      <c r="O1019" s="367">
        <f t="shared" si="695"/>
        <v>78661.114904488117</v>
      </c>
      <c r="P1019" s="367">
        <f t="shared" si="695"/>
        <v>80769.232783928397</v>
      </c>
      <c r="Q1019" s="367">
        <f t="shared" si="695"/>
        <v>82933.848222537694</v>
      </c>
    </row>
    <row r="1020" spans="1:17" ht="14.4">
      <c r="A1020" s="364" t="s">
        <v>305</v>
      </c>
      <c r="B1020" s="378">
        <f t="shared" si="694"/>
        <v>43884.879418749995</v>
      </c>
      <c r="C1020" s="367">
        <f>+C1009</f>
        <v>4388.4879418749997</v>
      </c>
      <c r="D1020" s="367">
        <f t="shared" ref="D1020:Q1020" si="696">+D1009</f>
        <v>4388.4879418749997</v>
      </c>
      <c r="E1020" s="367">
        <f t="shared" si="696"/>
        <v>4388.4879418749997</v>
      </c>
      <c r="F1020" s="367">
        <f t="shared" si="696"/>
        <v>4388.4879418749997</v>
      </c>
      <c r="G1020" s="367">
        <f t="shared" si="696"/>
        <v>4388.4879418749997</v>
      </c>
      <c r="H1020" s="367">
        <f t="shared" si="696"/>
        <v>4388.4879418749997</v>
      </c>
      <c r="I1020" s="367">
        <f t="shared" si="696"/>
        <v>4388.4879418749997</v>
      </c>
      <c r="J1020" s="367">
        <f t="shared" si="696"/>
        <v>4388.4879418749997</v>
      </c>
      <c r="K1020" s="367">
        <f t="shared" si="696"/>
        <v>4388.4879418749997</v>
      </c>
      <c r="L1020" s="367">
        <f t="shared" si="696"/>
        <v>4388.4879418749997</v>
      </c>
      <c r="M1020" s="367">
        <f t="shared" si="696"/>
        <v>0</v>
      </c>
      <c r="N1020" s="367">
        <f t="shared" si="696"/>
        <v>0</v>
      </c>
      <c r="O1020" s="367">
        <f t="shared" si="696"/>
        <v>0</v>
      </c>
      <c r="P1020" s="367">
        <f t="shared" si="696"/>
        <v>0</v>
      </c>
      <c r="Q1020" s="367">
        <f t="shared" si="696"/>
        <v>0</v>
      </c>
    </row>
    <row r="1021" spans="1:17" ht="14.4">
      <c r="A1021" s="364" t="s">
        <v>306</v>
      </c>
      <c r="B1021" s="378">
        <f t="shared" si="694"/>
        <v>0</v>
      </c>
      <c r="C1021" s="367">
        <f>+'WHRS_Project Scenario'!D994</f>
        <v>0</v>
      </c>
      <c r="D1021" s="367">
        <f>+'WHRS_Project Scenario'!E994</f>
        <v>0</v>
      </c>
      <c r="E1021" s="367">
        <f>+'WHRS_Project Scenario'!F994</f>
        <v>0</v>
      </c>
      <c r="F1021" s="367">
        <f>+'WHRS_Project Scenario'!G994</f>
        <v>0</v>
      </c>
      <c r="G1021" s="367">
        <f>+'WHRS_Project Scenario'!H994</f>
        <v>0</v>
      </c>
      <c r="H1021" s="367">
        <f>+'WHRS_Project Scenario'!I994</f>
        <v>0</v>
      </c>
      <c r="I1021" s="367">
        <f>+'WHRS_Project Scenario'!J994</f>
        <v>0</v>
      </c>
      <c r="J1021" s="367">
        <f>+'WHRS_Project Scenario'!K994</f>
        <v>0</v>
      </c>
      <c r="K1021" s="367">
        <f>+'WHRS_Project Scenario'!L994</f>
        <v>0</v>
      </c>
      <c r="L1021" s="367">
        <f>+'WHRS_Project Scenario'!M994</f>
        <v>0</v>
      </c>
      <c r="M1021" s="367">
        <f>+'WHRS_Project Scenario'!N994</f>
        <v>0</v>
      </c>
      <c r="N1021" s="367">
        <f>+'WHRS_Project Scenario'!O994</f>
        <v>0</v>
      </c>
      <c r="O1021" s="367">
        <f>+'WHRS_Project Scenario'!P994</f>
        <v>0</v>
      </c>
      <c r="P1021" s="367">
        <f>+'WHRS_Project Scenario'!Q994</f>
        <v>0</v>
      </c>
      <c r="Q1021" s="367">
        <f>+'WHRS_Project Scenario'!R994</f>
        <v>0</v>
      </c>
    </row>
    <row r="1022" spans="1:17" ht="14.4">
      <c r="A1022" s="364"/>
    </row>
    <row r="1023" spans="1:17" ht="14.4">
      <c r="A1023" s="364" t="s">
        <v>110</v>
      </c>
      <c r="B1023" s="378">
        <f>-'WHRS_Project Scenario'!C8</f>
        <v>-43884.879418749995</v>
      </c>
      <c r="C1023" s="367">
        <f>C1019+C1020+C1021</f>
        <v>59025.737310762976</v>
      </c>
      <c r="D1023" s="367">
        <f t="shared" ref="D1023:Q1023" si="697">D1019+D1020+D1021</f>
        <v>60560.582479954537</v>
      </c>
      <c r="E1023" s="367">
        <f t="shared" si="697"/>
        <v>62136.5614996804</v>
      </c>
      <c r="F1023" s="367">
        <f t="shared" si="697"/>
        <v>63754.776757134932</v>
      </c>
      <c r="G1023" s="367">
        <f t="shared" si="697"/>
        <v>65416.36018348924</v>
      </c>
      <c r="H1023" s="367">
        <f t="shared" si="697"/>
        <v>67122.474045669864</v>
      </c>
      <c r="I1023" s="367">
        <f t="shared" si="697"/>
        <v>68874.311759356904</v>
      </c>
      <c r="J1023" s="367">
        <f t="shared" si="697"/>
        <v>70673.09872377076</v>
      </c>
      <c r="K1023" s="367">
        <f t="shared" si="697"/>
        <v>72520.093178830924</v>
      </c>
      <c r="L1023" s="367">
        <f t="shared" si="697"/>
        <v>74416.587085286679</v>
      </c>
      <c r="M1023" s="367">
        <f t="shared" si="697"/>
        <v>74608.511851685427</v>
      </c>
      <c r="N1023" s="367">
        <f t="shared" si="697"/>
        <v>76608.019969310611</v>
      </c>
      <c r="O1023" s="367">
        <f t="shared" si="697"/>
        <v>78661.114904488117</v>
      </c>
      <c r="P1023" s="367">
        <f t="shared" si="697"/>
        <v>80769.232783928397</v>
      </c>
      <c r="Q1023" s="367">
        <f t="shared" si="697"/>
        <v>82933.848222537694</v>
      </c>
    </row>
    <row r="1024" spans="1:17" ht="15.6">
      <c r="A1024" s="364" t="s">
        <v>51</v>
      </c>
      <c r="B1024" s="132">
        <f>IRR(B1023:Q1023)</f>
        <v>1.3710195947092099</v>
      </c>
    </row>
    <row r="1025" spans="1:17" ht="15.6">
      <c r="A1025" s="364" t="s">
        <v>267</v>
      </c>
      <c r="B1025" s="303">
        <f>NPV('Initial Data'!C21/100,B1023:Q1023)</f>
        <v>369279.71894792543</v>
      </c>
    </row>
    <row r="1027" spans="1:17" ht="14.4">
      <c r="A1027" s="508" t="s">
        <v>353</v>
      </c>
      <c r="B1027" s="509"/>
      <c r="C1027" s="509"/>
      <c r="D1027" s="509"/>
      <c r="E1027" s="509"/>
      <c r="F1027" s="509"/>
      <c r="G1027" s="509"/>
      <c r="H1027" s="509"/>
      <c r="I1027" s="509"/>
      <c r="J1027" s="509"/>
      <c r="K1027" s="509"/>
      <c r="L1027" s="509"/>
      <c r="M1027" s="509"/>
      <c r="N1027" s="509"/>
      <c r="O1027" s="509"/>
      <c r="P1027" s="509"/>
      <c r="Q1027" s="509"/>
    </row>
    <row r="1028" spans="1:17" ht="14.4">
      <c r="A1028" s="371" t="s">
        <v>358</v>
      </c>
      <c r="B1028" s="372"/>
      <c r="C1028" s="372"/>
      <c r="D1028" s="372"/>
      <c r="E1028" s="372"/>
      <c r="F1028" s="372"/>
      <c r="G1028" s="372"/>
      <c r="H1028" s="372"/>
      <c r="I1028" s="372"/>
      <c r="J1028" s="372"/>
      <c r="K1028" s="372"/>
      <c r="L1028" s="372"/>
      <c r="M1028" s="372"/>
      <c r="N1028" s="372"/>
      <c r="O1028" s="372"/>
      <c r="P1028" s="372"/>
      <c r="Q1028" s="372"/>
    </row>
    <row r="1029" spans="1:17" ht="27">
      <c r="A1029" s="376"/>
      <c r="B1029" s="304" t="s">
        <v>35</v>
      </c>
      <c r="C1029" s="352" t="s">
        <v>407</v>
      </c>
      <c r="D1029" s="352" t="s">
        <v>408</v>
      </c>
      <c r="E1029" s="352" t="s">
        <v>409</v>
      </c>
      <c r="F1029" s="352" t="s">
        <v>410</v>
      </c>
      <c r="G1029" s="352" t="s">
        <v>411</v>
      </c>
      <c r="H1029" s="352" t="s">
        <v>412</v>
      </c>
      <c r="I1029" s="352" t="s">
        <v>413</v>
      </c>
      <c r="J1029" s="352" t="s">
        <v>414</v>
      </c>
      <c r="K1029" s="352" t="s">
        <v>415</v>
      </c>
      <c r="L1029" s="352" t="s">
        <v>416</v>
      </c>
      <c r="M1029" s="352" t="s">
        <v>417</v>
      </c>
      <c r="N1029" s="352" t="s">
        <v>418</v>
      </c>
      <c r="O1029" s="352" t="s">
        <v>419</v>
      </c>
      <c r="P1029" s="352" t="s">
        <v>420</v>
      </c>
      <c r="Q1029" s="352" t="s">
        <v>421</v>
      </c>
    </row>
    <row r="1030" spans="1:17" ht="14.4">
      <c r="A1030" s="363" t="s">
        <v>290</v>
      </c>
      <c r="B1030" s="365"/>
      <c r="C1030" s="377">
        <f>+'WHRS_Project Scenario'!D15</f>
        <v>215214.92335078961</v>
      </c>
      <c r="D1030" s="377">
        <f>+'WHRS_Project Scenario'!E15</f>
        <v>215214.92335078961</v>
      </c>
      <c r="E1030" s="377">
        <f>+'WHRS_Project Scenario'!F15</f>
        <v>215214.92335078961</v>
      </c>
      <c r="F1030" s="377">
        <f>+'WHRS_Project Scenario'!G15</f>
        <v>215214.92335078961</v>
      </c>
      <c r="G1030" s="377">
        <f>+'WHRS_Project Scenario'!H15</f>
        <v>215214.92335078961</v>
      </c>
      <c r="H1030" s="377">
        <f>+'WHRS_Project Scenario'!I15</f>
        <v>215214.92335078961</v>
      </c>
      <c r="I1030" s="377">
        <f>+'WHRS_Project Scenario'!J15</f>
        <v>215214.92335078961</v>
      </c>
      <c r="J1030" s="377">
        <f>+'WHRS_Project Scenario'!K15</f>
        <v>215214.92335078961</v>
      </c>
      <c r="K1030" s="377">
        <f>+'WHRS_Project Scenario'!L15</f>
        <v>215214.92335078961</v>
      </c>
      <c r="L1030" s="377">
        <f>+'WHRS_Project Scenario'!M15</f>
        <v>215214.92335078961</v>
      </c>
      <c r="M1030" s="377">
        <f>+'WHRS_Project Scenario'!N15</f>
        <v>215214.92335078961</v>
      </c>
      <c r="N1030" s="377">
        <f>+'WHRS_Project Scenario'!O15</f>
        <v>215214.92335078961</v>
      </c>
      <c r="O1030" s="377">
        <f>+'WHRS_Project Scenario'!P15</f>
        <v>215214.92335078961</v>
      </c>
      <c r="P1030" s="377">
        <f>+'WHRS_Project Scenario'!Q15</f>
        <v>215214.92335078961</v>
      </c>
      <c r="Q1030" s="377">
        <f>+'WHRS_Project Scenario'!R15</f>
        <v>215214.92335078961</v>
      </c>
    </row>
    <row r="1031" spans="1:17" ht="14.4">
      <c r="A1031" s="364" t="s">
        <v>291</v>
      </c>
      <c r="B1031" s="365"/>
      <c r="C1031" s="377">
        <f>+'WHRS_Project Scenario'!D16</f>
        <v>70</v>
      </c>
      <c r="D1031" s="377">
        <f>+'WHRS_Project Scenario'!E16</f>
        <v>70</v>
      </c>
      <c r="E1031" s="377">
        <f>+'WHRS_Project Scenario'!F16</f>
        <v>70</v>
      </c>
      <c r="F1031" s="377">
        <f>+'WHRS_Project Scenario'!G16</f>
        <v>70</v>
      </c>
      <c r="G1031" s="377">
        <f>+'WHRS_Project Scenario'!H16</f>
        <v>70</v>
      </c>
      <c r="H1031" s="377">
        <f>+'WHRS_Project Scenario'!I16</f>
        <v>70</v>
      </c>
      <c r="I1031" s="377">
        <f>+'WHRS_Project Scenario'!J16</f>
        <v>70</v>
      </c>
      <c r="J1031" s="377">
        <f>+'WHRS_Project Scenario'!K16</f>
        <v>70</v>
      </c>
      <c r="K1031" s="377">
        <f>+'WHRS_Project Scenario'!L16</f>
        <v>70</v>
      </c>
      <c r="L1031" s="377">
        <f>+'WHRS_Project Scenario'!M16</f>
        <v>70</v>
      </c>
      <c r="M1031" s="377">
        <f>+'WHRS_Project Scenario'!N16</f>
        <v>70</v>
      </c>
      <c r="N1031" s="377">
        <f>+'WHRS_Project Scenario'!O16</f>
        <v>70</v>
      </c>
      <c r="O1031" s="377">
        <f>+'WHRS_Project Scenario'!P16</f>
        <v>70</v>
      </c>
      <c r="P1031" s="377">
        <f>+'WHRS_Project Scenario'!Q16</f>
        <v>70</v>
      </c>
      <c r="Q1031" s="377">
        <f>+'WHRS_Project Scenario'!R16</f>
        <v>70</v>
      </c>
    </row>
    <row r="1032" spans="1:17" ht="14.4">
      <c r="A1032" s="366" t="s">
        <v>292</v>
      </c>
      <c r="B1032" s="365"/>
      <c r="C1032" s="377">
        <f>+'WHRS_Project Scenario'!D17</f>
        <v>6.4285714285714288</v>
      </c>
      <c r="D1032" s="377">
        <f>+'WHRS_Project Scenario'!E17</f>
        <v>6.6008571428571425</v>
      </c>
      <c r="E1032" s="377">
        <f>+'WHRS_Project Scenario'!F17</f>
        <v>6.7777601142857131</v>
      </c>
      <c r="F1032" s="377">
        <f>+'WHRS_Project Scenario'!G17</f>
        <v>6.9594040853485701</v>
      </c>
      <c r="G1032" s="377">
        <f>+'WHRS_Project Scenario'!H17</f>
        <v>7.1459161148359112</v>
      </c>
      <c r="H1032" s="377">
        <f>+'WHRS_Project Scenario'!I17</f>
        <v>7.3374266667135135</v>
      </c>
      <c r="I1032" s="377">
        <f>+'WHRS_Project Scenario'!J17</f>
        <v>7.5340697013814353</v>
      </c>
      <c r="J1032" s="377">
        <f>+'WHRS_Project Scenario'!K17</f>
        <v>7.7359827693784569</v>
      </c>
      <c r="K1032" s="377">
        <f>+'WHRS_Project Scenario'!L17</f>
        <v>7.943307107597799</v>
      </c>
      <c r="L1032" s="377">
        <f>+'WHRS_Project Scenario'!M17</f>
        <v>8.1561877380814192</v>
      </c>
      <c r="M1032" s="377">
        <f>+'WHRS_Project Scenario'!N17</f>
        <v>8.3747735694620005</v>
      </c>
      <c r="N1032" s="377">
        <f>+'WHRS_Project Scenario'!O17</f>
        <v>8.5992175011235812</v>
      </c>
      <c r="O1032" s="377">
        <f>+'WHRS_Project Scenario'!P17</f>
        <v>8.8296765301536926</v>
      </c>
      <c r="P1032" s="377">
        <f>+'WHRS_Project Scenario'!Q17</f>
        <v>9.066311861161811</v>
      </c>
      <c r="Q1032" s="377">
        <f>+'WHRS_Project Scenario'!R17</f>
        <v>9.3092890190409463</v>
      </c>
    </row>
    <row r="1033" spans="1:17" ht="14.4">
      <c r="A1033" s="366" t="s">
        <v>293</v>
      </c>
      <c r="B1033" s="365"/>
      <c r="C1033" s="377">
        <f>+C1031*C1032</f>
        <v>450</v>
      </c>
      <c r="D1033" s="377">
        <f t="shared" ref="D1033" si="698">+D1031*D1032</f>
        <v>462.06</v>
      </c>
      <c r="E1033" s="377">
        <f t="shared" ref="E1033" si="699">+E1031*E1032</f>
        <v>474.44320799999991</v>
      </c>
      <c r="F1033" s="377">
        <f t="shared" ref="F1033" si="700">+F1031*F1032</f>
        <v>487.15828597439992</v>
      </c>
      <c r="G1033" s="377">
        <f t="shared" ref="G1033" si="701">+G1031*G1032</f>
        <v>500.21412803851376</v>
      </c>
      <c r="H1033" s="377">
        <f t="shared" ref="H1033" si="702">+H1031*H1032</f>
        <v>513.61986666994596</v>
      </c>
      <c r="I1033" s="377">
        <f t="shared" ref="I1033" si="703">+I1031*I1032</f>
        <v>527.3848790967005</v>
      </c>
      <c r="J1033" s="377">
        <f t="shared" ref="J1033" si="704">+J1031*J1032</f>
        <v>541.51879385649192</v>
      </c>
      <c r="K1033" s="377">
        <f t="shared" ref="K1033" si="705">+K1031*K1032</f>
        <v>556.03149753184596</v>
      </c>
      <c r="L1033" s="377">
        <f t="shared" ref="L1033" si="706">+L1031*L1032</f>
        <v>570.9331416656994</v>
      </c>
      <c r="M1033" s="377">
        <f t="shared" ref="M1033" si="707">+M1031*M1032</f>
        <v>586.23414986234002</v>
      </c>
      <c r="N1033" s="377">
        <f t="shared" ref="N1033" si="708">+N1031*N1032</f>
        <v>601.94522507865065</v>
      </c>
      <c r="O1033" s="377">
        <f t="shared" ref="O1033" si="709">+O1031*O1032</f>
        <v>618.0773571107585</v>
      </c>
      <c r="P1033" s="377">
        <f t="shared" ref="P1033" si="710">+P1031*P1032</f>
        <v>634.64183028132675</v>
      </c>
      <c r="Q1033" s="377">
        <f t="shared" ref="Q1033" si="711">+Q1031*Q1032</f>
        <v>651.65023133286627</v>
      </c>
    </row>
    <row r="1034" spans="1:17" ht="14.4">
      <c r="A1034" s="370"/>
      <c r="B1034" s="373"/>
      <c r="C1034" s="373"/>
      <c r="D1034" s="373"/>
      <c r="E1034" s="373"/>
      <c r="F1034" s="373"/>
      <c r="G1034" s="373"/>
      <c r="H1034" s="373"/>
      <c r="I1034" s="373"/>
      <c r="J1034" s="373"/>
      <c r="K1034" s="373"/>
      <c r="L1034" s="373"/>
      <c r="M1034" s="373"/>
      <c r="N1034" s="373"/>
      <c r="O1034" s="373"/>
      <c r="P1034" s="373"/>
      <c r="Q1034" s="373"/>
    </row>
    <row r="1035" spans="1:17" ht="14.4">
      <c r="A1035" s="366" t="s">
        <v>294</v>
      </c>
      <c r="B1035" s="377">
        <f>+SUM(C1035:Q1035)</f>
        <v>1759578.4023479735</v>
      </c>
      <c r="C1035" s="377">
        <f>C1030*C1033/1000*'Initial Data'!$C$34/'Initial Data'!$C$33</f>
        <v>96846.715507855319</v>
      </c>
      <c r="D1035" s="377">
        <f>D1030*D1033/1000*'Initial Data'!$C$34/'Initial Data'!$C$33</f>
        <v>99442.207483465856</v>
      </c>
      <c r="E1035" s="377">
        <f>E1030*E1033/1000*'Initial Data'!$C$34/'Initial Data'!$C$33</f>
        <v>102107.25864402272</v>
      </c>
      <c r="F1035" s="377">
        <f>F1030*F1033/1000*'Initial Data'!$C$34/'Initial Data'!$C$33</f>
        <v>104843.73317568253</v>
      </c>
      <c r="G1035" s="377">
        <f>G1030*G1033/1000*'Initial Data'!$C$34/'Initial Data'!$C$33</f>
        <v>107653.5452247908</v>
      </c>
      <c r="H1035" s="377">
        <f>H1030*H1033/1000*'Initial Data'!$C$34/'Initial Data'!$C$33</f>
        <v>110538.66023681519</v>
      </c>
      <c r="I1035" s="377">
        <f>I1030*I1033/1000*'Initial Data'!$C$34/'Initial Data'!$C$33</f>
        <v>113501.09633116184</v>
      </c>
      <c r="J1035" s="377">
        <f>J1030*J1033/1000*'Initial Data'!$C$34/'Initial Data'!$C$33</f>
        <v>116542.92571283695</v>
      </c>
      <c r="K1035" s="377">
        <f>K1030*K1033/1000*'Initial Data'!$C$34/'Initial Data'!$C$33</f>
        <v>119666.27612194099</v>
      </c>
      <c r="L1035" s="377">
        <f>L1030*L1033/1000*'Initial Data'!$C$34/'Initial Data'!$C$33</f>
        <v>122873.332322009</v>
      </c>
      <c r="M1035" s="377">
        <f>M1030*M1033/1000*'Initial Data'!$C$34/'Initial Data'!$C$33</f>
        <v>126166.33762823879</v>
      </c>
      <c r="N1035" s="377">
        <f>N1030*N1033/1000*'Initial Data'!$C$34/'Initial Data'!$C$33</f>
        <v>129547.5954766756</v>
      </c>
      <c r="O1035" s="377">
        <f>O1030*O1033/1000*'Initial Data'!$C$34/'Initial Data'!$C$33</f>
        <v>133019.47103545049</v>
      </c>
      <c r="P1035" s="377">
        <f>P1030*P1033/1000*'Initial Data'!$C$34/'Initial Data'!$C$33</f>
        <v>136584.39285920057</v>
      </c>
      <c r="Q1035" s="377">
        <f>Q1030*Q1033/1000*'Initial Data'!$C$34/'Initial Data'!$C$33</f>
        <v>140244.85458782714</v>
      </c>
    </row>
    <row r="1036" spans="1:17" ht="14.4">
      <c r="A1036" s="370"/>
      <c r="B1036" s="373"/>
      <c r="C1036" s="373"/>
      <c r="D1036" s="373"/>
      <c r="E1036" s="373"/>
      <c r="F1036" s="373"/>
      <c r="G1036" s="373"/>
      <c r="H1036" s="373"/>
      <c r="I1036" s="373"/>
      <c r="J1036" s="373"/>
      <c r="K1036" s="373"/>
      <c r="L1036" s="373"/>
      <c r="M1036" s="373"/>
      <c r="N1036" s="373"/>
      <c r="O1036" s="373"/>
      <c r="P1036" s="373"/>
      <c r="Q1036" s="373"/>
    </row>
    <row r="1037" spans="1:17" ht="14.4">
      <c r="A1037" s="366" t="s">
        <v>295</v>
      </c>
      <c r="B1037" s="377">
        <f>+SUM(C1037:Q1037)</f>
        <v>1759578.4023479735</v>
      </c>
      <c r="C1037" s="377">
        <f>+C1035</f>
        <v>96846.715507855319</v>
      </c>
      <c r="D1037" s="377">
        <f t="shared" ref="D1037:Q1037" si="712">+D1035</f>
        <v>99442.207483465856</v>
      </c>
      <c r="E1037" s="377">
        <f t="shared" si="712"/>
        <v>102107.25864402272</v>
      </c>
      <c r="F1037" s="377">
        <f t="shared" si="712"/>
        <v>104843.73317568253</v>
      </c>
      <c r="G1037" s="377">
        <f t="shared" si="712"/>
        <v>107653.5452247908</v>
      </c>
      <c r="H1037" s="377">
        <f t="shared" si="712"/>
        <v>110538.66023681519</v>
      </c>
      <c r="I1037" s="377">
        <f t="shared" si="712"/>
        <v>113501.09633116184</v>
      </c>
      <c r="J1037" s="377">
        <f t="shared" si="712"/>
        <v>116542.92571283695</v>
      </c>
      <c r="K1037" s="377">
        <f t="shared" si="712"/>
        <v>119666.27612194099</v>
      </c>
      <c r="L1037" s="377">
        <f t="shared" si="712"/>
        <v>122873.332322009</v>
      </c>
      <c r="M1037" s="377">
        <f t="shared" si="712"/>
        <v>126166.33762823879</v>
      </c>
      <c r="N1037" s="377">
        <f t="shared" si="712"/>
        <v>129547.5954766756</v>
      </c>
      <c r="O1037" s="377">
        <f t="shared" si="712"/>
        <v>133019.47103545049</v>
      </c>
      <c r="P1037" s="377">
        <f t="shared" si="712"/>
        <v>136584.39285920057</v>
      </c>
      <c r="Q1037" s="377">
        <f t="shared" si="712"/>
        <v>140244.85458782714</v>
      </c>
    </row>
    <row r="1038" spans="1:17" ht="14.4">
      <c r="A1038" s="370"/>
      <c r="B1038" s="374"/>
      <c r="C1038" s="374"/>
      <c r="D1038" s="374"/>
      <c r="E1038" s="374"/>
      <c r="F1038" s="374"/>
      <c r="G1038" s="374"/>
      <c r="H1038" s="374"/>
      <c r="I1038" s="374"/>
      <c r="J1038" s="374"/>
      <c r="K1038" s="374"/>
      <c r="L1038" s="374"/>
      <c r="M1038" s="374"/>
      <c r="N1038" s="374"/>
      <c r="O1038" s="374"/>
      <c r="P1038" s="374"/>
      <c r="Q1038" s="374"/>
    </row>
    <row r="1039" spans="1:17" ht="14.4">
      <c r="A1039" s="366" t="s">
        <v>68</v>
      </c>
      <c r="B1039" s="368"/>
      <c r="C1039" s="368"/>
      <c r="D1039" s="368"/>
      <c r="E1039" s="368"/>
      <c r="F1039" s="368"/>
      <c r="G1039" s="368"/>
      <c r="H1039" s="368"/>
      <c r="I1039" s="368"/>
      <c r="J1039" s="368"/>
      <c r="K1039" s="368"/>
      <c r="L1039" s="368"/>
      <c r="M1039" s="368"/>
      <c r="N1039" s="368"/>
      <c r="O1039" s="368"/>
      <c r="P1039" s="368"/>
      <c r="Q1039" s="368"/>
    </row>
    <row r="1040" spans="1:17" ht="14.4">
      <c r="A1040" s="366" t="s">
        <v>296</v>
      </c>
      <c r="B1040" s="378">
        <f>+SUM(C1040:Q1040)</f>
        <v>11529.370291765843</v>
      </c>
      <c r="C1040" s="367">
        <f>SUM('Initial Data'!$C$77:$C$80)/'Initial Data'!$C$14/1000</f>
        <v>634.57339732142862</v>
      </c>
      <c r="D1040" s="367">
        <f>+C1040*(1+'Initial Data'!$C$20/100)</f>
        <v>651.57996436964288</v>
      </c>
      <c r="E1040" s="367">
        <f>+D1040*(1+'Initial Data'!$C$20/100)</f>
        <v>669.0423074147493</v>
      </c>
      <c r="F1040" s="367">
        <f>+E1040*(1+'Initial Data'!$C$20/100)</f>
        <v>686.97264125346453</v>
      </c>
      <c r="G1040" s="367">
        <f>+F1040*(1+'Initial Data'!$C$20/100)</f>
        <v>705.38350803905735</v>
      </c>
      <c r="H1040" s="367">
        <f>+G1040*(1+'Initial Data'!$C$20/100)</f>
        <v>724.28778605450407</v>
      </c>
      <c r="I1040" s="367">
        <f>+H1040*(1+'Initial Data'!$C$20/100)</f>
        <v>743.6986987207647</v>
      </c>
      <c r="J1040" s="367">
        <f>+I1040*(1+'Initial Data'!$C$20/100)</f>
        <v>763.62982384648114</v>
      </c>
      <c r="K1040" s="367">
        <f>+J1040*(1+'Initial Data'!$C$20/100)</f>
        <v>784.09510312556677</v>
      </c>
      <c r="L1040" s="367">
        <f>+K1040*(1+'Initial Data'!$C$20/100)</f>
        <v>805.10885188933196</v>
      </c>
      <c r="M1040" s="367">
        <f>+L1040*(1+'Initial Data'!$C$20/100)</f>
        <v>826.68576911996604</v>
      </c>
      <c r="N1040" s="367">
        <f>+M1040*(1+'Initial Data'!$C$20/100)</f>
        <v>848.8409477323811</v>
      </c>
      <c r="O1040" s="367">
        <f>+N1040*(1+'Initial Data'!$C$20/100)</f>
        <v>871.58988513160887</v>
      </c>
      <c r="P1040" s="367">
        <f>+O1040*(1+'Initial Data'!$C$20/100)</f>
        <v>894.94849405313596</v>
      </c>
      <c r="Q1040" s="367">
        <f>+P1040*(1+'Initial Data'!$C$20/100)</f>
        <v>918.93311369375999</v>
      </c>
    </row>
    <row r="1041" spans="1:17" ht="14.4">
      <c r="A1041" s="366" t="s">
        <v>297</v>
      </c>
      <c r="B1041" s="378">
        <f>+SUM(C1041:Q1041)</f>
        <v>13836.767075562186</v>
      </c>
      <c r="C1041" s="367">
        <f>('Initial Data'!$C$82/1000+('Initial Data'!$C$83*'Initial Data'!$C$15/'Initial Data'!$C$14)/1000+'Initial Data'!$C$84/'Initial Data'!$C$14/1000)</f>
        <v>761.57188717892859</v>
      </c>
      <c r="D1041" s="367">
        <f>+C1041*(1+'Initial Data'!$C$20/100)</f>
        <v>781.98201375532381</v>
      </c>
      <c r="E1041" s="367">
        <f>+D1041*(1+'Initial Data'!$C$20/100)</f>
        <v>802.9391317239664</v>
      </c>
      <c r="F1041" s="367">
        <f>+E1041*(1+'Initial Data'!$C$20/100)</f>
        <v>824.45790045416868</v>
      </c>
      <c r="G1041" s="367">
        <f>+F1041*(1+'Initial Data'!$C$20/100)</f>
        <v>846.55337218634031</v>
      </c>
      <c r="H1041" s="367">
        <f>+G1041*(1+'Initial Data'!$C$20/100)</f>
        <v>869.24100256093413</v>
      </c>
      <c r="I1041" s="367">
        <f>+H1041*(1+'Initial Data'!$C$20/100)</f>
        <v>892.53666142956706</v>
      </c>
      <c r="J1041" s="367">
        <f>+I1041*(1+'Initial Data'!$C$20/100)</f>
        <v>916.45664395587937</v>
      </c>
      <c r="K1041" s="367">
        <f>+J1041*(1+'Initial Data'!$C$20/100)</f>
        <v>941.01768201389689</v>
      </c>
      <c r="L1041" s="367">
        <f>+K1041*(1+'Initial Data'!$C$20/100)</f>
        <v>966.23695589186923</v>
      </c>
      <c r="M1041" s="367">
        <f>+L1041*(1+'Initial Data'!$C$20/100)</f>
        <v>992.1321063097713</v>
      </c>
      <c r="N1041" s="367">
        <f>+M1041*(1+'Initial Data'!$C$20/100)</f>
        <v>1018.7212467588731</v>
      </c>
      <c r="O1041" s="367">
        <f>+N1041*(1+'Initial Data'!$C$20/100)</f>
        <v>1046.0229761720109</v>
      </c>
      <c r="P1041" s="367">
        <f>+O1041*(1+'Initial Data'!$C$20/100)</f>
        <v>1074.0563919334206</v>
      </c>
      <c r="Q1041" s="367">
        <f>+P1041*(1+'Initial Data'!$C$20/100)</f>
        <v>1102.8411032372362</v>
      </c>
    </row>
    <row r="1042" spans="1:17" ht="14.4">
      <c r="A1042" s="370"/>
      <c r="B1042" s="369"/>
      <c r="C1042" s="382"/>
      <c r="D1042" s="369"/>
      <c r="E1042" s="369"/>
      <c r="F1042" s="369"/>
      <c r="G1042" s="369"/>
      <c r="H1042" s="369"/>
      <c r="I1042" s="369"/>
      <c r="J1042" s="369"/>
      <c r="K1042" s="369"/>
      <c r="L1042" s="369"/>
      <c r="M1042" s="369"/>
      <c r="N1042" s="369"/>
      <c r="O1042" s="369"/>
      <c r="P1042" s="369"/>
      <c r="Q1042" s="369"/>
    </row>
    <row r="1043" spans="1:17" ht="14.4">
      <c r="A1043" s="366" t="s">
        <v>71</v>
      </c>
      <c r="B1043" s="379"/>
      <c r="C1043" s="379"/>
      <c r="D1043" s="379"/>
      <c r="E1043" s="379"/>
      <c r="F1043" s="379"/>
      <c r="G1043" s="379"/>
      <c r="H1043" s="379"/>
      <c r="I1043" s="379"/>
      <c r="J1043" s="379"/>
      <c r="K1043" s="379"/>
      <c r="L1043" s="379"/>
      <c r="M1043" s="379"/>
      <c r="N1043" s="379"/>
      <c r="O1043" s="379"/>
      <c r="P1043" s="379"/>
      <c r="Q1043" s="379"/>
    </row>
    <row r="1044" spans="1:17" ht="14.4">
      <c r="A1044" s="370"/>
      <c r="B1044" s="379"/>
      <c r="C1044" s="379"/>
      <c r="D1044" s="379"/>
      <c r="E1044" s="379"/>
      <c r="F1044" s="379"/>
      <c r="G1044" s="379"/>
      <c r="H1044" s="379"/>
      <c r="I1044" s="379"/>
      <c r="J1044" s="379"/>
      <c r="K1044" s="379"/>
      <c r="L1044" s="379"/>
      <c r="M1044" s="379"/>
      <c r="N1044" s="379"/>
      <c r="O1044" s="379"/>
      <c r="P1044" s="379"/>
      <c r="Q1044" s="379"/>
    </row>
    <row r="1045" spans="1:17" ht="14.4">
      <c r="A1045" s="366" t="s">
        <v>298</v>
      </c>
      <c r="B1045" s="378">
        <f>+SUM(C1045:Q1045)</f>
        <v>25366.137367328029</v>
      </c>
      <c r="C1045" s="367">
        <f>SUM(C1040:C1041)</f>
        <v>1396.1452845003573</v>
      </c>
      <c r="D1045" s="367">
        <f>SUM(D1040:D1041)</f>
        <v>1433.5619781249666</v>
      </c>
      <c r="E1045" s="367">
        <f t="shared" ref="E1045:Q1045" si="713">SUM(E1040:E1041)</f>
        <v>1471.9814391387158</v>
      </c>
      <c r="F1045" s="367">
        <f t="shared" si="713"/>
        <v>1511.4305417076332</v>
      </c>
      <c r="G1045" s="367">
        <f t="shared" si="713"/>
        <v>1551.9368802253975</v>
      </c>
      <c r="H1045" s="367">
        <f t="shared" si="713"/>
        <v>1593.5287886154383</v>
      </c>
      <c r="I1045" s="367">
        <f t="shared" si="713"/>
        <v>1636.2353601503319</v>
      </c>
      <c r="J1045" s="367">
        <f t="shared" si="713"/>
        <v>1680.0864678023604</v>
      </c>
      <c r="K1045" s="367">
        <f t="shared" si="713"/>
        <v>1725.1127851394635</v>
      </c>
      <c r="L1045" s="367">
        <f t="shared" si="713"/>
        <v>1771.3458077812011</v>
      </c>
      <c r="M1045" s="367">
        <f t="shared" si="713"/>
        <v>1818.8178754297373</v>
      </c>
      <c r="N1045" s="367">
        <f t="shared" si="713"/>
        <v>1867.5621944912541</v>
      </c>
      <c r="O1045" s="367">
        <f t="shared" si="713"/>
        <v>1917.6128613036199</v>
      </c>
      <c r="P1045" s="367">
        <f t="shared" si="713"/>
        <v>1969.0048859865565</v>
      </c>
      <c r="Q1045" s="367">
        <f t="shared" si="713"/>
        <v>2021.7742169309963</v>
      </c>
    </row>
    <row r="1046" spans="1:17" ht="14.4">
      <c r="A1046" s="370"/>
      <c r="B1046" s="379"/>
      <c r="C1046" s="379"/>
      <c r="D1046" s="379"/>
      <c r="E1046" s="379"/>
      <c r="F1046" s="379"/>
      <c r="G1046" s="379"/>
      <c r="H1046" s="379"/>
      <c r="I1046" s="379"/>
      <c r="J1046" s="379"/>
      <c r="K1046" s="379"/>
      <c r="L1046" s="379"/>
      <c r="M1046" s="379"/>
      <c r="N1046" s="379"/>
      <c r="O1046" s="379"/>
      <c r="P1046" s="379"/>
      <c r="Q1046" s="379"/>
    </row>
    <row r="1047" spans="1:17" ht="14.4">
      <c r="A1047" s="366" t="s">
        <v>299</v>
      </c>
      <c r="B1047" s="378">
        <f t="shared" ref="B1047:B1048" si="714">+SUM(C1047:Q1047)</f>
        <v>43884.879418749995</v>
      </c>
      <c r="C1047" s="367">
        <f>'WHRS_Project Scenario'!$C$8/'Initial Data'!$C$19</f>
        <v>4388.4879418749997</v>
      </c>
      <c r="D1047" s="367">
        <f>'WHRS_Project Scenario'!$C$8/'Initial Data'!$C$19</f>
        <v>4388.4879418749997</v>
      </c>
      <c r="E1047" s="367">
        <f>'WHRS_Project Scenario'!$C$8/'Initial Data'!$C$19</f>
        <v>4388.4879418749997</v>
      </c>
      <c r="F1047" s="367">
        <f>'WHRS_Project Scenario'!$C$8/'Initial Data'!$C$19</f>
        <v>4388.4879418749997</v>
      </c>
      <c r="G1047" s="367">
        <f>'WHRS_Project Scenario'!$C$8/'Initial Data'!$C$19</f>
        <v>4388.4879418749997</v>
      </c>
      <c r="H1047" s="367">
        <f>'WHRS_Project Scenario'!$C$8/'Initial Data'!$C$19</f>
        <v>4388.4879418749997</v>
      </c>
      <c r="I1047" s="367">
        <f>'WHRS_Project Scenario'!$C$8/'Initial Data'!$C$19</f>
        <v>4388.4879418749997</v>
      </c>
      <c r="J1047" s="367">
        <f>'WHRS_Project Scenario'!$C$8/'Initial Data'!$C$19</f>
        <v>4388.4879418749997</v>
      </c>
      <c r="K1047" s="367">
        <f>'WHRS_Project Scenario'!$C$8/'Initial Data'!$C$19</f>
        <v>4388.4879418749997</v>
      </c>
      <c r="L1047" s="367">
        <f>'WHRS_Project Scenario'!$C$8/'Initial Data'!$C$19</f>
        <v>4388.4879418749997</v>
      </c>
      <c r="M1047" s="367">
        <v>0</v>
      </c>
      <c r="N1047" s="367">
        <v>0</v>
      </c>
      <c r="O1047" s="367">
        <v>0</v>
      </c>
      <c r="P1047" s="367">
        <v>0</v>
      </c>
      <c r="Q1047" s="367">
        <v>0</v>
      </c>
    </row>
    <row r="1048" spans="1:17" ht="14.4">
      <c r="A1048" s="366" t="s">
        <v>300</v>
      </c>
      <c r="B1048" s="378">
        <f t="shared" si="714"/>
        <v>43884.879418749995</v>
      </c>
      <c r="C1048" s="367">
        <f>SUM(C1047:C1047)</f>
        <v>4388.4879418749997</v>
      </c>
      <c r="D1048" s="367">
        <f t="shared" ref="D1048:Q1048" si="715">SUM(D1047:D1047)</f>
        <v>4388.4879418749997</v>
      </c>
      <c r="E1048" s="367">
        <f t="shared" si="715"/>
        <v>4388.4879418749997</v>
      </c>
      <c r="F1048" s="367">
        <f t="shared" si="715"/>
        <v>4388.4879418749997</v>
      </c>
      <c r="G1048" s="367">
        <f t="shared" si="715"/>
        <v>4388.4879418749997</v>
      </c>
      <c r="H1048" s="367">
        <f t="shared" si="715"/>
        <v>4388.4879418749997</v>
      </c>
      <c r="I1048" s="367">
        <f t="shared" si="715"/>
        <v>4388.4879418749997</v>
      </c>
      <c r="J1048" s="367">
        <f t="shared" si="715"/>
        <v>4388.4879418749997</v>
      </c>
      <c r="K1048" s="367">
        <f t="shared" si="715"/>
        <v>4388.4879418749997</v>
      </c>
      <c r="L1048" s="367">
        <f t="shared" si="715"/>
        <v>4388.4879418749997</v>
      </c>
      <c r="M1048" s="367">
        <f t="shared" si="715"/>
        <v>0</v>
      </c>
      <c r="N1048" s="367">
        <f t="shared" si="715"/>
        <v>0</v>
      </c>
      <c r="O1048" s="367">
        <f t="shared" si="715"/>
        <v>0</v>
      </c>
      <c r="P1048" s="367">
        <f t="shared" si="715"/>
        <v>0</v>
      </c>
      <c r="Q1048" s="367">
        <f t="shared" si="715"/>
        <v>0</v>
      </c>
    </row>
    <row r="1049" spans="1:17" ht="14.4">
      <c r="A1049" s="370"/>
      <c r="B1049" s="379"/>
      <c r="C1049" s="379"/>
      <c r="D1049" s="379"/>
      <c r="E1049" s="379"/>
      <c r="F1049" s="379"/>
      <c r="G1049" s="379"/>
      <c r="H1049" s="379"/>
      <c r="I1049" s="379"/>
      <c r="J1049" s="379"/>
      <c r="K1049" s="379"/>
      <c r="L1049" s="379"/>
      <c r="M1049" s="379"/>
      <c r="N1049" s="379"/>
      <c r="O1049" s="379"/>
      <c r="P1049" s="379"/>
      <c r="Q1049" s="379"/>
    </row>
    <row r="1050" spans="1:17" ht="14.4">
      <c r="A1050" s="366" t="s">
        <v>301</v>
      </c>
      <c r="B1050" s="378">
        <f>+SUM(C1050:Q1050)</f>
        <v>69251.016786078035</v>
      </c>
      <c r="C1050" s="367">
        <f>+C1045+C1048</f>
        <v>5784.6332263753575</v>
      </c>
      <c r="D1050" s="367">
        <f>+D1045+D1048</f>
        <v>5822.0499199999667</v>
      </c>
      <c r="E1050" s="367">
        <f t="shared" ref="E1050:Q1050" si="716">+E1045+E1048</f>
        <v>5860.469381013716</v>
      </c>
      <c r="F1050" s="367">
        <f t="shared" si="716"/>
        <v>5899.9184835826327</v>
      </c>
      <c r="G1050" s="367">
        <f t="shared" si="716"/>
        <v>5940.4248221003973</v>
      </c>
      <c r="H1050" s="367">
        <f t="shared" si="716"/>
        <v>5982.016730490438</v>
      </c>
      <c r="I1050" s="367">
        <f t="shared" si="716"/>
        <v>6024.7233020253316</v>
      </c>
      <c r="J1050" s="367">
        <f t="shared" si="716"/>
        <v>6068.5744096773597</v>
      </c>
      <c r="K1050" s="367">
        <f t="shared" si="716"/>
        <v>6113.6007270144637</v>
      </c>
      <c r="L1050" s="367">
        <f t="shared" si="716"/>
        <v>6159.8337496562008</v>
      </c>
      <c r="M1050" s="367">
        <f t="shared" si="716"/>
        <v>1818.8178754297373</v>
      </c>
      <c r="N1050" s="367">
        <f t="shared" si="716"/>
        <v>1867.5621944912541</v>
      </c>
      <c r="O1050" s="367">
        <f t="shared" si="716"/>
        <v>1917.6128613036199</v>
      </c>
      <c r="P1050" s="367">
        <f t="shared" si="716"/>
        <v>1969.0048859865565</v>
      </c>
      <c r="Q1050" s="367">
        <f t="shared" si="716"/>
        <v>2021.7742169309963</v>
      </c>
    </row>
    <row r="1051" spans="1:17" ht="14.4">
      <c r="A1051" s="370"/>
      <c r="B1051" s="379"/>
      <c r="C1051" s="379"/>
      <c r="D1051" s="379"/>
      <c r="E1051" s="379"/>
      <c r="F1051" s="379"/>
      <c r="G1051" s="379"/>
      <c r="H1051" s="379"/>
      <c r="I1051" s="379"/>
      <c r="J1051" s="379"/>
      <c r="K1051" s="379"/>
      <c r="L1051" s="379"/>
      <c r="M1051" s="379"/>
      <c r="N1051" s="379"/>
      <c r="O1051" s="379"/>
      <c r="P1051" s="379"/>
      <c r="Q1051" s="379"/>
    </row>
    <row r="1052" spans="1:17" ht="14.4">
      <c r="A1052" s="364" t="s">
        <v>302</v>
      </c>
      <c r="B1052" s="378">
        <f>+SUM(C1052:Q1052)</f>
        <v>1690327.3855618956</v>
      </c>
      <c r="C1052" s="367">
        <f>+C1037-C1050</f>
        <v>91062.082281479961</v>
      </c>
      <c r="D1052" s="367">
        <f>+D1037-D1050</f>
        <v>93620.157563465895</v>
      </c>
      <c r="E1052" s="367">
        <f t="shared" ref="E1052:Q1052" si="717">+E1037-E1050</f>
        <v>96246.789263009006</v>
      </c>
      <c r="F1052" s="367">
        <f t="shared" si="717"/>
        <v>98943.814692099899</v>
      </c>
      <c r="G1052" s="367">
        <f t="shared" si="717"/>
        <v>101713.1204026904</v>
      </c>
      <c r="H1052" s="367">
        <f t="shared" si="717"/>
        <v>104556.64350632476</v>
      </c>
      <c r="I1052" s="367">
        <f t="shared" si="717"/>
        <v>107476.37302913651</v>
      </c>
      <c r="J1052" s="367">
        <f t="shared" si="717"/>
        <v>110474.35130315959</v>
      </c>
      <c r="K1052" s="367">
        <f t="shared" si="717"/>
        <v>113552.67539492653</v>
      </c>
      <c r="L1052" s="367">
        <f t="shared" si="717"/>
        <v>116713.49857235279</v>
      </c>
      <c r="M1052" s="367">
        <f t="shared" si="717"/>
        <v>124347.51975280905</v>
      </c>
      <c r="N1052" s="367">
        <f t="shared" si="717"/>
        <v>127680.03328218435</v>
      </c>
      <c r="O1052" s="367">
        <f t="shared" si="717"/>
        <v>131101.85817414688</v>
      </c>
      <c r="P1052" s="367">
        <f t="shared" si="717"/>
        <v>134615.387973214</v>
      </c>
      <c r="Q1052" s="367">
        <f t="shared" si="717"/>
        <v>138223.08037089615</v>
      </c>
    </row>
    <row r="1053" spans="1:17" ht="14.4">
      <c r="A1053" s="364"/>
    </row>
    <row r="1054" spans="1:17" ht="14.4">
      <c r="A1054" s="364" t="s">
        <v>222</v>
      </c>
      <c r="B1054" s="402">
        <f>G19</f>
        <v>0.3</v>
      </c>
      <c r="C1054" s="367">
        <f>IF((+$B$1054*C1052)&lt;0,"0",(+$B$1054*C1052))</f>
        <v>27318.624684443988</v>
      </c>
      <c r="D1054" s="367">
        <f t="shared" ref="D1054:Q1054" si="718">IF((+$B$1054*D1052)&lt;0,"0",(+$B$1054*D1052))</f>
        <v>28086.047269039769</v>
      </c>
      <c r="E1054" s="367">
        <f t="shared" si="718"/>
        <v>28874.0367789027</v>
      </c>
      <c r="F1054" s="367">
        <f t="shared" si="718"/>
        <v>29683.144407629967</v>
      </c>
      <c r="G1054" s="367">
        <f t="shared" si="718"/>
        <v>30513.93612080712</v>
      </c>
      <c r="H1054" s="367">
        <f t="shared" si="718"/>
        <v>31366.993051897429</v>
      </c>
      <c r="I1054" s="367">
        <f t="shared" si="718"/>
        <v>32242.911908740949</v>
      </c>
      <c r="J1054" s="367">
        <f t="shared" si="718"/>
        <v>33142.305390947877</v>
      </c>
      <c r="K1054" s="367">
        <f t="shared" si="718"/>
        <v>34065.802618477959</v>
      </c>
      <c r="L1054" s="367">
        <f t="shared" si="718"/>
        <v>35014.049571705837</v>
      </c>
      <c r="M1054" s="367">
        <f t="shared" si="718"/>
        <v>37304.255925842714</v>
      </c>
      <c r="N1054" s="367">
        <f t="shared" si="718"/>
        <v>38304.009984655306</v>
      </c>
      <c r="O1054" s="367">
        <f t="shared" si="718"/>
        <v>39330.557452244066</v>
      </c>
      <c r="P1054" s="367">
        <f t="shared" si="718"/>
        <v>40384.616391964199</v>
      </c>
      <c r="Q1054" s="367">
        <f t="shared" si="718"/>
        <v>41466.92411126884</v>
      </c>
    </row>
    <row r="1055" spans="1:17" ht="14.4">
      <c r="A1055" s="364" t="s">
        <v>303</v>
      </c>
      <c r="B1055" s="378">
        <f>+SUM(C1055:Q1055)</f>
        <v>507098.2156685688</v>
      </c>
      <c r="C1055" s="367">
        <f>SUM(C1054:C1054)</f>
        <v>27318.624684443988</v>
      </c>
      <c r="D1055" s="367">
        <f t="shared" ref="D1055:Q1055" si="719">SUM(D1054:D1054)</f>
        <v>28086.047269039769</v>
      </c>
      <c r="E1055" s="367">
        <f t="shared" si="719"/>
        <v>28874.0367789027</v>
      </c>
      <c r="F1055" s="367">
        <f t="shared" si="719"/>
        <v>29683.144407629967</v>
      </c>
      <c r="G1055" s="367">
        <f t="shared" si="719"/>
        <v>30513.93612080712</v>
      </c>
      <c r="H1055" s="367">
        <f t="shared" si="719"/>
        <v>31366.993051897429</v>
      </c>
      <c r="I1055" s="367">
        <f t="shared" si="719"/>
        <v>32242.911908740949</v>
      </c>
      <c r="J1055" s="367">
        <f t="shared" si="719"/>
        <v>33142.305390947877</v>
      </c>
      <c r="K1055" s="367">
        <f t="shared" si="719"/>
        <v>34065.802618477959</v>
      </c>
      <c r="L1055" s="367">
        <f t="shared" si="719"/>
        <v>35014.049571705837</v>
      </c>
      <c r="M1055" s="367">
        <f t="shared" si="719"/>
        <v>37304.255925842714</v>
      </c>
      <c r="N1055" s="367">
        <f t="shared" si="719"/>
        <v>38304.009984655306</v>
      </c>
      <c r="O1055" s="367">
        <f t="shared" si="719"/>
        <v>39330.557452244066</v>
      </c>
      <c r="P1055" s="367">
        <f t="shared" si="719"/>
        <v>40384.616391964199</v>
      </c>
      <c r="Q1055" s="367">
        <f t="shared" si="719"/>
        <v>41466.92411126884</v>
      </c>
    </row>
    <row r="1056" spans="1:17" ht="14.4">
      <c r="A1056" s="369"/>
    </row>
    <row r="1057" spans="1:17" ht="14.4">
      <c r="A1057" s="364" t="s">
        <v>304</v>
      </c>
      <c r="B1057" s="378">
        <f t="shared" ref="B1057:B1059" si="720">+SUM(C1057:Q1057)</f>
        <v>1183229.1698933272</v>
      </c>
      <c r="C1057" s="367">
        <f>C1052-C1055</f>
        <v>63743.457597035973</v>
      </c>
      <c r="D1057" s="367">
        <f t="shared" ref="D1057:Q1057" si="721">D1052-D1055</f>
        <v>65534.110294426122</v>
      </c>
      <c r="E1057" s="367">
        <f t="shared" si="721"/>
        <v>67372.752484106313</v>
      </c>
      <c r="F1057" s="367">
        <f t="shared" si="721"/>
        <v>69260.670284469932</v>
      </c>
      <c r="G1057" s="367">
        <f t="shared" si="721"/>
        <v>71199.184281883281</v>
      </c>
      <c r="H1057" s="367">
        <f t="shared" si="721"/>
        <v>73189.650454427334</v>
      </c>
      <c r="I1057" s="367">
        <f t="shared" si="721"/>
        <v>75233.461120395557</v>
      </c>
      <c r="J1057" s="367">
        <f t="shared" si="721"/>
        <v>77332.045912211717</v>
      </c>
      <c r="K1057" s="367">
        <f t="shared" si="721"/>
        <v>79486.872776448567</v>
      </c>
      <c r="L1057" s="367">
        <f t="shared" si="721"/>
        <v>81699.449000646957</v>
      </c>
      <c r="M1057" s="367">
        <f t="shared" si="721"/>
        <v>87043.263826966344</v>
      </c>
      <c r="N1057" s="367">
        <f t="shared" si="721"/>
        <v>89376.023297529042</v>
      </c>
      <c r="O1057" s="367">
        <f t="shared" si="721"/>
        <v>91771.300721902808</v>
      </c>
      <c r="P1057" s="367">
        <f t="shared" si="721"/>
        <v>94230.771581249806</v>
      </c>
      <c r="Q1057" s="367">
        <f t="shared" si="721"/>
        <v>96756.156259627314</v>
      </c>
    </row>
    <row r="1058" spans="1:17" ht="14.4">
      <c r="A1058" s="364" t="s">
        <v>305</v>
      </c>
      <c r="B1058" s="378">
        <f t="shared" si="720"/>
        <v>43884.879418749995</v>
      </c>
      <c r="C1058" s="367">
        <f>+C1047</f>
        <v>4388.4879418749997</v>
      </c>
      <c r="D1058" s="367">
        <f t="shared" ref="D1058:Q1058" si="722">+D1047</f>
        <v>4388.4879418749997</v>
      </c>
      <c r="E1058" s="367">
        <f t="shared" si="722"/>
        <v>4388.4879418749997</v>
      </c>
      <c r="F1058" s="367">
        <f t="shared" si="722"/>
        <v>4388.4879418749997</v>
      </c>
      <c r="G1058" s="367">
        <f t="shared" si="722"/>
        <v>4388.4879418749997</v>
      </c>
      <c r="H1058" s="367">
        <f t="shared" si="722"/>
        <v>4388.4879418749997</v>
      </c>
      <c r="I1058" s="367">
        <f t="shared" si="722"/>
        <v>4388.4879418749997</v>
      </c>
      <c r="J1058" s="367">
        <f t="shared" si="722"/>
        <v>4388.4879418749997</v>
      </c>
      <c r="K1058" s="367">
        <f t="shared" si="722"/>
        <v>4388.4879418749997</v>
      </c>
      <c r="L1058" s="367">
        <f t="shared" si="722"/>
        <v>4388.4879418749997</v>
      </c>
      <c r="M1058" s="367">
        <f t="shared" si="722"/>
        <v>0</v>
      </c>
      <c r="N1058" s="367">
        <f t="shared" si="722"/>
        <v>0</v>
      </c>
      <c r="O1058" s="367">
        <f t="shared" si="722"/>
        <v>0</v>
      </c>
      <c r="P1058" s="367">
        <f t="shared" si="722"/>
        <v>0</v>
      </c>
      <c r="Q1058" s="367">
        <f t="shared" si="722"/>
        <v>0</v>
      </c>
    </row>
    <row r="1059" spans="1:17" ht="14.4">
      <c r="A1059" s="364" t="s">
        <v>306</v>
      </c>
      <c r="B1059" s="378">
        <f t="shared" si="720"/>
        <v>0</v>
      </c>
      <c r="C1059" s="367">
        <f>+'WHRS_Project Scenario'!D1032</f>
        <v>0</v>
      </c>
      <c r="D1059" s="367">
        <f>+'WHRS_Project Scenario'!E1032</f>
        <v>0</v>
      </c>
      <c r="E1059" s="367">
        <f>+'WHRS_Project Scenario'!F1032</f>
        <v>0</v>
      </c>
      <c r="F1059" s="367">
        <f>+'WHRS_Project Scenario'!G1032</f>
        <v>0</v>
      </c>
      <c r="G1059" s="367">
        <f>+'WHRS_Project Scenario'!H1032</f>
        <v>0</v>
      </c>
      <c r="H1059" s="367">
        <f>+'WHRS_Project Scenario'!I1032</f>
        <v>0</v>
      </c>
      <c r="I1059" s="367">
        <f>+'WHRS_Project Scenario'!J1032</f>
        <v>0</v>
      </c>
      <c r="J1059" s="367">
        <f>+'WHRS_Project Scenario'!K1032</f>
        <v>0</v>
      </c>
      <c r="K1059" s="367">
        <f>+'WHRS_Project Scenario'!L1032</f>
        <v>0</v>
      </c>
      <c r="L1059" s="367">
        <f>+'WHRS_Project Scenario'!M1032</f>
        <v>0</v>
      </c>
      <c r="M1059" s="367">
        <f>+'WHRS_Project Scenario'!N1032</f>
        <v>0</v>
      </c>
      <c r="N1059" s="367">
        <f>+'WHRS_Project Scenario'!O1032</f>
        <v>0</v>
      </c>
      <c r="O1059" s="367">
        <f>+'WHRS_Project Scenario'!P1032</f>
        <v>0</v>
      </c>
      <c r="P1059" s="367">
        <f>+'WHRS_Project Scenario'!Q1032</f>
        <v>0</v>
      </c>
      <c r="Q1059" s="367">
        <f>+'WHRS_Project Scenario'!R1032</f>
        <v>0</v>
      </c>
    </row>
    <row r="1060" spans="1:17" ht="14.4">
      <c r="A1060" s="364"/>
    </row>
    <row r="1061" spans="1:17" ht="14.4">
      <c r="A1061" s="364" t="s">
        <v>110</v>
      </c>
      <c r="B1061" s="378">
        <f>-'WHRS_Project Scenario'!C8</f>
        <v>-43884.879418749995</v>
      </c>
      <c r="C1061" s="367">
        <f>C1057+C1058+C1059</f>
        <v>68131.945538910979</v>
      </c>
      <c r="D1061" s="367">
        <f t="shared" ref="D1061:Q1061" si="723">D1057+D1058+D1059</f>
        <v>69922.598236301128</v>
      </c>
      <c r="E1061" s="367">
        <f t="shared" si="723"/>
        <v>71761.240425981319</v>
      </c>
      <c r="F1061" s="367">
        <f t="shared" si="723"/>
        <v>73649.158226344938</v>
      </c>
      <c r="G1061" s="367">
        <f t="shared" si="723"/>
        <v>75587.672223758287</v>
      </c>
      <c r="H1061" s="367">
        <f t="shared" si="723"/>
        <v>77578.13839630234</v>
      </c>
      <c r="I1061" s="367">
        <f t="shared" si="723"/>
        <v>79621.949062270563</v>
      </c>
      <c r="J1061" s="367">
        <f t="shared" si="723"/>
        <v>81720.533854086723</v>
      </c>
      <c r="K1061" s="367">
        <f t="shared" si="723"/>
        <v>83875.360718323573</v>
      </c>
      <c r="L1061" s="367">
        <f t="shared" si="723"/>
        <v>86087.936942521963</v>
      </c>
      <c r="M1061" s="367">
        <f t="shared" si="723"/>
        <v>87043.263826966344</v>
      </c>
      <c r="N1061" s="367">
        <f t="shared" si="723"/>
        <v>89376.023297529042</v>
      </c>
      <c r="O1061" s="367">
        <f t="shared" si="723"/>
        <v>91771.300721902808</v>
      </c>
      <c r="P1061" s="367">
        <f t="shared" si="723"/>
        <v>94230.771581249806</v>
      </c>
      <c r="Q1061" s="367">
        <f t="shared" si="723"/>
        <v>96756.156259627314</v>
      </c>
    </row>
    <row r="1062" spans="1:17" ht="15.6">
      <c r="A1062" s="364" t="s">
        <v>51</v>
      </c>
      <c r="B1062" s="132">
        <f>IRR(B1061:Q1061)</f>
        <v>1.5788022325386792</v>
      </c>
    </row>
    <row r="1063" spans="1:17" ht="15.6">
      <c r="A1063" s="364" t="s">
        <v>267</v>
      </c>
      <c r="B1063" s="303">
        <f>NPV('Initial Data'!C21/100,B1061:Q1061)</f>
        <v>433666.95540794643</v>
      </c>
    </row>
    <row r="1065" spans="1:17" ht="14.4">
      <c r="A1065" s="508" t="s">
        <v>361</v>
      </c>
      <c r="B1065" s="509"/>
      <c r="C1065" s="509"/>
      <c r="D1065" s="509"/>
      <c r="E1065" s="509"/>
      <c r="F1065" s="509"/>
      <c r="G1065" s="509"/>
      <c r="H1065" s="509"/>
      <c r="I1065" s="509"/>
      <c r="J1065" s="509"/>
      <c r="K1065" s="509"/>
      <c r="L1065" s="509"/>
      <c r="M1065" s="509"/>
      <c r="N1065" s="509"/>
      <c r="O1065" s="509"/>
      <c r="P1065" s="509"/>
      <c r="Q1065" s="509"/>
    </row>
    <row r="1066" spans="1:17" ht="14.4">
      <c r="A1066" s="371" t="s">
        <v>362</v>
      </c>
      <c r="B1066" s="372"/>
      <c r="C1066" s="372"/>
      <c r="D1066" s="372"/>
      <c r="E1066" s="372"/>
      <c r="F1066" s="372"/>
      <c r="G1066" s="372"/>
      <c r="H1066" s="372"/>
      <c r="I1066" s="372"/>
      <c r="J1066" s="372"/>
      <c r="K1066" s="372"/>
      <c r="L1066" s="372"/>
      <c r="M1066" s="372"/>
      <c r="N1066" s="372"/>
      <c r="O1066" s="372"/>
      <c r="P1066" s="372"/>
      <c r="Q1066" s="372"/>
    </row>
    <row r="1067" spans="1:17" ht="27">
      <c r="A1067" s="376"/>
      <c r="B1067" s="304" t="s">
        <v>35</v>
      </c>
      <c r="C1067" s="352" t="s">
        <v>407</v>
      </c>
      <c r="D1067" s="352" t="s">
        <v>408</v>
      </c>
      <c r="E1067" s="352" t="s">
        <v>409</v>
      </c>
      <c r="F1067" s="352" t="s">
        <v>410</v>
      </c>
      <c r="G1067" s="352" t="s">
        <v>411</v>
      </c>
      <c r="H1067" s="352" t="s">
        <v>412</v>
      </c>
      <c r="I1067" s="352" t="s">
        <v>413</v>
      </c>
      <c r="J1067" s="352" t="s">
        <v>414</v>
      </c>
      <c r="K1067" s="352" t="s">
        <v>415</v>
      </c>
      <c r="L1067" s="352" t="s">
        <v>416</v>
      </c>
      <c r="M1067" s="352" t="s">
        <v>417</v>
      </c>
      <c r="N1067" s="352" t="s">
        <v>418</v>
      </c>
      <c r="O1067" s="352" t="s">
        <v>419</v>
      </c>
      <c r="P1067" s="352" t="s">
        <v>420</v>
      </c>
      <c r="Q1067" s="352" t="s">
        <v>421</v>
      </c>
    </row>
    <row r="1068" spans="1:17" ht="14.4">
      <c r="A1068" s="363" t="s">
        <v>290</v>
      </c>
      <c r="B1068" s="365"/>
      <c r="C1068" s="377">
        <f>+'WHRS_Project Scenario'!D15</f>
        <v>215214.92335078961</v>
      </c>
      <c r="D1068" s="377">
        <f>+'WHRS_Project Scenario'!E15</f>
        <v>215214.92335078961</v>
      </c>
      <c r="E1068" s="377">
        <f>+'WHRS_Project Scenario'!F15</f>
        <v>215214.92335078961</v>
      </c>
      <c r="F1068" s="377">
        <f>+'WHRS_Project Scenario'!G15</f>
        <v>215214.92335078961</v>
      </c>
      <c r="G1068" s="377">
        <f>+'WHRS_Project Scenario'!H15</f>
        <v>215214.92335078961</v>
      </c>
      <c r="H1068" s="377">
        <f>+'WHRS_Project Scenario'!I15</f>
        <v>215214.92335078961</v>
      </c>
      <c r="I1068" s="377">
        <f>+'WHRS_Project Scenario'!J15</f>
        <v>215214.92335078961</v>
      </c>
      <c r="J1068" s="377">
        <f>+'WHRS_Project Scenario'!K15</f>
        <v>215214.92335078961</v>
      </c>
      <c r="K1068" s="377">
        <f>+'WHRS_Project Scenario'!L15</f>
        <v>215214.92335078961</v>
      </c>
      <c r="L1068" s="377">
        <f>+'WHRS_Project Scenario'!M15</f>
        <v>215214.92335078961</v>
      </c>
      <c r="M1068" s="377">
        <f>+'WHRS_Project Scenario'!N15</f>
        <v>215214.92335078961</v>
      </c>
      <c r="N1068" s="377">
        <f>+'WHRS_Project Scenario'!O15</f>
        <v>215214.92335078961</v>
      </c>
      <c r="O1068" s="377">
        <f>+'WHRS_Project Scenario'!P15</f>
        <v>215214.92335078961</v>
      </c>
      <c r="P1068" s="377">
        <f>+'WHRS_Project Scenario'!Q15</f>
        <v>215214.92335078961</v>
      </c>
      <c r="Q1068" s="377">
        <f>+'WHRS_Project Scenario'!R15</f>
        <v>215214.92335078961</v>
      </c>
    </row>
    <row r="1069" spans="1:17" ht="14.4">
      <c r="A1069" s="364" t="s">
        <v>291</v>
      </c>
      <c r="B1069" s="365"/>
      <c r="C1069" s="377">
        <f>+'WHRS_Project Scenario'!D16</f>
        <v>70</v>
      </c>
      <c r="D1069" s="377">
        <f>+'WHRS_Project Scenario'!E16</f>
        <v>70</v>
      </c>
      <c r="E1069" s="377">
        <f>+'WHRS_Project Scenario'!F16</f>
        <v>70</v>
      </c>
      <c r="F1069" s="377">
        <f>+'WHRS_Project Scenario'!G16</f>
        <v>70</v>
      </c>
      <c r="G1069" s="377">
        <f>+'WHRS_Project Scenario'!H16</f>
        <v>70</v>
      </c>
      <c r="H1069" s="377">
        <f>+'WHRS_Project Scenario'!I16</f>
        <v>70</v>
      </c>
      <c r="I1069" s="377">
        <f>+'WHRS_Project Scenario'!J16</f>
        <v>70</v>
      </c>
      <c r="J1069" s="377">
        <f>+'WHRS_Project Scenario'!K16</f>
        <v>70</v>
      </c>
      <c r="K1069" s="377">
        <f>+'WHRS_Project Scenario'!L16</f>
        <v>70</v>
      </c>
      <c r="L1069" s="377">
        <f>+'WHRS_Project Scenario'!M16</f>
        <v>70</v>
      </c>
      <c r="M1069" s="377">
        <f>+'WHRS_Project Scenario'!N16</f>
        <v>70</v>
      </c>
      <c r="N1069" s="377">
        <f>+'WHRS_Project Scenario'!O16</f>
        <v>70</v>
      </c>
      <c r="O1069" s="377">
        <f>+'WHRS_Project Scenario'!P16</f>
        <v>70</v>
      </c>
      <c r="P1069" s="377">
        <f>+'WHRS_Project Scenario'!Q16</f>
        <v>70</v>
      </c>
      <c r="Q1069" s="377">
        <f>+'WHRS_Project Scenario'!R16</f>
        <v>70</v>
      </c>
    </row>
    <row r="1070" spans="1:17" ht="14.4">
      <c r="A1070" s="366" t="s">
        <v>292</v>
      </c>
      <c r="B1070" s="365"/>
      <c r="C1070" s="377">
        <f>+'WHRS_Project Scenario'!D17</f>
        <v>6.4285714285714288</v>
      </c>
      <c r="D1070" s="377">
        <f>+'WHRS_Project Scenario'!E17</f>
        <v>6.6008571428571425</v>
      </c>
      <c r="E1070" s="377">
        <f>+'WHRS_Project Scenario'!F17</f>
        <v>6.7777601142857131</v>
      </c>
      <c r="F1070" s="377">
        <f>+'WHRS_Project Scenario'!G17</f>
        <v>6.9594040853485701</v>
      </c>
      <c r="G1070" s="377">
        <f>+'WHRS_Project Scenario'!H17</f>
        <v>7.1459161148359112</v>
      </c>
      <c r="H1070" s="377">
        <f>+'WHRS_Project Scenario'!I17</f>
        <v>7.3374266667135135</v>
      </c>
      <c r="I1070" s="377">
        <f>+'WHRS_Project Scenario'!J17</f>
        <v>7.5340697013814353</v>
      </c>
      <c r="J1070" s="377">
        <f>+'WHRS_Project Scenario'!K17</f>
        <v>7.7359827693784569</v>
      </c>
      <c r="K1070" s="377">
        <f>+'WHRS_Project Scenario'!L17</f>
        <v>7.943307107597799</v>
      </c>
      <c r="L1070" s="377">
        <f>+'WHRS_Project Scenario'!M17</f>
        <v>8.1561877380814192</v>
      </c>
      <c r="M1070" s="377">
        <f>+'WHRS_Project Scenario'!N17</f>
        <v>8.3747735694620005</v>
      </c>
      <c r="N1070" s="377">
        <f>+'WHRS_Project Scenario'!O17</f>
        <v>8.5992175011235812</v>
      </c>
      <c r="O1070" s="377">
        <f>+'WHRS_Project Scenario'!P17</f>
        <v>8.8296765301536926</v>
      </c>
      <c r="P1070" s="377">
        <f>+'WHRS_Project Scenario'!Q17</f>
        <v>9.066311861161811</v>
      </c>
      <c r="Q1070" s="377">
        <f>+'WHRS_Project Scenario'!R17</f>
        <v>9.3092890190409463</v>
      </c>
    </row>
    <row r="1071" spans="1:17" ht="14.4">
      <c r="A1071" s="366" t="s">
        <v>293</v>
      </c>
      <c r="B1071" s="365"/>
      <c r="C1071" s="377">
        <f>+C1069*C1070</f>
        <v>450</v>
      </c>
      <c r="D1071" s="377">
        <f t="shared" ref="D1071:Q1071" si="724">+D1069*D1070</f>
        <v>462.06</v>
      </c>
      <c r="E1071" s="377">
        <f t="shared" si="724"/>
        <v>474.44320799999991</v>
      </c>
      <c r="F1071" s="377">
        <f t="shared" si="724"/>
        <v>487.15828597439992</v>
      </c>
      <c r="G1071" s="377">
        <f t="shared" si="724"/>
        <v>500.21412803851376</v>
      </c>
      <c r="H1071" s="377">
        <f t="shared" si="724"/>
        <v>513.61986666994596</v>
      </c>
      <c r="I1071" s="377">
        <f t="shared" si="724"/>
        <v>527.3848790967005</v>
      </c>
      <c r="J1071" s="377">
        <f t="shared" si="724"/>
        <v>541.51879385649192</v>
      </c>
      <c r="K1071" s="377">
        <f t="shared" si="724"/>
        <v>556.03149753184596</v>
      </c>
      <c r="L1071" s="377">
        <f t="shared" si="724"/>
        <v>570.9331416656994</v>
      </c>
      <c r="M1071" s="377">
        <f t="shared" si="724"/>
        <v>586.23414986234002</v>
      </c>
      <c r="N1071" s="377">
        <f t="shared" si="724"/>
        <v>601.94522507865065</v>
      </c>
      <c r="O1071" s="377">
        <f t="shared" si="724"/>
        <v>618.0773571107585</v>
      </c>
      <c r="P1071" s="377">
        <f t="shared" si="724"/>
        <v>634.64183028132675</v>
      </c>
      <c r="Q1071" s="377">
        <f t="shared" si="724"/>
        <v>651.65023133286627</v>
      </c>
    </row>
    <row r="1072" spans="1:17" ht="14.4">
      <c r="A1072" s="370"/>
      <c r="B1072" s="373"/>
      <c r="C1072" s="373"/>
      <c r="D1072" s="373"/>
      <c r="E1072" s="373"/>
      <c r="F1072" s="373"/>
      <c r="G1072" s="373"/>
      <c r="H1072" s="373"/>
      <c r="I1072" s="373"/>
      <c r="J1072" s="373"/>
      <c r="K1072" s="373"/>
      <c r="L1072" s="373"/>
      <c r="M1072" s="373"/>
      <c r="N1072" s="373"/>
      <c r="O1072" s="373"/>
      <c r="P1072" s="373"/>
      <c r="Q1072" s="373"/>
    </row>
    <row r="1073" spans="1:17" ht="14.4">
      <c r="A1073" s="366" t="s">
        <v>294</v>
      </c>
      <c r="B1073" s="377">
        <f>+SUM(C1073:Q1073)</f>
        <v>1759578.4023479735</v>
      </c>
      <c r="C1073" s="377">
        <f>C1068*C1071/1000*'Initial Data'!$C$34/'Initial Data'!$C$33</f>
        <v>96846.715507855319</v>
      </c>
      <c r="D1073" s="377">
        <f>D1068*D1071/1000*'Initial Data'!$C$34/'Initial Data'!$C$33</f>
        <v>99442.207483465856</v>
      </c>
      <c r="E1073" s="377">
        <f>E1068*E1071/1000*'Initial Data'!$C$34/'Initial Data'!$C$33</f>
        <v>102107.25864402272</v>
      </c>
      <c r="F1073" s="377">
        <f>F1068*F1071/1000*'Initial Data'!$C$34/'Initial Data'!$C$33</f>
        <v>104843.73317568253</v>
      </c>
      <c r="G1073" s="377">
        <f>G1068*G1071/1000*'Initial Data'!$C$34/'Initial Data'!$C$33</f>
        <v>107653.5452247908</v>
      </c>
      <c r="H1073" s="377">
        <f>H1068*H1071/1000*'Initial Data'!$C$34/'Initial Data'!$C$33</f>
        <v>110538.66023681519</v>
      </c>
      <c r="I1073" s="377">
        <f>I1068*I1071/1000*'Initial Data'!$C$34/'Initial Data'!$C$33</f>
        <v>113501.09633116184</v>
      </c>
      <c r="J1073" s="377">
        <f>J1068*J1071/1000*'Initial Data'!$C$34/'Initial Data'!$C$33</f>
        <v>116542.92571283695</v>
      </c>
      <c r="K1073" s="377">
        <f>K1068*K1071/1000*'Initial Data'!$C$34/'Initial Data'!$C$33</f>
        <v>119666.27612194099</v>
      </c>
      <c r="L1073" s="377">
        <f>L1068*L1071/1000*'Initial Data'!$C$34/'Initial Data'!$C$33</f>
        <v>122873.332322009</v>
      </c>
      <c r="M1073" s="377">
        <f>M1068*M1071/1000*'Initial Data'!$C$34/'Initial Data'!$C$33</f>
        <v>126166.33762823879</v>
      </c>
      <c r="N1073" s="377">
        <f>N1068*N1071/1000*'Initial Data'!$C$34/'Initial Data'!$C$33</f>
        <v>129547.5954766756</v>
      </c>
      <c r="O1073" s="377">
        <f>O1068*O1071/1000*'Initial Data'!$C$34/'Initial Data'!$C$33</f>
        <v>133019.47103545049</v>
      </c>
      <c r="P1073" s="377">
        <f>P1068*P1071/1000*'Initial Data'!$C$34/'Initial Data'!$C$33</f>
        <v>136584.39285920057</v>
      </c>
      <c r="Q1073" s="377">
        <f>Q1068*Q1071/1000*'Initial Data'!$C$34/'Initial Data'!$C$33</f>
        <v>140244.85458782714</v>
      </c>
    </row>
    <row r="1074" spans="1:17" ht="14.4">
      <c r="A1074" s="370"/>
      <c r="B1074" s="373"/>
      <c r="C1074" s="373"/>
      <c r="D1074" s="373"/>
      <c r="E1074" s="373"/>
      <c r="F1074" s="373"/>
      <c r="G1074" s="373"/>
      <c r="H1074" s="373"/>
      <c r="I1074" s="373"/>
      <c r="J1074" s="373"/>
      <c r="K1074" s="373"/>
      <c r="L1074" s="373"/>
      <c r="M1074" s="373"/>
      <c r="N1074" s="373"/>
      <c r="O1074" s="373"/>
      <c r="P1074" s="373"/>
      <c r="Q1074" s="373"/>
    </row>
    <row r="1075" spans="1:17" ht="14.4">
      <c r="A1075" s="366" t="s">
        <v>295</v>
      </c>
      <c r="B1075" s="377">
        <f>+SUM(C1075:Q1075)</f>
        <v>1759578.4023479735</v>
      </c>
      <c r="C1075" s="377">
        <f>+C1073</f>
        <v>96846.715507855319</v>
      </c>
      <c r="D1075" s="377">
        <f t="shared" ref="D1075:Q1075" si="725">+D1073</f>
        <v>99442.207483465856</v>
      </c>
      <c r="E1075" s="377">
        <f t="shared" si="725"/>
        <v>102107.25864402272</v>
      </c>
      <c r="F1075" s="377">
        <f t="shared" si="725"/>
        <v>104843.73317568253</v>
      </c>
      <c r="G1075" s="377">
        <f t="shared" si="725"/>
        <v>107653.5452247908</v>
      </c>
      <c r="H1075" s="377">
        <f t="shared" si="725"/>
        <v>110538.66023681519</v>
      </c>
      <c r="I1075" s="377">
        <f t="shared" si="725"/>
        <v>113501.09633116184</v>
      </c>
      <c r="J1075" s="377">
        <f t="shared" si="725"/>
        <v>116542.92571283695</v>
      </c>
      <c r="K1075" s="377">
        <f t="shared" si="725"/>
        <v>119666.27612194099</v>
      </c>
      <c r="L1075" s="377">
        <f t="shared" si="725"/>
        <v>122873.332322009</v>
      </c>
      <c r="M1075" s="377">
        <f t="shared" si="725"/>
        <v>126166.33762823879</v>
      </c>
      <c r="N1075" s="377">
        <f t="shared" si="725"/>
        <v>129547.5954766756</v>
      </c>
      <c r="O1075" s="377">
        <f t="shared" si="725"/>
        <v>133019.47103545049</v>
      </c>
      <c r="P1075" s="377">
        <f t="shared" si="725"/>
        <v>136584.39285920057</v>
      </c>
      <c r="Q1075" s="377">
        <f t="shared" si="725"/>
        <v>140244.85458782714</v>
      </c>
    </row>
    <row r="1076" spans="1:17" ht="14.4">
      <c r="A1076" s="370"/>
      <c r="B1076" s="374"/>
      <c r="C1076" s="374"/>
      <c r="D1076" s="374"/>
      <c r="E1076" s="374"/>
      <c r="F1076" s="374"/>
      <c r="G1076" s="374"/>
      <c r="H1076" s="374"/>
      <c r="I1076" s="374"/>
      <c r="J1076" s="374"/>
      <c r="K1076" s="374"/>
      <c r="L1076" s="374"/>
      <c r="M1076" s="374"/>
      <c r="N1076" s="374"/>
      <c r="O1076" s="374"/>
      <c r="P1076" s="374"/>
      <c r="Q1076" s="374"/>
    </row>
    <row r="1077" spans="1:17" ht="14.4">
      <c r="A1077" s="366" t="s">
        <v>68</v>
      </c>
      <c r="B1077" s="368"/>
      <c r="C1077" s="368"/>
      <c r="D1077" s="368"/>
      <c r="E1077" s="368"/>
      <c r="F1077" s="368"/>
      <c r="G1077" s="368"/>
      <c r="H1077" s="368"/>
      <c r="I1077" s="368"/>
      <c r="J1077" s="368"/>
      <c r="K1077" s="368"/>
      <c r="L1077" s="368"/>
      <c r="M1077" s="368"/>
      <c r="N1077" s="368"/>
      <c r="O1077" s="368"/>
      <c r="P1077" s="368"/>
      <c r="Q1077" s="368"/>
    </row>
    <row r="1078" spans="1:17" ht="14.4">
      <c r="A1078" s="366" t="s">
        <v>296</v>
      </c>
      <c r="B1078" s="378">
        <f>+SUM(C1078:Q1078)</f>
        <v>11529.370291765843</v>
      </c>
      <c r="C1078" s="367">
        <f>SUM('Initial Data'!$C$77:$C$80)/'Initial Data'!$C$14/1000</f>
        <v>634.57339732142862</v>
      </c>
      <c r="D1078" s="367">
        <f>+C1078*(1+'Initial Data'!$C$20/100)</f>
        <v>651.57996436964288</v>
      </c>
      <c r="E1078" s="367">
        <f>+D1078*(1+'Initial Data'!$C$20/100)</f>
        <v>669.0423074147493</v>
      </c>
      <c r="F1078" s="367">
        <f>+E1078*(1+'Initial Data'!$C$20/100)</f>
        <v>686.97264125346453</v>
      </c>
      <c r="G1078" s="367">
        <f>+F1078*(1+'Initial Data'!$C$20/100)</f>
        <v>705.38350803905735</v>
      </c>
      <c r="H1078" s="367">
        <f>+G1078*(1+'Initial Data'!$C$20/100)</f>
        <v>724.28778605450407</v>
      </c>
      <c r="I1078" s="367">
        <f>+H1078*(1+'Initial Data'!$C$20/100)</f>
        <v>743.6986987207647</v>
      </c>
      <c r="J1078" s="367">
        <f>+I1078*(1+'Initial Data'!$C$20/100)</f>
        <v>763.62982384648114</v>
      </c>
      <c r="K1078" s="367">
        <f>+J1078*(1+'Initial Data'!$C$20/100)</f>
        <v>784.09510312556677</v>
      </c>
      <c r="L1078" s="367">
        <f>+K1078*(1+'Initial Data'!$C$20/100)</f>
        <v>805.10885188933196</v>
      </c>
      <c r="M1078" s="367">
        <f>+L1078*(1+'Initial Data'!$C$20/100)</f>
        <v>826.68576911996604</v>
      </c>
      <c r="N1078" s="367">
        <f>+M1078*(1+'Initial Data'!$C$20/100)</f>
        <v>848.8409477323811</v>
      </c>
      <c r="O1078" s="367">
        <f>+N1078*(1+'Initial Data'!$C$20/100)</f>
        <v>871.58988513160887</v>
      </c>
      <c r="P1078" s="367">
        <f>+O1078*(1+'Initial Data'!$C$20/100)</f>
        <v>894.94849405313596</v>
      </c>
      <c r="Q1078" s="367">
        <f>+P1078*(1+'Initial Data'!$C$20/100)</f>
        <v>918.93311369375999</v>
      </c>
    </row>
    <row r="1079" spans="1:17" ht="14.4">
      <c r="A1079" s="366" t="s">
        <v>297</v>
      </c>
      <c r="B1079" s="378">
        <f>+SUM(C1079:Q1079)</f>
        <v>13836.767075562186</v>
      </c>
      <c r="C1079" s="367">
        <f>('Initial Data'!$C$82/1000+('Initial Data'!$C$83*'Initial Data'!$C$15/'Initial Data'!$C$14)/1000+'Initial Data'!$C$84/'Initial Data'!$C$14/1000)</f>
        <v>761.57188717892859</v>
      </c>
      <c r="D1079" s="367">
        <f>+C1079*(1+'Initial Data'!$C$20/100)</f>
        <v>781.98201375532381</v>
      </c>
      <c r="E1079" s="367">
        <f>+D1079*(1+'Initial Data'!$C$20/100)</f>
        <v>802.9391317239664</v>
      </c>
      <c r="F1079" s="367">
        <f>+E1079*(1+'Initial Data'!$C$20/100)</f>
        <v>824.45790045416868</v>
      </c>
      <c r="G1079" s="367">
        <f>+F1079*(1+'Initial Data'!$C$20/100)</f>
        <v>846.55337218634031</v>
      </c>
      <c r="H1079" s="367">
        <f>+G1079*(1+'Initial Data'!$C$20/100)</f>
        <v>869.24100256093413</v>
      </c>
      <c r="I1079" s="367">
        <f>+H1079*(1+'Initial Data'!$C$20/100)</f>
        <v>892.53666142956706</v>
      </c>
      <c r="J1079" s="367">
        <f>+I1079*(1+'Initial Data'!$C$20/100)</f>
        <v>916.45664395587937</v>
      </c>
      <c r="K1079" s="367">
        <f>+J1079*(1+'Initial Data'!$C$20/100)</f>
        <v>941.01768201389689</v>
      </c>
      <c r="L1079" s="367">
        <f>+K1079*(1+'Initial Data'!$C$20/100)</f>
        <v>966.23695589186923</v>
      </c>
      <c r="M1079" s="367">
        <f>+L1079*(1+'Initial Data'!$C$20/100)</f>
        <v>992.1321063097713</v>
      </c>
      <c r="N1079" s="367">
        <f>+M1079*(1+'Initial Data'!$C$20/100)</f>
        <v>1018.7212467588731</v>
      </c>
      <c r="O1079" s="367">
        <f>+N1079*(1+'Initial Data'!$C$20/100)</f>
        <v>1046.0229761720109</v>
      </c>
      <c r="P1079" s="367">
        <f>+O1079*(1+'Initial Data'!$C$20/100)</f>
        <v>1074.0563919334206</v>
      </c>
      <c r="Q1079" s="367">
        <f>+P1079*(1+'Initial Data'!$C$20/100)</f>
        <v>1102.8411032372362</v>
      </c>
    </row>
    <row r="1080" spans="1:17" ht="14.4">
      <c r="A1080" s="370"/>
      <c r="B1080" s="369"/>
      <c r="C1080" s="382"/>
      <c r="D1080" s="369"/>
      <c r="E1080" s="369"/>
      <c r="F1080" s="369"/>
      <c r="G1080" s="369"/>
      <c r="H1080" s="369"/>
      <c r="I1080" s="369"/>
      <c r="J1080" s="369"/>
      <c r="K1080" s="369"/>
      <c r="L1080" s="369"/>
      <c r="M1080" s="369"/>
      <c r="N1080" s="369"/>
      <c r="O1080" s="369"/>
      <c r="P1080" s="369"/>
      <c r="Q1080" s="369"/>
    </row>
    <row r="1081" spans="1:17" ht="14.4">
      <c r="A1081" s="366" t="s">
        <v>71</v>
      </c>
      <c r="B1081" s="379"/>
      <c r="C1081" s="379"/>
      <c r="D1081" s="379"/>
      <c r="E1081" s="379"/>
      <c r="F1081" s="379"/>
      <c r="G1081" s="379"/>
      <c r="H1081" s="379"/>
      <c r="I1081" s="379"/>
      <c r="J1081" s="379"/>
      <c r="K1081" s="379"/>
      <c r="L1081" s="379"/>
      <c r="M1081" s="379"/>
      <c r="N1081" s="379"/>
      <c r="O1081" s="379"/>
      <c r="P1081" s="379"/>
      <c r="Q1081" s="379"/>
    </row>
    <row r="1082" spans="1:17" ht="14.4">
      <c r="A1082" s="370"/>
      <c r="B1082" s="379"/>
      <c r="C1082" s="379"/>
      <c r="D1082" s="379"/>
      <c r="E1082" s="379"/>
      <c r="F1082" s="379"/>
      <c r="G1082" s="379"/>
      <c r="H1082" s="379"/>
      <c r="I1082" s="379"/>
      <c r="J1082" s="379"/>
      <c r="K1082" s="379"/>
      <c r="L1082" s="379"/>
      <c r="M1082" s="379"/>
      <c r="N1082" s="379"/>
      <c r="O1082" s="379"/>
      <c r="P1082" s="379"/>
      <c r="Q1082" s="379"/>
    </row>
    <row r="1083" spans="1:17" ht="14.4">
      <c r="A1083" s="366" t="s">
        <v>298</v>
      </c>
      <c r="B1083" s="378">
        <f>+SUM(C1083:Q1083)</f>
        <v>25366.137367328029</v>
      </c>
      <c r="C1083" s="367">
        <f>SUM(C1078:C1079)</f>
        <v>1396.1452845003573</v>
      </c>
      <c r="D1083" s="367">
        <f>SUM(D1078:D1079)</f>
        <v>1433.5619781249666</v>
      </c>
      <c r="E1083" s="367">
        <f t="shared" ref="E1083:Q1083" si="726">SUM(E1078:E1079)</f>
        <v>1471.9814391387158</v>
      </c>
      <c r="F1083" s="367">
        <f t="shared" si="726"/>
        <v>1511.4305417076332</v>
      </c>
      <c r="G1083" s="367">
        <f t="shared" si="726"/>
        <v>1551.9368802253975</v>
      </c>
      <c r="H1083" s="367">
        <f t="shared" si="726"/>
        <v>1593.5287886154383</v>
      </c>
      <c r="I1083" s="367">
        <f t="shared" si="726"/>
        <v>1636.2353601503319</v>
      </c>
      <c r="J1083" s="367">
        <f t="shared" si="726"/>
        <v>1680.0864678023604</v>
      </c>
      <c r="K1083" s="367">
        <f t="shared" si="726"/>
        <v>1725.1127851394635</v>
      </c>
      <c r="L1083" s="367">
        <f t="shared" si="726"/>
        <v>1771.3458077812011</v>
      </c>
      <c r="M1083" s="367">
        <f t="shared" si="726"/>
        <v>1818.8178754297373</v>
      </c>
      <c r="N1083" s="367">
        <f t="shared" si="726"/>
        <v>1867.5621944912541</v>
      </c>
      <c r="O1083" s="367">
        <f t="shared" si="726"/>
        <v>1917.6128613036199</v>
      </c>
      <c r="P1083" s="367">
        <f t="shared" si="726"/>
        <v>1969.0048859865565</v>
      </c>
      <c r="Q1083" s="367">
        <f t="shared" si="726"/>
        <v>2021.7742169309963</v>
      </c>
    </row>
    <row r="1084" spans="1:17" ht="14.4">
      <c r="A1084" s="370"/>
      <c r="B1084" s="379"/>
      <c r="C1084" s="379"/>
      <c r="D1084" s="379"/>
      <c r="E1084" s="379"/>
      <c r="F1084" s="379"/>
      <c r="G1084" s="379"/>
      <c r="H1084" s="379"/>
      <c r="I1084" s="379"/>
      <c r="J1084" s="379"/>
      <c r="K1084" s="379"/>
      <c r="L1084" s="379"/>
      <c r="M1084" s="379"/>
      <c r="N1084" s="379"/>
      <c r="O1084" s="379"/>
      <c r="P1084" s="379"/>
      <c r="Q1084" s="379"/>
    </row>
    <row r="1085" spans="1:17" ht="14.4">
      <c r="A1085" s="366" t="s">
        <v>299</v>
      </c>
      <c r="B1085" s="378">
        <f t="shared" ref="B1085:B1086" si="727">+SUM(C1085:Q1085)</f>
        <v>43884.879418749995</v>
      </c>
      <c r="C1085" s="367">
        <f>'WHRS_Project Scenario'!$C$8/'Initial Data'!$C$19</f>
        <v>4388.4879418749997</v>
      </c>
      <c r="D1085" s="367">
        <f>'WHRS_Project Scenario'!$C$8/'Initial Data'!$C$19</f>
        <v>4388.4879418749997</v>
      </c>
      <c r="E1085" s="367">
        <f>'WHRS_Project Scenario'!$C$8/'Initial Data'!$C$19</f>
        <v>4388.4879418749997</v>
      </c>
      <c r="F1085" s="367">
        <f>'WHRS_Project Scenario'!$C$8/'Initial Data'!$C$19</f>
        <v>4388.4879418749997</v>
      </c>
      <c r="G1085" s="367">
        <f>'WHRS_Project Scenario'!$C$8/'Initial Data'!$C$19</f>
        <v>4388.4879418749997</v>
      </c>
      <c r="H1085" s="367">
        <f>'WHRS_Project Scenario'!$C$8/'Initial Data'!$C$19</f>
        <v>4388.4879418749997</v>
      </c>
      <c r="I1085" s="367">
        <f>'WHRS_Project Scenario'!$C$8/'Initial Data'!$C$19</f>
        <v>4388.4879418749997</v>
      </c>
      <c r="J1085" s="367">
        <f>'WHRS_Project Scenario'!$C$8/'Initial Data'!$C$19</f>
        <v>4388.4879418749997</v>
      </c>
      <c r="K1085" s="367">
        <f>'WHRS_Project Scenario'!$C$8/'Initial Data'!$C$19</f>
        <v>4388.4879418749997</v>
      </c>
      <c r="L1085" s="367">
        <f>'WHRS_Project Scenario'!$C$8/'Initial Data'!$C$19</f>
        <v>4388.4879418749997</v>
      </c>
      <c r="M1085" s="367">
        <v>0</v>
      </c>
      <c r="N1085" s="367">
        <v>0</v>
      </c>
      <c r="O1085" s="367">
        <v>0</v>
      </c>
      <c r="P1085" s="367">
        <v>0</v>
      </c>
      <c r="Q1085" s="367">
        <v>0</v>
      </c>
    </row>
    <row r="1086" spans="1:17" ht="14.4">
      <c r="A1086" s="366" t="s">
        <v>300</v>
      </c>
      <c r="B1086" s="378">
        <f t="shared" si="727"/>
        <v>43884.879418749995</v>
      </c>
      <c r="C1086" s="367">
        <f>SUM(C1085:C1085)</f>
        <v>4388.4879418749997</v>
      </c>
      <c r="D1086" s="367">
        <f t="shared" ref="D1086:Q1086" si="728">SUM(D1085:D1085)</f>
        <v>4388.4879418749997</v>
      </c>
      <c r="E1086" s="367">
        <f t="shared" si="728"/>
        <v>4388.4879418749997</v>
      </c>
      <c r="F1086" s="367">
        <f t="shared" si="728"/>
        <v>4388.4879418749997</v>
      </c>
      <c r="G1086" s="367">
        <f t="shared" si="728"/>
        <v>4388.4879418749997</v>
      </c>
      <c r="H1086" s="367">
        <f t="shared" si="728"/>
        <v>4388.4879418749997</v>
      </c>
      <c r="I1086" s="367">
        <f t="shared" si="728"/>
        <v>4388.4879418749997</v>
      </c>
      <c r="J1086" s="367">
        <f t="shared" si="728"/>
        <v>4388.4879418749997</v>
      </c>
      <c r="K1086" s="367">
        <f t="shared" si="728"/>
        <v>4388.4879418749997</v>
      </c>
      <c r="L1086" s="367">
        <f t="shared" si="728"/>
        <v>4388.4879418749997</v>
      </c>
      <c r="M1086" s="367">
        <f t="shared" si="728"/>
        <v>0</v>
      </c>
      <c r="N1086" s="367">
        <f t="shared" si="728"/>
        <v>0</v>
      </c>
      <c r="O1086" s="367">
        <f t="shared" si="728"/>
        <v>0</v>
      </c>
      <c r="P1086" s="367">
        <f t="shared" si="728"/>
        <v>0</v>
      </c>
      <c r="Q1086" s="367">
        <f t="shared" si="728"/>
        <v>0</v>
      </c>
    </row>
    <row r="1087" spans="1:17" ht="14.4">
      <c r="A1087" s="370"/>
      <c r="B1087" s="379"/>
      <c r="C1087" s="379"/>
      <c r="D1087" s="379"/>
      <c r="E1087" s="379"/>
      <c r="F1087" s="379"/>
      <c r="G1087" s="379"/>
      <c r="H1087" s="379"/>
      <c r="I1087" s="379"/>
      <c r="J1087" s="379"/>
      <c r="K1087" s="379"/>
      <c r="L1087" s="379"/>
      <c r="M1087" s="379"/>
      <c r="N1087" s="379"/>
      <c r="O1087" s="379"/>
      <c r="P1087" s="379"/>
      <c r="Q1087" s="379"/>
    </row>
    <row r="1088" spans="1:17" ht="14.4">
      <c r="A1088" s="366" t="s">
        <v>301</v>
      </c>
      <c r="B1088" s="378">
        <f>+SUM(C1088:Q1088)</f>
        <v>69251.016786078035</v>
      </c>
      <c r="C1088" s="367">
        <f>+C1083+C1086</f>
        <v>5784.6332263753575</v>
      </c>
      <c r="D1088" s="367">
        <f>+D1083+D1086</f>
        <v>5822.0499199999667</v>
      </c>
      <c r="E1088" s="367">
        <f t="shared" ref="E1088:Q1088" si="729">+E1083+E1086</f>
        <v>5860.469381013716</v>
      </c>
      <c r="F1088" s="367">
        <f t="shared" si="729"/>
        <v>5899.9184835826327</v>
      </c>
      <c r="G1088" s="367">
        <f t="shared" si="729"/>
        <v>5940.4248221003973</v>
      </c>
      <c r="H1088" s="367">
        <f t="shared" si="729"/>
        <v>5982.016730490438</v>
      </c>
      <c r="I1088" s="367">
        <f t="shared" si="729"/>
        <v>6024.7233020253316</v>
      </c>
      <c r="J1088" s="367">
        <f t="shared" si="729"/>
        <v>6068.5744096773597</v>
      </c>
      <c r="K1088" s="367">
        <f t="shared" si="729"/>
        <v>6113.6007270144637</v>
      </c>
      <c r="L1088" s="367">
        <f t="shared" si="729"/>
        <v>6159.8337496562008</v>
      </c>
      <c r="M1088" s="367">
        <f t="shared" si="729"/>
        <v>1818.8178754297373</v>
      </c>
      <c r="N1088" s="367">
        <f t="shared" si="729"/>
        <v>1867.5621944912541</v>
      </c>
      <c r="O1088" s="367">
        <f t="shared" si="729"/>
        <v>1917.6128613036199</v>
      </c>
      <c r="P1088" s="367">
        <f t="shared" si="729"/>
        <v>1969.0048859865565</v>
      </c>
      <c r="Q1088" s="367">
        <f t="shared" si="729"/>
        <v>2021.7742169309963</v>
      </c>
    </row>
    <row r="1089" spans="1:17" ht="14.4">
      <c r="A1089" s="370"/>
      <c r="B1089" s="379"/>
      <c r="C1089" s="379"/>
      <c r="D1089" s="379"/>
      <c r="E1089" s="379"/>
      <c r="F1089" s="379"/>
      <c r="G1089" s="379"/>
      <c r="H1089" s="379"/>
      <c r="I1089" s="379"/>
      <c r="J1089" s="379"/>
      <c r="K1089" s="379"/>
      <c r="L1089" s="379"/>
      <c r="M1089" s="379"/>
      <c r="N1089" s="379"/>
      <c r="O1089" s="379"/>
      <c r="P1089" s="379"/>
      <c r="Q1089" s="379"/>
    </row>
    <row r="1090" spans="1:17" ht="14.4">
      <c r="A1090" s="364" t="s">
        <v>302</v>
      </c>
      <c r="B1090" s="378">
        <f>+SUM(C1090:Q1090)</f>
        <v>1690327.3855618956</v>
      </c>
      <c r="C1090" s="367">
        <f>+C1075-C1088</f>
        <v>91062.082281479961</v>
      </c>
      <c r="D1090" s="367">
        <f>+D1075-D1088</f>
        <v>93620.157563465895</v>
      </c>
      <c r="E1090" s="367">
        <f t="shared" ref="E1090:Q1090" si="730">+E1075-E1088</f>
        <v>96246.789263009006</v>
      </c>
      <c r="F1090" s="367">
        <f t="shared" si="730"/>
        <v>98943.814692099899</v>
      </c>
      <c r="G1090" s="367">
        <f t="shared" si="730"/>
        <v>101713.1204026904</v>
      </c>
      <c r="H1090" s="367">
        <f t="shared" si="730"/>
        <v>104556.64350632476</v>
      </c>
      <c r="I1090" s="367">
        <f t="shared" si="730"/>
        <v>107476.37302913651</v>
      </c>
      <c r="J1090" s="367">
        <f t="shared" si="730"/>
        <v>110474.35130315959</v>
      </c>
      <c r="K1090" s="367">
        <f t="shared" si="730"/>
        <v>113552.67539492653</v>
      </c>
      <c r="L1090" s="367">
        <f t="shared" si="730"/>
        <v>116713.49857235279</v>
      </c>
      <c r="M1090" s="367">
        <f t="shared" si="730"/>
        <v>124347.51975280905</v>
      </c>
      <c r="N1090" s="367">
        <f t="shared" si="730"/>
        <v>127680.03328218435</v>
      </c>
      <c r="O1090" s="367">
        <f t="shared" si="730"/>
        <v>131101.85817414688</v>
      </c>
      <c r="P1090" s="367">
        <f t="shared" si="730"/>
        <v>134615.387973214</v>
      </c>
      <c r="Q1090" s="367">
        <f t="shared" si="730"/>
        <v>138223.08037089615</v>
      </c>
    </row>
    <row r="1091" spans="1:17" ht="14.4">
      <c r="A1091" s="364"/>
    </row>
    <row r="1092" spans="1:17" ht="14.4">
      <c r="A1092" s="364" t="s">
        <v>222</v>
      </c>
      <c r="B1092" s="380">
        <f>'WHRS_Project Scenario'!C39</f>
        <v>0.7</v>
      </c>
      <c r="C1092" s="367">
        <f>IF((+$B$1092*C1090)&lt;0,"0",(+$B$1092*C1090))</f>
        <v>63743.457597035966</v>
      </c>
      <c r="D1092" s="367">
        <f t="shared" ref="D1092:Q1092" si="731">IF((+$B$1092*D1090)&lt;0,"0",(+$B$1092*D1090))</f>
        <v>65534.110294426122</v>
      </c>
      <c r="E1092" s="367">
        <f t="shared" si="731"/>
        <v>67372.752484106299</v>
      </c>
      <c r="F1092" s="367">
        <f t="shared" si="731"/>
        <v>69260.670284469918</v>
      </c>
      <c r="G1092" s="367">
        <f t="shared" si="731"/>
        <v>71199.184281883281</v>
      </c>
      <c r="H1092" s="367">
        <f t="shared" si="731"/>
        <v>73189.650454427334</v>
      </c>
      <c r="I1092" s="367">
        <f t="shared" si="731"/>
        <v>75233.461120395543</v>
      </c>
      <c r="J1092" s="367">
        <f t="shared" si="731"/>
        <v>77332.045912211717</v>
      </c>
      <c r="K1092" s="367">
        <f t="shared" si="731"/>
        <v>79486.872776448567</v>
      </c>
      <c r="L1092" s="367">
        <f t="shared" si="731"/>
        <v>81699.449000646957</v>
      </c>
      <c r="M1092" s="367">
        <f t="shared" si="731"/>
        <v>87043.263826966329</v>
      </c>
      <c r="N1092" s="367">
        <f t="shared" si="731"/>
        <v>89376.023297529042</v>
      </c>
      <c r="O1092" s="367">
        <f t="shared" si="731"/>
        <v>91771.300721902808</v>
      </c>
      <c r="P1092" s="367">
        <f t="shared" si="731"/>
        <v>94230.771581249792</v>
      </c>
      <c r="Q1092" s="367">
        <f t="shared" si="731"/>
        <v>96756.1562596273</v>
      </c>
    </row>
    <row r="1093" spans="1:17" ht="14.4">
      <c r="A1093" s="364" t="s">
        <v>303</v>
      </c>
      <c r="B1093" s="378">
        <f>+SUM(C1093:Q1093)</f>
        <v>1183229.1698933272</v>
      </c>
      <c r="C1093" s="367">
        <f>SUM(C1092:C1092)</f>
        <v>63743.457597035966</v>
      </c>
      <c r="D1093" s="367">
        <f t="shared" ref="D1093:Q1093" si="732">SUM(D1092:D1092)</f>
        <v>65534.110294426122</v>
      </c>
      <c r="E1093" s="367">
        <f t="shared" si="732"/>
        <v>67372.752484106299</v>
      </c>
      <c r="F1093" s="367">
        <f t="shared" si="732"/>
        <v>69260.670284469918</v>
      </c>
      <c r="G1093" s="367">
        <f t="shared" si="732"/>
        <v>71199.184281883281</v>
      </c>
      <c r="H1093" s="367">
        <f t="shared" si="732"/>
        <v>73189.650454427334</v>
      </c>
      <c r="I1093" s="367">
        <f t="shared" si="732"/>
        <v>75233.461120395543</v>
      </c>
      <c r="J1093" s="367">
        <f t="shared" si="732"/>
        <v>77332.045912211717</v>
      </c>
      <c r="K1093" s="367">
        <f t="shared" si="732"/>
        <v>79486.872776448567</v>
      </c>
      <c r="L1093" s="367">
        <f t="shared" si="732"/>
        <v>81699.449000646957</v>
      </c>
      <c r="M1093" s="367">
        <f t="shared" si="732"/>
        <v>87043.263826966329</v>
      </c>
      <c r="N1093" s="367">
        <f t="shared" si="732"/>
        <v>89376.023297529042</v>
      </c>
      <c r="O1093" s="367">
        <f t="shared" si="732"/>
        <v>91771.300721902808</v>
      </c>
      <c r="P1093" s="367">
        <f t="shared" si="732"/>
        <v>94230.771581249792</v>
      </c>
      <c r="Q1093" s="367">
        <f t="shared" si="732"/>
        <v>96756.1562596273</v>
      </c>
    </row>
    <row r="1094" spans="1:17" ht="14.4">
      <c r="A1094" s="369"/>
    </row>
    <row r="1095" spans="1:17" ht="14.4">
      <c r="A1095" s="364" t="s">
        <v>304</v>
      </c>
      <c r="B1095" s="378">
        <f t="shared" ref="B1095:B1097" si="733">+SUM(C1095:Q1095)</f>
        <v>507098.2156685688</v>
      </c>
      <c r="C1095" s="367">
        <f>C1090-C1093</f>
        <v>27318.624684443996</v>
      </c>
      <c r="D1095" s="367">
        <f t="shared" ref="D1095:Q1095" si="734">D1090-D1093</f>
        <v>28086.047269039773</v>
      </c>
      <c r="E1095" s="367">
        <f t="shared" si="734"/>
        <v>28874.036778902708</v>
      </c>
      <c r="F1095" s="367">
        <f t="shared" si="734"/>
        <v>29683.144407629981</v>
      </c>
      <c r="G1095" s="367">
        <f t="shared" si="734"/>
        <v>30513.93612080712</v>
      </c>
      <c r="H1095" s="367">
        <f t="shared" si="734"/>
        <v>31366.993051897429</v>
      </c>
      <c r="I1095" s="367">
        <f t="shared" si="734"/>
        <v>32242.911908740964</v>
      </c>
      <c r="J1095" s="367">
        <f t="shared" si="734"/>
        <v>33142.305390947877</v>
      </c>
      <c r="K1095" s="367">
        <f t="shared" si="734"/>
        <v>34065.802618477959</v>
      </c>
      <c r="L1095" s="367">
        <f t="shared" si="734"/>
        <v>35014.049571705837</v>
      </c>
      <c r="M1095" s="367">
        <f t="shared" si="734"/>
        <v>37304.255925842721</v>
      </c>
      <c r="N1095" s="367">
        <f t="shared" si="734"/>
        <v>38304.009984655306</v>
      </c>
      <c r="O1095" s="367">
        <f t="shared" si="734"/>
        <v>39330.557452244073</v>
      </c>
      <c r="P1095" s="367">
        <f t="shared" si="734"/>
        <v>40384.616391964213</v>
      </c>
      <c r="Q1095" s="367">
        <f t="shared" si="734"/>
        <v>41466.924111268847</v>
      </c>
    </row>
    <row r="1096" spans="1:17" ht="14.4">
      <c r="A1096" s="364" t="s">
        <v>305</v>
      </c>
      <c r="B1096" s="378">
        <f t="shared" si="733"/>
        <v>43884.879418749995</v>
      </c>
      <c r="C1096" s="367">
        <f>+C1085</f>
        <v>4388.4879418749997</v>
      </c>
      <c r="D1096" s="367">
        <f t="shared" ref="D1096:Q1096" si="735">+D1085</f>
        <v>4388.4879418749997</v>
      </c>
      <c r="E1096" s="367">
        <f t="shared" si="735"/>
        <v>4388.4879418749997</v>
      </c>
      <c r="F1096" s="367">
        <f t="shared" si="735"/>
        <v>4388.4879418749997</v>
      </c>
      <c r="G1096" s="367">
        <f t="shared" si="735"/>
        <v>4388.4879418749997</v>
      </c>
      <c r="H1096" s="367">
        <f t="shared" si="735"/>
        <v>4388.4879418749997</v>
      </c>
      <c r="I1096" s="367">
        <f t="shared" si="735"/>
        <v>4388.4879418749997</v>
      </c>
      <c r="J1096" s="367">
        <f t="shared" si="735"/>
        <v>4388.4879418749997</v>
      </c>
      <c r="K1096" s="367">
        <f t="shared" si="735"/>
        <v>4388.4879418749997</v>
      </c>
      <c r="L1096" s="367">
        <f t="shared" si="735"/>
        <v>4388.4879418749997</v>
      </c>
      <c r="M1096" s="367">
        <f t="shared" si="735"/>
        <v>0</v>
      </c>
      <c r="N1096" s="367">
        <f t="shared" si="735"/>
        <v>0</v>
      </c>
      <c r="O1096" s="367">
        <f t="shared" si="735"/>
        <v>0</v>
      </c>
      <c r="P1096" s="367">
        <f t="shared" si="735"/>
        <v>0</v>
      </c>
      <c r="Q1096" s="367">
        <f t="shared" si="735"/>
        <v>0</v>
      </c>
    </row>
    <row r="1097" spans="1:17" ht="14.4">
      <c r="A1097" s="364" t="s">
        <v>306</v>
      </c>
      <c r="B1097" s="378">
        <f t="shared" si="733"/>
        <v>0</v>
      </c>
      <c r="C1097" s="367">
        <f>+'WHRS_Project Scenario'!D1070</f>
        <v>0</v>
      </c>
      <c r="D1097" s="367">
        <f>+'WHRS_Project Scenario'!E1070</f>
        <v>0</v>
      </c>
      <c r="E1097" s="367">
        <f>+'WHRS_Project Scenario'!F1070</f>
        <v>0</v>
      </c>
      <c r="F1097" s="367">
        <f>+'WHRS_Project Scenario'!G1070</f>
        <v>0</v>
      </c>
      <c r="G1097" s="367">
        <f>+'WHRS_Project Scenario'!H1070</f>
        <v>0</v>
      </c>
      <c r="H1097" s="367">
        <f>+'WHRS_Project Scenario'!I1070</f>
        <v>0</v>
      </c>
      <c r="I1097" s="367">
        <f>+'WHRS_Project Scenario'!J1070</f>
        <v>0</v>
      </c>
      <c r="J1097" s="367">
        <f>+'WHRS_Project Scenario'!K1070</f>
        <v>0</v>
      </c>
      <c r="K1097" s="367">
        <f>+'WHRS_Project Scenario'!L1070</f>
        <v>0</v>
      </c>
      <c r="L1097" s="367">
        <f>+'WHRS_Project Scenario'!M1070</f>
        <v>0</v>
      </c>
      <c r="M1097" s="367">
        <f>+'WHRS_Project Scenario'!N1070</f>
        <v>0</v>
      </c>
      <c r="N1097" s="367">
        <f>+'WHRS_Project Scenario'!O1070</f>
        <v>0</v>
      </c>
      <c r="O1097" s="367">
        <f>+'WHRS_Project Scenario'!P1070</f>
        <v>0</v>
      </c>
      <c r="P1097" s="367">
        <f>+'WHRS_Project Scenario'!Q1070</f>
        <v>0</v>
      </c>
      <c r="Q1097" s="367">
        <f>+'WHRS_Project Scenario'!R1070</f>
        <v>0</v>
      </c>
    </row>
    <row r="1098" spans="1:17" ht="14.4">
      <c r="A1098" s="364"/>
    </row>
    <row r="1099" spans="1:17" ht="14.4">
      <c r="A1099" s="364" t="s">
        <v>110</v>
      </c>
      <c r="B1099" s="378">
        <f>-'WHRS_Project Scenario'!C8</f>
        <v>-43884.879418749995</v>
      </c>
      <c r="C1099" s="367">
        <f>C1095+C1096+C1097</f>
        <v>31707.112626318994</v>
      </c>
      <c r="D1099" s="367">
        <f t="shared" ref="D1099:Q1099" si="736">D1095+D1096+D1097</f>
        <v>32474.535210914772</v>
      </c>
      <c r="E1099" s="367">
        <f t="shared" si="736"/>
        <v>33262.524720777707</v>
      </c>
      <c r="F1099" s="367">
        <f t="shared" si="736"/>
        <v>34071.63234950498</v>
      </c>
      <c r="G1099" s="367">
        <f t="shared" si="736"/>
        <v>34902.424062682119</v>
      </c>
      <c r="H1099" s="367">
        <f t="shared" si="736"/>
        <v>35755.480993772428</v>
      </c>
      <c r="I1099" s="367">
        <f t="shared" si="736"/>
        <v>36631.399850615962</v>
      </c>
      <c r="J1099" s="367">
        <f t="shared" si="736"/>
        <v>37530.793332822876</v>
      </c>
      <c r="K1099" s="367">
        <f t="shared" si="736"/>
        <v>38454.290560352958</v>
      </c>
      <c r="L1099" s="367">
        <f t="shared" si="736"/>
        <v>39402.537513580835</v>
      </c>
      <c r="M1099" s="367">
        <f t="shared" si="736"/>
        <v>37304.255925842721</v>
      </c>
      <c r="N1099" s="367">
        <f t="shared" si="736"/>
        <v>38304.009984655306</v>
      </c>
      <c r="O1099" s="367">
        <f t="shared" si="736"/>
        <v>39330.557452244073</v>
      </c>
      <c r="P1099" s="367">
        <f t="shared" si="736"/>
        <v>40384.616391964213</v>
      </c>
      <c r="Q1099" s="367">
        <f t="shared" si="736"/>
        <v>41466.924111268847</v>
      </c>
    </row>
    <row r="1100" spans="1:17" ht="15.6">
      <c r="A1100" s="364" t="s">
        <v>51</v>
      </c>
      <c r="B1100" s="132">
        <f>IRR(B1099:Q1099)</f>
        <v>0.74631049628791313</v>
      </c>
    </row>
    <row r="1101" spans="1:17" ht="15.6">
      <c r="A1101" s="364" t="s">
        <v>267</v>
      </c>
      <c r="B1101" s="303">
        <f>NPV('Initial Data'!C21/100,B1099:Q1099)</f>
        <v>176118.00956786249</v>
      </c>
    </row>
    <row r="1103" spans="1:17" ht="14.4">
      <c r="A1103" s="364" t="s">
        <v>103</v>
      </c>
    </row>
    <row r="1104" spans="1:17" ht="14.4">
      <c r="A1104" s="369"/>
    </row>
    <row r="1105" spans="1:17" ht="14.4">
      <c r="A1105" s="364" t="s">
        <v>363</v>
      </c>
      <c r="C1105" s="367">
        <f>'WHRS_Project Scenario'!D52</f>
        <v>88111</v>
      </c>
      <c r="D1105" s="367">
        <f>'WHRS_Project Scenario'!E52</f>
        <v>88111</v>
      </c>
      <c r="E1105" s="367">
        <f>'WHRS_Project Scenario'!F52</f>
        <v>88111</v>
      </c>
      <c r="F1105" s="367">
        <f>'WHRS_Project Scenario'!G52</f>
        <v>88111</v>
      </c>
      <c r="G1105" s="367">
        <f>'WHRS_Project Scenario'!H52</f>
        <v>88111</v>
      </c>
      <c r="H1105" s="367">
        <f>'WHRS_Project Scenario'!I52</f>
        <v>88111</v>
      </c>
      <c r="I1105" s="367">
        <f>'WHRS_Project Scenario'!J52</f>
        <v>88111</v>
      </c>
      <c r="J1105" s="367">
        <f>'WHRS_Project Scenario'!K52</f>
        <v>88111</v>
      </c>
      <c r="K1105" s="367">
        <f>'WHRS_Project Scenario'!L52</f>
        <v>88111</v>
      </c>
      <c r="L1105" s="367">
        <f>'WHRS_Project Scenario'!M52</f>
        <v>88111</v>
      </c>
      <c r="M1105" s="367">
        <f>'WHRS_Project Scenario'!N52</f>
        <v>0</v>
      </c>
      <c r="N1105" s="367">
        <f>'WHRS_Project Scenario'!O52</f>
        <v>0</v>
      </c>
      <c r="O1105" s="367">
        <f>'WHRS_Project Scenario'!P52</f>
        <v>0</v>
      </c>
      <c r="P1105" s="367">
        <f>'WHRS_Project Scenario'!Q52</f>
        <v>0</v>
      </c>
      <c r="Q1105" s="367">
        <f>'WHRS_Project Scenario'!R52</f>
        <v>0</v>
      </c>
    </row>
    <row r="1106" spans="1:17" ht="14.4">
      <c r="A1106" s="364" t="s">
        <v>364</v>
      </c>
      <c r="C1106" s="367">
        <f>$C$13</f>
        <v>5</v>
      </c>
    </row>
    <row r="1107" spans="1:17" ht="14.4">
      <c r="A1107" s="369"/>
    </row>
    <row r="1108" spans="1:17" ht="14.4">
      <c r="A1108" s="364" t="s">
        <v>365</v>
      </c>
      <c r="C1108" s="367">
        <f>C1105*$C$1106/1000</f>
        <v>440.55500000000001</v>
      </c>
      <c r="D1108" s="367">
        <f t="shared" ref="D1108:Q1108" si="737">D1105*$C$1106/1000</f>
        <v>440.55500000000001</v>
      </c>
      <c r="E1108" s="367">
        <f t="shared" si="737"/>
        <v>440.55500000000001</v>
      </c>
      <c r="F1108" s="367">
        <f t="shared" si="737"/>
        <v>440.55500000000001</v>
      </c>
      <c r="G1108" s="367">
        <f t="shared" si="737"/>
        <v>440.55500000000001</v>
      </c>
      <c r="H1108" s="367">
        <f t="shared" si="737"/>
        <v>440.55500000000001</v>
      </c>
      <c r="I1108" s="367">
        <f t="shared" si="737"/>
        <v>440.55500000000001</v>
      </c>
      <c r="J1108" s="367">
        <f t="shared" si="737"/>
        <v>440.55500000000001</v>
      </c>
      <c r="K1108" s="367">
        <f t="shared" si="737"/>
        <v>440.55500000000001</v>
      </c>
      <c r="L1108" s="367">
        <f t="shared" si="737"/>
        <v>440.55500000000001</v>
      </c>
      <c r="M1108" s="367">
        <f t="shared" si="737"/>
        <v>0</v>
      </c>
      <c r="N1108" s="367">
        <f t="shared" si="737"/>
        <v>0</v>
      </c>
      <c r="O1108" s="367">
        <f t="shared" si="737"/>
        <v>0</v>
      </c>
      <c r="P1108" s="367">
        <f t="shared" si="737"/>
        <v>0</v>
      </c>
      <c r="Q1108" s="367">
        <f t="shared" si="737"/>
        <v>0</v>
      </c>
    </row>
    <row r="1109" spans="1:17" ht="14.4">
      <c r="A1109" s="369"/>
    </row>
    <row r="1110" spans="1:17" ht="14.4">
      <c r="A1110" s="364" t="s">
        <v>110</v>
      </c>
      <c r="B1110" s="378">
        <f>B1099</f>
        <v>-43884.879418749995</v>
      </c>
      <c r="C1110" s="367">
        <f>C1099+C1108</f>
        <v>32147.667626318995</v>
      </c>
      <c r="D1110" s="367">
        <f t="shared" ref="D1110:Q1110" si="738">D1099+D1108</f>
        <v>32915.090210914772</v>
      </c>
      <c r="E1110" s="367">
        <f t="shared" si="738"/>
        <v>33703.079720777707</v>
      </c>
      <c r="F1110" s="367">
        <f t="shared" si="738"/>
        <v>34512.18734950498</v>
      </c>
      <c r="G1110" s="367">
        <f t="shared" si="738"/>
        <v>35342.97906268212</v>
      </c>
      <c r="H1110" s="367">
        <f t="shared" si="738"/>
        <v>36196.035993772428</v>
      </c>
      <c r="I1110" s="367">
        <f t="shared" si="738"/>
        <v>37071.954850615963</v>
      </c>
      <c r="J1110" s="367">
        <f t="shared" si="738"/>
        <v>37971.348332822876</v>
      </c>
      <c r="K1110" s="367">
        <f t="shared" si="738"/>
        <v>38894.845560352958</v>
      </c>
      <c r="L1110" s="367">
        <f t="shared" si="738"/>
        <v>39843.092513580836</v>
      </c>
      <c r="M1110" s="367">
        <f t="shared" si="738"/>
        <v>37304.255925842721</v>
      </c>
      <c r="N1110" s="367">
        <f t="shared" si="738"/>
        <v>38304.009984655306</v>
      </c>
      <c r="O1110" s="367">
        <f t="shared" si="738"/>
        <v>39330.557452244073</v>
      </c>
      <c r="P1110" s="367">
        <f t="shared" si="738"/>
        <v>40384.616391964213</v>
      </c>
      <c r="Q1110" s="367">
        <f t="shared" si="738"/>
        <v>41466.924111268847</v>
      </c>
    </row>
    <row r="1111" spans="1:17" ht="15.6">
      <c r="A1111" s="364" t="s">
        <v>51</v>
      </c>
      <c r="B1111" s="132">
        <f>IRR(B1110:Q1110)</f>
        <v>0.75602284120408669</v>
      </c>
    </row>
    <row r="1112" spans="1:17" ht="15.6">
      <c r="A1112" s="364" t="s">
        <v>267</v>
      </c>
      <c r="B1112" s="303">
        <f>NPV('Initial Data'!C21/100,B1110:Q1110)</f>
        <v>178340.53993061389</v>
      </c>
    </row>
    <row r="1114" spans="1:17" ht="14.4">
      <c r="A1114" s="508" t="s">
        <v>361</v>
      </c>
      <c r="B1114" s="509"/>
      <c r="C1114" s="509"/>
      <c r="D1114" s="509"/>
      <c r="E1114" s="509"/>
      <c r="F1114" s="509"/>
      <c r="G1114" s="509"/>
      <c r="H1114" s="509"/>
      <c r="I1114" s="509"/>
      <c r="J1114" s="509"/>
      <c r="K1114" s="509"/>
      <c r="L1114" s="509"/>
      <c r="M1114" s="509"/>
      <c r="N1114" s="509"/>
      <c r="O1114" s="509"/>
      <c r="P1114" s="509"/>
      <c r="Q1114" s="509"/>
    </row>
    <row r="1115" spans="1:17" ht="14.4">
      <c r="A1115" s="371" t="s">
        <v>366</v>
      </c>
      <c r="B1115" s="372"/>
      <c r="C1115" s="372"/>
      <c r="D1115" s="372"/>
      <c r="E1115" s="372"/>
      <c r="F1115" s="372"/>
      <c r="G1115" s="372"/>
      <c r="H1115" s="372"/>
      <c r="I1115" s="372"/>
      <c r="J1115" s="372"/>
      <c r="K1115" s="372"/>
      <c r="L1115" s="372"/>
      <c r="M1115" s="372"/>
      <c r="N1115" s="372"/>
      <c r="O1115" s="372"/>
      <c r="P1115" s="372"/>
      <c r="Q1115" s="372"/>
    </row>
    <row r="1116" spans="1:17" ht="27">
      <c r="A1116" s="376"/>
      <c r="B1116" s="304" t="s">
        <v>35</v>
      </c>
      <c r="C1116" s="352" t="s">
        <v>407</v>
      </c>
      <c r="D1116" s="352" t="s">
        <v>408</v>
      </c>
      <c r="E1116" s="352" t="s">
        <v>409</v>
      </c>
      <c r="F1116" s="352" t="s">
        <v>410</v>
      </c>
      <c r="G1116" s="352" t="s">
        <v>411</v>
      </c>
      <c r="H1116" s="352" t="s">
        <v>412</v>
      </c>
      <c r="I1116" s="352" t="s">
        <v>413</v>
      </c>
      <c r="J1116" s="352" t="s">
        <v>414</v>
      </c>
      <c r="K1116" s="352" t="s">
        <v>415</v>
      </c>
      <c r="L1116" s="352" t="s">
        <v>416</v>
      </c>
      <c r="M1116" s="352" t="s">
        <v>417</v>
      </c>
      <c r="N1116" s="352" t="s">
        <v>418</v>
      </c>
      <c r="O1116" s="352" t="s">
        <v>419</v>
      </c>
      <c r="P1116" s="352" t="s">
        <v>420</v>
      </c>
      <c r="Q1116" s="352" t="s">
        <v>421</v>
      </c>
    </row>
    <row r="1117" spans="1:17" ht="14.4">
      <c r="A1117" s="363" t="s">
        <v>290</v>
      </c>
      <c r="B1117" s="365"/>
      <c r="C1117" s="377">
        <f>+'WHRS_Project Scenario'!D15</f>
        <v>215214.92335078961</v>
      </c>
      <c r="D1117" s="377">
        <f>+'WHRS_Project Scenario'!E15</f>
        <v>215214.92335078961</v>
      </c>
      <c r="E1117" s="377">
        <f>+'WHRS_Project Scenario'!F15</f>
        <v>215214.92335078961</v>
      </c>
      <c r="F1117" s="377">
        <f>+'WHRS_Project Scenario'!G15</f>
        <v>215214.92335078961</v>
      </c>
      <c r="G1117" s="377">
        <f>+'WHRS_Project Scenario'!H15</f>
        <v>215214.92335078961</v>
      </c>
      <c r="H1117" s="377">
        <f>+'WHRS_Project Scenario'!I15</f>
        <v>215214.92335078961</v>
      </c>
      <c r="I1117" s="377">
        <f>+'WHRS_Project Scenario'!J15</f>
        <v>215214.92335078961</v>
      </c>
      <c r="J1117" s="377">
        <f>+'WHRS_Project Scenario'!K15</f>
        <v>215214.92335078961</v>
      </c>
      <c r="K1117" s="377">
        <f>+'WHRS_Project Scenario'!L15</f>
        <v>215214.92335078961</v>
      </c>
      <c r="L1117" s="377">
        <f>+'WHRS_Project Scenario'!M15</f>
        <v>215214.92335078961</v>
      </c>
      <c r="M1117" s="377">
        <f>+'WHRS_Project Scenario'!N15</f>
        <v>215214.92335078961</v>
      </c>
      <c r="N1117" s="377">
        <f>+'WHRS_Project Scenario'!O15</f>
        <v>215214.92335078961</v>
      </c>
      <c r="O1117" s="377">
        <f>+'WHRS_Project Scenario'!P15</f>
        <v>215214.92335078961</v>
      </c>
      <c r="P1117" s="377">
        <f>+'WHRS_Project Scenario'!Q15</f>
        <v>215214.92335078961</v>
      </c>
      <c r="Q1117" s="377">
        <f>+'WHRS_Project Scenario'!R15</f>
        <v>215214.92335078961</v>
      </c>
    </row>
    <row r="1118" spans="1:17" ht="14.4">
      <c r="A1118" s="364" t="s">
        <v>291</v>
      </c>
      <c r="B1118" s="365"/>
      <c r="C1118" s="377">
        <f>+'WHRS_Project Scenario'!D16</f>
        <v>70</v>
      </c>
      <c r="D1118" s="377">
        <f>+'WHRS_Project Scenario'!E16</f>
        <v>70</v>
      </c>
      <c r="E1118" s="377">
        <f>+'WHRS_Project Scenario'!F16</f>
        <v>70</v>
      </c>
      <c r="F1118" s="377">
        <f>+'WHRS_Project Scenario'!G16</f>
        <v>70</v>
      </c>
      <c r="G1118" s="377">
        <f>+'WHRS_Project Scenario'!H16</f>
        <v>70</v>
      </c>
      <c r="H1118" s="377">
        <f>+'WHRS_Project Scenario'!I16</f>
        <v>70</v>
      </c>
      <c r="I1118" s="377">
        <f>+'WHRS_Project Scenario'!J16</f>
        <v>70</v>
      </c>
      <c r="J1118" s="377">
        <f>+'WHRS_Project Scenario'!K16</f>
        <v>70</v>
      </c>
      <c r="K1118" s="377">
        <f>+'WHRS_Project Scenario'!L16</f>
        <v>70</v>
      </c>
      <c r="L1118" s="377">
        <f>+'WHRS_Project Scenario'!M16</f>
        <v>70</v>
      </c>
      <c r="M1118" s="377">
        <f>+'WHRS_Project Scenario'!N16</f>
        <v>70</v>
      </c>
      <c r="N1118" s="377">
        <f>+'WHRS_Project Scenario'!O16</f>
        <v>70</v>
      </c>
      <c r="O1118" s="377">
        <f>+'WHRS_Project Scenario'!P16</f>
        <v>70</v>
      </c>
      <c r="P1118" s="377">
        <f>+'WHRS_Project Scenario'!Q16</f>
        <v>70</v>
      </c>
      <c r="Q1118" s="377">
        <f>+'WHRS_Project Scenario'!R16</f>
        <v>70</v>
      </c>
    </row>
    <row r="1119" spans="1:17" ht="14.4">
      <c r="A1119" s="366" t="s">
        <v>292</v>
      </c>
      <c r="B1119" s="365"/>
      <c r="C1119" s="377">
        <f>+'WHRS_Project Scenario'!D17</f>
        <v>6.4285714285714288</v>
      </c>
      <c r="D1119" s="377">
        <f>+'WHRS_Project Scenario'!E17</f>
        <v>6.6008571428571425</v>
      </c>
      <c r="E1119" s="377">
        <f>+'WHRS_Project Scenario'!F17</f>
        <v>6.7777601142857131</v>
      </c>
      <c r="F1119" s="377">
        <f>+'WHRS_Project Scenario'!G17</f>
        <v>6.9594040853485701</v>
      </c>
      <c r="G1119" s="377">
        <f>+'WHRS_Project Scenario'!H17</f>
        <v>7.1459161148359112</v>
      </c>
      <c r="H1119" s="377">
        <f>+'WHRS_Project Scenario'!I17</f>
        <v>7.3374266667135135</v>
      </c>
      <c r="I1119" s="377">
        <f>+'WHRS_Project Scenario'!J17</f>
        <v>7.5340697013814353</v>
      </c>
      <c r="J1119" s="377">
        <f>+'WHRS_Project Scenario'!K17</f>
        <v>7.7359827693784569</v>
      </c>
      <c r="K1119" s="377">
        <f>+'WHRS_Project Scenario'!L17</f>
        <v>7.943307107597799</v>
      </c>
      <c r="L1119" s="377">
        <f>+'WHRS_Project Scenario'!M17</f>
        <v>8.1561877380814192</v>
      </c>
      <c r="M1119" s="377">
        <f>+'WHRS_Project Scenario'!N17</f>
        <v>8.3747735694620005</v>
      </c>
      <c r="N1119" s="377">
        <f>+'WHRS_Project Scenario'!O17</f>
        <v>8.5992175011235812</v>
      </c>
      <c r="O1119" s="377">
        <f>+'WHRS_Project Scenario'!P17</f>
        <v>8.8296765301536926</v>
      </c>
      <c r="P1119" s="377">
        <f>+'WHRS_Project Scenario'!Q17</f>
        <v>9.066311861161811</v>
      </c>
      <c r="Q1119" s="377">
        <f>+'WHRS_Project Scenario'!R17</f>
        <v>9.3092890190409463</v>
      </c>
    </row>
    <row r="1120" spans="1:17" ht="14.4">
      <c r="A1120" s="366" t="s">
        <v>293</v>
      </c>
      <c r="B1120" s="365"/>
      <c r="C1120" s="377">
        <f>+C1118*C1119</f>
        <v>450</v>
      </c>
      <c r="D1120" s="377">
        <f t="shared" ref="D1120:Q1120" si="739">+D1118*D1119</f>
        <v>462.06</v>
      </c>
      <c r="E1120" s="377">
        <f t="shared" si="739"/>
        <v>474.44320799999991</v>
      </c>
      <c r="F1120" s="377">
        <f t="shared" si="739"/>
        <v>487.15828597439992</v>
      </c>
      <c r="G1120" s="377">
        <f t="shared" si="739"/>
        <v>500.21412803851376</v>
      </c>
      <c r="H1120" s="377">
        <f t="shared" si="739"/>
        <v>513.61986666994596</v>
      </c>
      <c r="I1120" s="377">
        <f t="shared" si="739"/>
        <v>527.3848790967005</v>
      </c>
      <c r="J1120" s="377">
        <f t="shared" si="739"/>
        <v>541.51879385649192</v>
      </c>
      <c r="K1120" s="377">
        <f t="shared" si="739"/>
        <v>556.03149753184596</v>
      </c>
      <c r="L1120" s="377">
        <f t="shared" si="739"/>
        <v>570.9331416656994</v>
      </c>
      <c r="M1120" s="377">
        <f t="shared" si="739"/>
        <v>586.23414986234002</v>
      </c>
      <c r="N1120" s="377">
        <f t="shared" si="739"/>
        <v>601.94522507865065</v>
      </c>
      <c r="O1120" s="377">
        <f t="shared" si="739"/>
        <v>618.0773571107585</v>
      </c>
      <c r="P1120" s="377">
        <f t="shared" si="739"/>
        <v>634.64183028132675</v>
      </c>
      <c r="Q1120" s="377">
        <f t="shared" si="739"/>
        <v>651.65023133286627</v>
      </c>
    </row>
    <row r="1121" spans="1:17" ht="14.4">
      <c r="A1121" s="370"/>
      <c r="B1121" s="373"/>
      <c r="C1121" s="373"/>
      <c r="D1121" s="373"/>
      <c r="E1121" s="373"/>
      <c r="F1121" s="373"/>
      <c r="G1121" s="373"/>
      <c r="H1121" s="373"/>
      <c r="I1121" s="373"/>
      <c r="J1121" s="373"/>
      <c r="K1121" s="373"/>
      <c r="L1121" s="373"/>
      <c r="M1121" s="373"/>
      <c r="N1121" s="373"/>
      <c r="O1121" s="373"/>
      <c r="P1121" s="373"/>
      <c r="Q1121" s="373"/>
    </row>
    <row r="1122" spans="1:17" ht="14.4">
      <c r="A1122" s="366" t="s">
        <v>294</v>
      </c>
      <c r="B1122" s="377">
        <f>+SUM(C1122:Q1122)</f>
        <v>1759578.4023479735</v>
      </c>
      <c r="C1122" s="377">
        <f>C1117*C1120/1000*'Initial Data'!$C$34/'Initial Data'!$C$33</f>
        <v>96846.715507855319</v>
      </c>
      <c r="D1122" s="377">
        <f>D1117*D1120/1000*'Initial Data'!$C$34/'Initial Data'!$C$33</f>
        <v>99442.207483465856</v>
      </c>
      <c r="E1122" s="377">
        <f>E1117*E1120/1000*'Initial Data'!$C$34/'Initial Data'!$C$33</f>
        <v>102107.25864402272</v>
      </c>
      <c r="F1122" s="377">
        <f>F1117*F1120/1000*'Initial Data'!$C$34/'Initial Data'!$C$33</f>
        <v>104843.73317568253</v>
      </c>
      <c r="G1122" s="377">
        <f>G1117*G1120/1000*'Initial Data'!$C$34/'Initial Data'!$C$33</f>
        <v>107653.5452247908</v>
      </c>
      <c r="H1122" s="377">
        <f>H1117*H1120/1000*'Initial Data'!$C$34/'Initial Data'!$C$33</f>
        <v>110538.66023681519</v>
      </c>
      <c r="I1122" s="377">
        <f>I1117*I1120/1000*'Initial Data'!$C$34/'Initial Data'!$C$33</f>
        <v>113501.09633116184</v>
      </c>
      <c r="J1122" s="377">
        <f>J1117*J1120/1000*'Initial Data'!$C$34/'Initial Data'!$C$33</f>
        <v>116542.92571283695</v>
      </c>
      <c r="K1122" s="377">
        <f>K1117*K1120/1000*'Initial Data'!$C$34/'Initial Data'!$C$33</f>
        <v>119666.27612194099</v>
      </c>
      <c r="L1122" s="377">
        <f>L1117*L1120/1000*'Initial Data'!$C$34/'Initial Data'!$C$33</f>
        <v>122873.332322009</v>
      </c>
      <c r="M1122" s="377">
        <f>M1117*M1120/1000*'Initial Data'!$C$34/'Initial Data'!$C$33</f>
        <v>126166.33762823879</v>
      </c>
      <c r="N1122" s="377">
        <f>N1117*N1120/1000*'Initial Data'!$C$34/'Initial Data'!$C$33</f>
        <v>129547.5954766756</v>
      </c>
      <c r="O1122" s="377">
        <f>O1117*O1120/1000*'Initial Data'!$C$34/'Initial Data'!$C$33</f>
        <v>133019.47103545049</v>
      </c>
      <c r="P1122" s="377">
        <f>P1117*P1120/1000*'Initial Data'!$C$34/'Initial Data'!$C$33</f>
        <v>136584.39285920057</v>
      </c>
      <c r="Q1122" s="377">
        <f>Q1117*Q1120/1000*'Initial Data'!$C$34/'Initial Data'!$C$33</f>
        <v>140244.85458782714</v>
      </c>
    </row>
    <row r="1123" spans="1:17" ht="14.4">
      <c r="A1123" s="370"/>
      <c r="B1123" s="373"/>
      <c r="C1123" s="373"/>
      <c r="D1123" s="373"/>
      <c r="E1123" s="373"/>
      <c r="F1123" s="373"/>
      <c r="G1123" s="373"/>
      <c r="H1123" s="373"/>
      <c r="I1123" s="373"/>
      <c r="J1123" s="373"/>
      <c r="K1123" s="373"/>
      <c r="L1123" s="373"/>
      <c r="M1123" s="373"/>
      <c r="N1123" s="373"/>
      <c r="O1123" s="373"/>
      <c r="P1123" s="373"/>
      <c r="Q1123" s="373"/>
    </row>
    <row r="1124" spans="1:17" ht="14.4">
      <c r="A1124" s="366" t="s">
        <v>295</v>
      </c>
      <c r="B1124" s="377">
        <f>+SUM(C1124:Q1124)</f>
        <v>1759578.4023479735</v>
      </c>
      <c r="C1124" s="377">
        <f>+C1122</f>
        <v>96846.715507855319</v>
      </c>
      <c r="D1124" s="377">
        <f t="shared" ref="D1124:Q1124" si="740">+D1122</f>
        <v>99442.207483465856</v>
      </c>
      <c r="E1124" s="377">
        <f t="shared" si="740"/>
        <v>102107.25864402272</v>
      </c>
      <c r="F1124" s="377">
        <f t="shared" si="740"/>
        <v>104843.73317568253</v>
      </c>
      <c r="G1124" s="377">
        <f t="shared" si="740"/>
        <v>107653.5452247908</v>
      </c>
      <c r="H1124" s="377">
        <f t="shared" si="740"/>
        <v>110538.66023681519</v>
      </c>
      <c r="I1124" s="377">
        <f t="shared" si="740"/>
        <v>113501.09633116184</v>
      </c>
      <c r="J1124" s="377">
        <f t="shared" si="740"/>
        <v>116542.92571283695</v>
      </c>
      <c r="K1124" s="377">
        <f t="shared" si="740"/>
        <v>119666.27612194099</v>
      </c>
      <c r="L1124" s="377">
        <f t="shared" si="740"/>
        <v>122873.332322009</v>
      </c>
      <c r="M1124" s="377">
        <f t="shared" si="740"/>
        <v>126166.33762823879</v>
      </c>
      <c r="N1124" s="377">
        <f t="shared" si="740"/>
        <v>129547.5954766756</v>
      </c>
      <c r="O1124" s="377">
        <f t="shared" si="740"/>
        <v>133019.47103545049</v>
      </c>
      <c r="P1124" s="377">
        <f t="shared" si="740"/>
        <v>136584.39285920057</v>
      </c>
      <c r="Q1124" s="377">
        <f t="shared" si="740"/>
        <v>140244.85458782714</v>
      </c>
    </row>
    <row r="1125" spans="1:17" ht="14.4">
      <c r="A1125" s="370"/>
      <c r="B1125" s="374"/>
      <c r="C1125" s="374"/>
      <c r="D1125" s="374"/>
      <c r="E1125" s="374"/>
      <c r="F1125" s="374"/>
      <c r="G1125" s="374"/>
      <c r="H1125" s="374"/>
      <c r="I1125" s="374"/>
      <c r="J1125" s="374"/>
      <c r="K1125" s="374"/>
      <c r="L1125" s="374"/>
      <c r="M1125" s="374"/>
      <c r="N1125" s="374"/>
      <c r="O1125" s="374"/>
      <c r="P1125" s="374"/>
      <c r="Q1125" s="374"/>
    </row>
    <row r="1126" spans="1:17" ht="14.4">
      <c r="A1126" s="366" t="s">
        <v>68</v>
      </c>
      <c r="B1126" s="368"/>
      <c r="C1126" s="368"/>
      <c r="D1126" s="368"/>
      <c r="E1126" s="368"/>
      <c r="F1126" s="368"/>
      <c r="G1126" s="368"/>
      <c r="H1126" s="368"/>
      <c r="I1126" s="368"/>
      <c r="J1126" s="368"/>
      <c r="K1126" s="368"/>
      <c r="L1126" s="368"/>
      <c r="M1126" s="368"/>
      <c r="N1126" s="368"/>
      <c r="O1126" s="368"/>
      <c r="P1126" s="368"/>
      <c r="Q1126" s="368"/>
    </row>
    <row r="1127" spans="1:17" ht="14.4">
      <c r="A1127" s="366" t="s">
        <v>296</v>
      </c>
      <c r="B1127" s="378">
        <f>+SUM(C1127:Q1127)</f>
        <v>11529.370291765843</v>
      </c>
      <c r="C1127" s="367">
        <f>SUM('Initial Data'!$C$77:$C$80)/'Initial Data'!$C$14/1000</f>
        <v>634.57339732142862</v>
      </c>
      <c r="D1127" s="367">
        <f>+C1127*(1+'Initial Data'!$C$20/100)</f>
        <v>651.57996436964288</v>
      </c>
      <c r="E1127" s="367">
        <f>+D1127*(1+'Initial Data'!$C$20/100)</f>
        <v>669.0423074147493</v>
      </c>
      <c r="F1127" s="367">
        <f>+E1127*(1+'Initial Data'!$C$20/100)</f>
        <v>686.97264125346453</v>
      </c>
      <c r="G1127" s="367">
        <f>+F1127*(1+'Initial Data'!$C$20/100)</f>
        <v>705.38350803905735</v>
      </c>
      <c r="H1127" s="367">
        <f>+G1127*(1+'Initial Data'!$C$20/100)</f>
        <v>724.28778605450407</v>
      </c>
      <c r="I1127" s="367">
        <f>+H1127*(1+'Initial Data'!$C$20/100)</f>
        <v>743.6986987207647</v>
      </c>
      <c r="J1127" s="367">
        <f>+I1127*(1+'Initial Data'!$C$20/100)</f>
        <v>763.62982384648114</v>
      </c>
      <c r="K1127" s="367">
        <f>+J1127*(1+'Initial Data'!$C$20/100)</f>
        <v>784.09510312556677</v>
      </c>
      <c r="L1127" s="367">
        <f>+K1127*(1+'Initial Data'!$C$20/100)</f>
        <v>805.10885188933196</v>
      </c>
      <c r="M1127" s="367">
        <f>+L1127*(1+'Initial Data'!$C$20/100)</f>
        <v>826.68576911996604</v>
      </c>
      <c r="N1127" s="367">
        <f>+M1127*(1+'Initial Data'!$C$20/100)</f>
        <v>848.8409477323811</v>
      </c>
      <c r="O1127" s="367">
        <f>+N1127*(1+'Initial Data'!$C$20/100)</f>
        <v>871.58988513160887</v>
      </c>
      <c r="P1127" s="367">
        <f>+O1127*(1+'Initial Data'!$C$20/100)</f>
        <v>894.94849405313596</v>
      </c>
      <c r="Q1127" s="367">
        <f>+P1127*(1+'Initial Data'!$C$20/100)</f>
        <v>918.93311369375999</v>
      </c>
    </row>
    <row r="1128" spans="1:17" ht="14.4">
      <c r="A1128" s="366" t="s">
        <v>297</v>
      </c>
      <c r="B1128" s="378">
        <f>+SUM(C1128:Q1128)</f>
        <v>13836.767075562186</v>
      </c>
      <c r="C1128" s="367">
        <f>('Initial Data'!$C$82/1000+('Initial Data'!$C$83*'Initial Data'!$C$15/'Initial Data'!$C$14)/1000+'Initial Data'!$C$84/'Initial Data'!$C$14/1000)</f>
        <v>761.57188717892859</v>
      </c>
      <c r="D1128" s="367">
        <f>+C1128*(1+'Initial Data'!$C$20/100)</f>
        <v>781.98201375532381</v>
      </c>
      <c r="E1128" s="367">
        <f>+D1128*(1+'Initial Data'!$C$20/100)</f>
        <v>802.9391317239664</v>
      </c>
      <c r="F1128" s="367">
        <f>+E1128*(1+'Initial Data'!$C$20/100)</f>
        <v>824.45790045416868</v>
      </c>
      <c r="G1128" s="367">
        <f>+F1128*(1+'Initial Data'!$C$20/100)</f>
        <v>846.55337218634031</v>
      </c>
      <c r="H1128" s="367">
        <f>+G1128*(1+'Initial Data'!$C$20/100)</f>
        <v>869.24100256093413</v>
      </c>
      <c r="I1128" s="367">
        <f>+H1128*(1+'Initial Data'!$C$20/100)</f>
        <v>892.53666142956706</v>
      </c>
      <c r="J1128" s="367">
        <f>+I1128*(1+'Initial Data'!$C$20/100)</f>
        <v>916.45664395587937</v>
      </c>
      <c r="K1128" s="367">
        <f>+J1128*(1+'Initial Data'!$C$20/100)</f>
        <v>941.01768201389689</v>
      </c>
      <c r="L1128" s="367">
        <f>+K1128*(1+'Initial Data'!$C$20/100)</f>
        <v>966.23695589186923</v>
      </c>
      <c r="M1128" s="367">
        <f>+L1128*(1+'Initial Data'!$C$20/100)</f>
        <v>992.1321063097713</v>
      </c>
      <c r="N1128" s="367">
        <f>+M1128*(1+'Initial Data'!$C$20/100)</f>
        <v>1018.7212467588731</v>
      </c>
      <c r="O1128" s="367">
        <f>+N1128*(1+'Initial Data'!$C$20/100)</f>
        <v>1046.0229761720109</v>
      </c>
      <c r="P1128" s="367">
        <f>+O1128*(1+'Initial Data'!$C$20/100)</f>
        <v>1074.0563919334206</v>
      </c>
      <c r="Q1128" s="367">
        <f>+P1128*(1+'Initial Data'!$C$20/100)</f>
        <v>1102.8411032372362</v>
      </c>
    </row>
    <row r="1129" spans="1:17" ht="14.4">
      <c r="A1129" s="370"/>
      <c r="B1129" s="369"/>
      <c r="C1129" s="382"/>
      <c r="D1129" s="369"/>
      <c r="E1129" s="369"/>
      <c r="F1129" s="369"/>
      <c r="G1129" s="369"/>
      <c r="H1129" s="369"/>
      <c r="I1129" s="369"/>
      <c r="J1129" s="369"/>
      <c r="K1129" s="369"/>
      <c r="L1129" s="369"/>
      <c r="M1129" s="369"/>
      <c r="N1129" s="369"/>
      <c r="O1129" s="369"/>
      <c r="P1129" s="369"/>
      <c r="Q1129" s="369"/>
    </row>
    <row r="1130" spans="1:17" ht="14.4">
      <c r="A1130" s="366" t="s">
        <v>71</v>
      </c>
      <c r="B1130" s="379"/>
      <c r="C1130" s="379"/>
      <c r="D1130" s="379"/>
      <c r="E1130" s="379"/>
      <c r="F1130" s="379"/>
      <c r="G1130" s="379"/>
      <c r="H1130" s="379"/>
      <c r="I1130" s="379"/>
      <c r="J1130" s="379"/>
      <c r="K1130" s="379"/>
      <c r="L1130" s="379"/>
      <c r="M1130" s="379"/>
      <c r="N1130" s="379"/>
      <c r="O1130" s="379"/>
      <c r="P1130" s="379"/>
      <c r="Q1130" s="379"/>
    </row>
    <row r="1131" spans="1:17" ht="14.4">
      <c r="A1131" s="370"/>
      <c r="B1131" s="379"/>
      <c r="C1131" s="379"/>
      <c r="D1131" s="379"/>
      <c r="E1131" s="379"/>
      <c r="F1131" s="379"/>
      <c r="G1131" s="379"/>
      <c r="H1131" s="379"/>
      <c r="I1131" s="379"/>
      <c r="J1131" s="379"/>
      <c r="K1131" s="379"/>
      <c r="L1131" s="379"/>
      <c r="M1131" s="379"/>
      <c r="N1131" s="379"/>
      <c r="O1131" s="379"/>
      <c r="P1131" s="379"/>
      <c r="Q1131" s="379"/>
    </row>
    <row r="1132" spans="1:17" ht="14.4">
      <c r="A1132" s="366" t="s">
        <v>298</v>
      </c>
      <c r="B1132" s="378">
        <f>+SUM(C1132:Q1132)</f>
        <v>25366.137367328029</v>
      </c>
      <c r="C1132" s="367">
        <f>SUM(C1127:C1128)</f>
        <v>1396.1452845003573</v>
      </c>
      <c r="D1132" s="367">
        <f>SUM(D1127:D1128)</f>
        <v>1433.5619781249666</v>
      </c>
      <c r="E1132" s="367">
        <f t="shared" ref="E1132:Q1132" si="741">SUM(E1127:E1128)</f>
        <v>1471.9814391387158</v>
      </c>
      <c r="F1132" s="367">
        <f t="shared" si="741"/>
        <v>1511.4305417076332</v>
      </c>
      <c r="G1132" s="367">
        <f t="shared" si="741"/>
        <v>1551.9368802253975</v>
      </c>
      <c r="H1132" s="367">
        <f t="shared" si="741"/>
        <v>1593.5287886154383</v>
      </c>
      <c r="I1132" s="367">
        <f t="shared" si="741"/>
        <v>1636.2353601503319</v>
      </c>
      <c r="J1132" s="367">
        <f t="shared" si="741"/>
        <v>1680.0864678023604</v>
      </c>
      <c r="K1132" s="367">
        <f t="shared" si="741"/>
        <v>1725.1127851394635</v>
      </c>
      <c r="L1132" s="367">
        <f t="shared" si="741"/>
        <v>1771.3458077812011</v>
      </c>
      <c r="M1132" s="367">
        <f t="shared" si="741"/>
        <v>1818.8178754297373</v>
      </c>
      <c r="N1132" s="367">
        <f t="shared" si="741"/>
        <v>1867.5621944912541</v>
      </c>
      <c r="O1132" s="367">
        <f t="shared" si="741"/>
        <v>1917.6128613036199</v>
      </c>
      <c r="P1132" s="367">
        <f t="shared" si="741"/>
        <v>1969.0048859865565</v>
      </c>
      <c r="Q1132" s="367">
        <f t="shared" si="741"/>
        <v>2021.7742169309963</v>
      </c>
    </row>
    <row r="1133" spans="1:17" ht="14.4">
      <c r="A1133" s="370"/>
      <c r="B1133" s="379"/>
      <c r="C1133" s="379"/>
      <c r="D1133" s="379"/>
      <c r="E1133" s="379"/>
      <c r="F1133" s="379"/>
      <c r="G1133" s="379"/>
      <c r="H1133" s="379"/>
      <c r="I1133" s="379"/>
      <c r="J1133" s="379"/>
      <c r="K1133" s="379"/>
      <c r="L1133" s="379"/>
      <c r="M1133" s="379"/>
      <c r="N1133" s="379"/>
      <c r="O1133" s="379"/>
      <c r="P1133" s="379"/>
      <c r="Q1133" s="379"/>
    </row>
    <row r="1134" spans="1:17" ht="14.4">
      <c r="A1134" s="366" t="s">
        <v>299</v>
      </c>
      <c r="B1134" s="378">
        <f t="shared" ref="B1134:B1135" si="742">+SUM(C1134:Q1134)</f>
        <v>43884.879418749995</v>
      </c>
      <c r="C1134" s="367">
        <f>'WHRS_Project Scenario'!$C$8/'Initial Data'!$C$19</f>
        <v>4388.4879418749997</v>
      </c>
      <c r="D1134" s="367">
        <f>'WHRS_Project Scenario'!$C$8/'Initial Data'!$C$19</f>
        <v>4388.4879418749997</v>
      </c>
      <c r="E1134" s="367">
        <f>'WHRS_Project Scenario'!$C$8/'Initial Data'!$C$19</f>
        <v>4388.4879418749997</v>
      </c>
      <c r="F1134" s="367">
        <f>'WHRS_Project Scenario'!$C$8/'Initial Data'!$C$19</f>
        <v>4388.4879418749997</v>
      </c>
      <c r="G1134" s="367">
        <f>'WHRS_Project Scenario'!$C$8/'Initial Data'!$C$19</f>
        <v>4388.4879418749997</v>
      </c>
      <c r="H1134" s="367">
        <f>'WHRS_Project Scenario'!$C$8/'Initial Data'!$C$19</f>
        <v>4388.4879418749997</v>
      </c>
      <c r="I1134" s="367">
        <f>'WHRS_Project Scenario'!$C$8/'Initial Data'!$C$19</f>
        <v>4388.4879418749997</v>
      </c>
      <c r="J1134" s="367">
        <f>'WHRS_Project Scenario'!$C$8/'Initial Data'!$C$19</f>
        <v>4388.4879418749997</v>
      </c>
      <c r="K1134" s="367">
        <f>'WHRS_Project Scenario'!$C$8/'Initial Data'!$C$19</f>
        <v>4388.4879418749997</v>
      </c>
      <c r="L1134" s="367">
        <f>'WHRS_Project Scenario'!$C$8/'Initial Data'!$C$19</f>
        <v>4388.4879418749997</v>
      </c>
      <c r="M1134" s="367">
        <v>0</v>
      </c>
      <c r="N1134" s="367">
        <v>0</v>
      </c>
      <c r="O1134" s="367">
        <v>0</v>
      </c>
      <c r="P1134" s="367">
        <v>0</v>
      </c>
      <c r="Q1134" s="367">
        <v>0</v>
      </c>
    </row>
    <row r="1135" spans="1:17" ht="14.4">
      <c r="A1135" s="366" t="s">
        <v>300</v>
      </c>
      <c r="B1135" s="378">
        <f t="shared" si="742"/>
        <v>43884.879418749995</v>
      </c>
      <c r="C1135" s="367">
        <f>SUM(C1134:C1134)</f>
        <v>4388.4879418749997</v>
      </c>
      <c r="D1135" s="367">
        <f t="shared" ref="D1135:Q1135" si="743">SUM(D1134:D1134)</f>
        <v>4388.4879418749997</v>
      </c>
      <c r="E1135" s="367">
        <f t="shared" si="743"/>
        <v>4388.4879418749997</v>
      </c>
      <c r="F1135" s="367">
        <f t="shared" si="743"/>
        <v>4388.4879418749997</v>
      </c>
      <c r="G1135" s="367">
        <f t="shared" si="743"/>
        <v>4388.4879418749997</v>
      </c>
      <c r="H1135" s="367">
        <f t="shared" si="743"/>
        <v>4388.4879418749997</v>
      </c>
      <c r="I1135" s="367">
        <f t="shared" si="743"/>
        <v>4388.4879418749997</v>
      </c>
      <c r="J1135" s="367">
        <f t="shared" si="743"/>
        <v>4388.4879418749997</v>
      </c>
      <c r="K1135" s="367">
        <f t="shared" si="743"/>
        <v>4388.4879418749997</v>
      </c>
      <c r="L1135" s="367">
        <f t="shared" si="743"/>
        <v>4388.4879418749997</v>
      </c>
      <c r="M1135" s="367">
        <f t="shared" si="743"/>
        <v>0</v>
      </c>
      <c r="N1135" s="367">
        <f t="shared" si="743"/>
        <v>0</v>
      </c>
      <c r="O1135" s="367">
        <f t="shared" si="743"/>
        <v>0</v>
      </c>
      <c r="P1135" s="367">
        <f t="shared" si="743"/>
        <v>0</v>
      </c>
      <c r="Q1135" s="367">
        <f t="shared" si="743"/>
        <v>0</v>
      </c>
    </row>
    <row r="1136" spans="1:17" ht="14.4">
      <c r="A1136" s="370"/>
      <c r="B1136" s="379"/>
      <c r="C1136" s="379"/>
      <c r="D1136" s="379"/>
      <c r="E1136" s="379"/>
      <c r="F1136" s="379"/>
      <c r="G1136" s="379"/>
      <c r="H1136" s="379"/>
      <c r="I1136" s="379"/>
      <c r="J1136" s="379"/>
      <c r="K1136" s="379"/>
      <c r="L1136" s="379"/>
      <c r="M1136" s="379"/>
      <c r="N1136" s="379"/>
      <c r="O1136" s="379"/>
      <c r="P1136" s="379"/>
      <c r="Q1136" s="379"/>
    </row>
    <row r="1137" spans="1:17" ht="14.4">
      <c r="A1137" s="366" t="s">
        <v>301</v>
      </c>
      <c r="B1137" s="378">
        <f>+SUM(C1137:Q1137)</f>
        <v>69251.016786078035</v>
      </c>
      <c r="C1137" s="367">
        <f>+C1132+C1135</f>
        <v>5784.6332263753575</v>
      </c>
      <c r="D1137" s="367">
        <f>+D1132+D1135</f>
        <v>5822.0499199999667</v>
      </c>
      <c r="E1137" s="367">
        <f t="shared" ref="E1137:Q1137" si="744">+E1132+E1135</f>
        <v>5860.469381013716</v>
      </c>
      <c r="F1137" s="367">
        <f t="shared" si="744"/>
        <v>5899.9184835826327</v>
      </c>
      <c r="G1137" s="367">
        <f t="shared" si="744"/>
        <v>5940.4248221003973</v>
      </c>
      <c r="H1137" s="367">
        <f t="shared" si="744"/>
        <v>5982.016730490438</v>
      </c>
      <c r="I1137" s="367">
        <f t="shared" si="744"/>
        <v>6024.7233020253316</v>
      </c>
      <c r="J1137" s="367">
        <f t="shared" si="744"/>
        <v>6068.5744096773597</v>
      </c>
      <c r="K1137" s="367">
        <f t="shared" si="744"/>
        <v>6113.6007270144637</v>
      </c>
      <c r="L1137" s="367">
        <f t="shared" si="744"/>
        <v>6159.8337496562008</v>
      </c>
      <c r="M1137" s="367">
        <f t="shared" si="744"/>
        <v>1818.8178754297373</v>
      </c>
      <c r="N1137" s="367">
        <f t="shared" si="744"/>
        <v>1867.5621944912541</v>
      </c>
      <c r="O1137" s="367">
        <f t="shared" si="744"/>
        <v>1917.6128613036199</v>
      </c>
      <c r="P1137" s="367">
        <f t="shared" si="744"/>
        <v>1969.0048859865565</v>
      </c>
      <c r="Q1137" s="367">
        <f t="shared" si="744"/>
        <v>2021.7742169309963</v>
      </c>
    </row>
    <row r="1138" spans="1:17" ht="14.4">
      <c r="A1138" s="370"/>
      <c r="B1138" s="379"/>
      <c r="C1138" s="379"/>
      <c r="D1138" s="379"/>
      <c r="E1138" s="379"/>
      <c r="F1138" s="379"/>
      <c r="G1138" s="379"/>
      <c r="H1138" s="379"/>
      <c r="I1138" s="379"/>
      <c r="J1138" s="379"/>
      <c r="K1138" s="379"/>
      <c r="L1138" s="379"/>
      <c r="M1138" s="379"/>
      <c r="N1138" s="379"/>
      <c r="O1138" s="379"/>
      <c r="P1138" s="379"/>
      <c r="Q1138" s="379"/>
    </row>
    <row r="1139" spans="1:17" ht="14.4">
      <c r="A1139" s="364" t="s">
        <v>302</v>
      </c>
      <c r="B1139" s="378">
        <f>+SUM(C1139:Q1139)</f>
        <v>1690327.3855618956</v>
      </c>
      <c r="C1139" s="367">
        <f>+C1124-C1137</f>
        <v>91062.082281479961</v>
      </c>
      <c r="D1139" s="367">
        <f>+D1124-D1137</f>
        <v>93620.157563465895</v>
      </c>
      <c r="E1139" s="367">
        <f t="shared" ref="E1139:Q1139" si="745">+E1124-E1137</f>
        <v>96246.789263009006</v>
      </c>
      <c r="F1139" s="367">
        <f t="shared" si="745"/>
        <v>98943.814692099899</v>
      </c>
      <c r="G1139" s="367">
        <f t="shared" si="745"/>
        <v>101713.1204026904</v>
      </c>
      <c r="H1139" s="367">
        <f t="shared" si="745"/>
        <v>104556.64350632476</v>
      </c>
      <c r="I1139" s="367">
        <f t="shared" si="745"/>
        <v>107476.37302913651</v>
      </c>
      <c r="J1139" s="367">
        <f t="shared" si="745"/>
        <v>110474.35130315959</v>
      </c>
      <c r="K1139" s="367">
        <f t="shared" si="745"/>
        <v>113552.67539492653</v>
      </c>
      <c r="L1139" s="367">
        <f t="shared" si="745"/>
        <v>116713.49857235279</v>
      </c>
      <c r="M1139" s="367">
        <f t="shared" si="745"/>
        <v>124347.51975280905</v>
      </c>
      <c r="N1139" s="367">
        <f t="shared" si="745"/>
        <v>127680.03328218435</v>
      </c>
      <c r="O1139" s="367">
        <f t="shared" si="745"/>
        <v>131101.85817414688</v>
      </c>
      <c r="P1139" s="367">
        <f t="shared" si="745"/>
        <v>134615.387973214</v>
      </c>
      <c r="Q1139" s="367">
        <f t="shared" si="745"/>
        <v>138223.08037089615</v>
      </c>
    </row>
    <row r="1140" spans="1:17" ht="14.4">
      <c r="A1140" s="364"/>
    </row>
    <row r="1141" spans="1:17" ht="14.4">
      <c r="A1141" s="364" t="s">
        <v>222</v>
      </c>
      <c r="B1141" s="380">
        <f>'WHRS_Project Scenario'!C39</f>
        <v>0.7</v>
      </c>
      <c r="C1141" s="367">
        <f>IF((+$B$1141*C1139)&lt;0,"0",(+$B$1141*C1139))</f>
        <v>63743.457597035966</v>
      </c>
      <c r="D1141" s="367">
        <f t="shared" ref="D1141:Q1141" si="746">IF((+$B$1141*D1139)&lt;0,"0",(+$B$1141*D1139))</f>
        <v>65534.110294426122</v>
      </c>
      <c r="E1141" s="367">
        <f t="shared" si="746"/>
        <v>67372.752484106299</v>
      </c>
      <c r="F1141" s="367">
        <f t="shared" si="746"/>
        <v>69260.670284469918</v>
      </c>
      <c r="G1141" s="367">
        <f t="shared" si="746"/>
        <v>71199.184281883281</v>
      </c>
      <c r="H1141" s="367">
        <f t="shared" si="746"/>
        <v>73189.650454427334</v>
      </c>
      <c r="I1141" s="367">
        <f t="shared" si="746"/>
        <v>75233.461120395543</v>
      </c>
      <c r="J1141" s="367">
        <f t="shared" si="746"/>
        <v>77332.045912211717</v>
      </c>
      <c r="K1141" s="367">
        <f t="shared" si="746"/>
        <v>79486.872776448567</v>
      </c>
      <c r="L1141" s="367">
        <f t="shared" si="746"/>
        <v>81699.449000646957</v>
      </c>
      <c r="M1141" s="367">
        <f t="shared" si="746"/>
        <v>87043.263826966329</v>
      </c>
      <c r="N1141" s="367">
        <f t="shared" si="746"/>
        <v>89376.023297529042</v>
      </c>
      <c r="O1141" s="367">
        <f t="shared" si="746"/>
        <v>91771.300721902808</v>
      </c>
      <c r="P1141" s="367">
        <f t="shared" si="746"/>
        <v>94230.771581249792</v>
      </c>
      <c r="Q1141" s="367">
        <f t="shared" si="746"/>
        <v>96756.1562596273</v>
      </c>
    </row>
    <row r="1142" spans="1:17" ht="14.4">
      <c r="A1142" s="364" t="s">
        <v>303</v>
      </c>
      <c r="B1142" s="378">
        <f>+SUM(C1142:Q1142)</f>
        <v>1183229.1698933272</v>
      </c>
      <c r="C1142" s="367">
        <f>SUM(C1141:C1141)</f>
        <v>63743.457597035966</v>
      </c>
      <c r="D1142" s="367">
        <f t="shared" ref="D1142:Q1142" si="747">SUM(D1141:D1141)</f>
        <v>65534.110294426122</v>
      </c>
      <c r="E1142" s="367">
        <f t="shared" si="747"/>
        <v>67372.752484106299</v>
      </c>
      <c r="F1142" s="367">
        <f t="shared" si="747"/>
        <v>69260.670284469918</v>
      </c>
      <c r="G1142" s="367">
        <f t="shared" si="747"/>
        <v>71199.184281883281</v>
      </c>
      <c r="H1142" s="367">
        <f t="shared" si="747"/>
        <v>73189.650454427334</v>
      </c>
      <c r="I1142" s="367">
        <f t="shared" si="747"/>
        <v>75233.461120395543</v>
      </c>
      <c r="J1142" s="367">
        <f t="shared" si="747"/>
        <v>77332.045912211717</v>
      </c>
      <c r="K1142" s="367">
        <f t="shared" si="747"/>
        <v>79486.872776448567</v>
      </c>
      <c r="L1142" s="367">
        <f t="shared" si="747"/>
        <v>81699.449000646957</v>
      </c>
      <c r="M1142" s="367">
        <f t="shared" si="747"/>
        <v>87043.263826966329</v>
      </c>
      <c r="N1142" s="367">
        <f t="shared" si="747"/>
        <v>89376.023297529042</v>
      </c>
      <c r="O1142" s="367">
        <f t="shared" si="747"/>
        <v>91771.300721902808</v>
      </c>
      <c r="P1142" s="367">
        <f t="shared" si="747"/>
        <v>94230.771581249792</v>
      </c>
      <c r="Q1142" s="367">
        <f t="shared" si="747"/>
        <v>96756.1562596273</v>
      </c>
    </row>
    <row r="1143" spans="1:17" ht="14.4">
      <c r="A1143" s="369"/>
    </row>
    <row r="1144" spans="1:17" ht="14.4">
      <c r="A1144" s="364" t="s">
        <v>304</v>
      </c>
      <c r="B1144" s="378">
        <f t="shared" ref="B1144:B1146" si="748">+SUM(C1144:Q1144)</f>
        <v>507098.2156685688</v>
      </c>
      <c r="C1144" s="367">
        <f>C1139-C1142</f>
        <v>27318.624684443996</v>
      </c>
      <c r="D1144" s="367">
        <f t="shared" ref="D1144:Q1144" si="749">D1139-D1142</f>
        <v>28086.047269039773</v>
      </c>
      <c r="E1144" s="367">
        <f t="shared" si="749"/>
        <v>28874.036778902708</v>
      </c>
      <c r="F1144" s="367">
        <f t="shared" si="749"/>
        <v>29683.144407629981</v>
      </c>
      <c r="G1144" s="367">
        <f t="shared" si="749"/>
        <v>30513.93612080712</v>
      </c>
      <c r="H1144" s="367">
        <f t="shared" si="749"/>
        <v>31366.993051897429</v>
      </c>
      <c r="I1144" s="367">
        <f t="shared" si="749"/>
        <v>32242.911908740964</v>
      </c>
      <c r="J1144" s="367">
        <f t="shared" si="749"/>
        <v>33142.305390947877</v>
      </c>
      <c r="K1144" s="367">
        <f t="shared" si="749"/>
        <v>34065.802618477959</v>
      </c>
      <c r="L1144" s="367">
        <f t="shared" si="749"/>
        <v>35014.049571705837</v>
      </c>
      <c r="M1144" s="367">
        <f t="shared" si="749"/>
        <v>37304.255925842721</v>
      </c>
      <c r="N1144" s="367">
        <f t="shared" si="749"/>
        <v>38304.009984655306</v>
      </c>
      <c r="O1144" s="367">
        <f t="shared" si="749"/>
        <v>39330.557452244073</v>
      </c>
      <c r="P1144" s="367">
        <f t="shared" si="749"/>
        <v>40384.616391964213</v>
      </c>
      <c r="Q1144" s="367">
        <f t="shared" si="749"/>
        <v>41466.924111268847</v>
      </c>
    </row>
    <row r="1145" spans="1:17" ht="14.4">
      <c r="A1145" s="364" t="s">
        <v>305</v>
      </c>
      <c r="B1145" s="378">
        <f t="shared" si="748"/>
        <v>43884.879418749995</v>
      </c>
      <c r="C1145" s="367">
        <f>+C1134</f>
        <v>4388.4879418749997</v>
      </c>
      <c r="D1145" s="367">
        <f t="shared" ref="D1145:Q1145" si="750">+D1134</f>
        <v>4388.4879418749997</v>
      </c>
      <c r="E1145" s="367">
        <f t="shared" si="750"/>
        <v>4388.4879418749997</v>
      </c>
      <c r="F1145" s="367">
        <f t="shared" si="750"/>
        <v>4388.4879418749997</v>
      </c>
      <c r="G1145" s="367">
        <f t="shared" si="750"/>
        <v>4388.4879418749997</v>
      </c>
      <c r="H1145" s="367">
        <f t="shared" si="750"/>
        <v>4388.4879418749997</v>
      </c>
      <c r="I1145" s="367">
        <f t="shared" si="750"/>
        <v>4388.4879418749997</v>
      </c>
      <c r="J1145" s="367">
        <f t="shared" si="750"/>
        <v>4388.4879418749997</v>
      </c>
      <c r="K1145" s="367">
        <f t="shared" si="750"/>
        <v>4388.4879418749997</v>
      </c>
      <c r="L1145" s="367">
        <f t="shared" si="750"/>
        <v>4388.4879418749997</v>
      </c>
      <c r="M1145" s="367">
        <f t="shared" si="750"/>
        <v>0</v>
      </c>
      <c r="N1145" s="367">
        <f t="shared" si="750"/>
        <v>0</v>
      </c>
      <c r="O1145" s="367">
        <f t="shared" si="750"/>
        <v>0</v>
      </c>
      <c r="P1145" s="367">
        <f t="shared" si="750"/>
        <v>0</v>
      </c>
      <c r="Q1145" s="367">
        <f t="shared" si="750"/>
        <v>0</v>
      </c>
    </row>
    <row r="1146" spans="1:17" ht="14.4">
      <c r="A1146" s="364" t="s">
        <v>306</v>
      </c>
      <c r="B1146" s="378">
        <f t="shared" si="748"/>
        <v>0</v>
      </c>
      <c r="C1146" s="367">
        <f>+'WHRS_Project Scenario'!D1119</f>
        <v>0</v>
      </c>
      <c r="D1146" s="367">
        <f>+'WHRS_Project Scenario'!E1119</f>
        <v>0</v>
      </c>
      <c r="E1146" s="367">
        <f>+'WHRS_Project Scenario'!F1119</f>
        <v>0</v>
      </c>
      <c r="F1146" s="367">
        <f>+'WHRS_Project Scenario'!G1119</f>
        <v>0</v>
      </c>
      <c r="G1146" s="367">
        <f>+'WHRS_Project Scenario'!H1119</f>
        <v>0</v>
      </c>
      <c r="H1146" s="367">
        <f>+'WHRS_Project Scenario'!I1119</f>
        <v>0</v>
      </c>
      <c r="I1146" s="367">
        <f>+'WHRS_Project Scenario'!J1119</f>
        <v>0</v>
      </c>
      <c r="J1146" s="367">
        <f>+'WHRS_Project Scenario'!K1119</f>
        <v>0</v>
      </c>
      <c r="K1146" s="367">
        <f>+'WHRS_Project Scenario'!L1119</f>
        <v>0</v>
      </c>
      <c r="L1146" s="367">
        <f>+'WHRS_Project Scenario'!M1119</f>
        <v>0</v>
      </c>
      <c r="M1146" s="367">
        <f>+'WHRS_Project Scenario'!N1119</f>
        <v>0</v>
      </c>
      <c r="N1146" s="367">
        <f>+'WHRS_Project Scenario'!O1119</f>
        <v>0</v>
      </c>
      <c r="O1146" s="367">
        <f>+'WHRS_Project Scenario'!P1119</f>
        <v>0</v>
      </c>
      <c r="P1146" s="367">
        <f>+'WHRS_Project Scenario'!Q1119</f>
        <v>0</v>
      </c>
      <c r="Q1146" s="367">
        <f>+'WHRS_Project Scenario'!R1119</f>
        <v>0</v>
      </c>
    </row>
    <row r="1147" spans="1:17" ht="14.4">
      <c r="A1147" s="364"/>
    </row>
    <row r="1148" spans="1:17" ht="14.4">
      <c r="A1148" s="364" t="s">
        <v>110</v>
      </c>
      <c r="B1148" s="378">
        <f>-'WHRS_Project Scenario'!C8</f>
        <v>-43884.879418749995</v>
      </c>
      <c r="C1148" s="367">
        <f>C1144+C1145+C1146</f>
        <v>31707.112626318994</v>
      </c>
      <c r="D1148" s="367">
        <f t="shared" ref="D1148:Q1148" si="751">D1144+D1145+D1146</f>
        <v>32474.535210914772</v>
      </c>
      <c r="E1148" s="367">
        <f t="shared" si="751"/>
        <v>33262.524720777707</v>
      </c>
      <c r="F1148" s="367">
        <f t="shared" si="751"/>
        <v>34071.63234950498</v>
      </c>
      <c r="G1148" s="367">
        <f t="shared" si="751"/>
        <v>34902.424062682119</v>
      </c>
      <c r="H1148" s="367">
        <f t="shared" si="751"/>
        <v>35755.480993772428</v>
      </c>
      <c r="I1148" s="367">
        <f t="shared" si="751"/>
        <v>36631.399850615962</v>
      </c>
      <c r="J1148" s="367">
        <f t="shared" si="751"/>
        <v>37530.793332822876</v>
      </c>
      <c r="K1148" s="367">
        <f t="shared" si="751"/>
        <v>38454.290560352958</v>
      </c>
      <c r="L1148" s="367">
        <f t="shared" si="751"/>
        <v>39402.537513580835</v>
      </c>
      <c r="M1148" s="367">
        <f t="shared" si="751"/>
        <v>37304.255925842721</v>
      </c>
      <c r="N1148" s="367">
        <f t="shared" si="751"/>
        <v>38304.009984655306</v>
      </c>
      <c r="O1148" s="367">
        <f t="shared" si="751"/>
        <v>39330.557452244073</v>
      </c>
      <c r="P1148" s="367">
        <f t="shared" si="751"/>
        <v>40384.616391964213</v>
      </c>
      <c r="Q1148" s="367">
        <f t="shared" si="751"/>
        <v>41466.924111268847</v>
      </c>
    </row>
    <row r="1149" spans="1:17" ht="15.6">
      <c r="A1149" s="364" t="s">
        <v>51</v>
      </c>
      <c r="B1149" s="132">
        <f>IRR(B1148:Q1148)</f>
        <v>0.74631049628791313</v>
      </c>
    </row>
    <row r="1150" spans="1:17" ht="15.6">
      <c r="A1150" s="364" t="s">
        <v>267</v>
      </c>
      <c r="B1150" s="303">
        <f>NPV('Initial Data'!C21/100,B1148:Q1148)</f>
        <v>176118.00956786249</v>
      </c>
    </row>
    <row r="1152" spans="1:17" ht="14.4">
      <c r="A1152" s="364" t="s">
        <v>103</v>
      </c>
    </row>
    <row r="1153" spans="1:17" ht="14.4">
      <c r="A1153" s="369"/>
    </row>
    <row r="1154" spans="1:17" ht="14.4">
      <c r="A1154" s="364" t="s">
        <v>363</v>
      </c>
      <c r="C1154" s="367">
        <f>'WHRS_Project Scenario'!D52</f>
        <v>88111</v>
      </c>
      <c r="D1154" s="367">
        <f>'WHRS_Project Scenario'!E52</f>
        <v>88111</v>
      </c>
      <c r="E1154" s="367">
        <f>'WHRS_Project Scenario'!F52</f>
        <v>88111</v>
      </c>
      <c r="F1154" s="367">
        <f>'WHRS_Project Scenario'!G52</f>
        <v>88111</v>
      </c>
      <c r="G1154" s="367">
        <f>'WHRS_Project Scenario'!H52</f>
        <v>88111</v>
      </c>
      <c r="H1154" s="367">
        <f>'WHRS_Project Scenario'!I52</f>
        <v>88111</v>
      </c>
      <c r="I1154" s="367">
        <f>'WHRS_Project Scenario'!J52</f>
        <v>88111</v>
      </c>
      <c r="J1154" s="367">
        <f>'WHRS_Project Scenario'!K52</f>
        <v>88111</v>
      </c>
      <c r="K1154" s="367">
        <f>'WHRS_Project Scenario'!L52</f>
        <v>88111</v>
      </c>
      <c r="L1154" s="367">
        <f>'WHRS_Project Scenario'!M52</f>
        <v>88111</v>
      </c>
      <c r="M1154" s="367">
        <f>'WHRS_Project Scenario'!N52</f>
        <v>0</v>
      </c>
      <c r="N1154" s="367">
        <f>'WHRS_Project Scenario'!O52</f>
        <v>0</v>
      </c>
      <c r="O1154" s="367">
        <f>'WHRS_Project Scenario'!P52</f>
        <v>0</v>
      </c>
      <c r="P1154" s="367">
        <f>'WHRS_Project Scenario'!Q52</f>
        <v>0</v>
      </c>
      <c r="Q1154" s="367">
        <f>'WHRS_Project Scenario'!R52</f>
        <v>0</v>
      </c>
    </row>
    <row r="1155" spans="1:17" ht="14.4">
      <c r="A1155" s="364" t="s">
        <v>364</v>
      </c>
      <c r="C1155" s="367">
        <f>$D$13</f>
        <v>10</v>
      </c>
    </row>
    <row r="1156" spans="1:17" ht="14.4">
      <c r="A1156" s="369"/>
    </row>
    <row r="1157" spans="1:17" ht="14.4">
      <c r="A1157" s="364" t="s">
        <v>365</v>
      </c>
      <c r="C1157" s="367">
        <f>C1154*$C$1155/1000</f>
        <v>881.11</v>
      </c>
      <c r="D1157" s="367">
        <f t="shared" ref="D1157:Q1157" si="752">D1154*$C$1155/1000</f>
        <v>881.11</v>
      </c>
      <c r="E1157" s="367">
        <f t="shared" si="752"/>
        <v>881.11</v>
      </c>
      <c r="F1157" s="367">
        <f t="shared" si="752"/>
        <v>881.11</v>
      </c>
      <c r="G1157" s="367">
        <f t="shared" si="752"/>
        <v>881.11</v>
      </c>
      <c r="H1157" s="367">
        <f t="shared" si="752"/>
        <v>881.11</v>
      </c>
      <c r="I1157" s="367">
        <f t="shared" si="752"/>
        <v>881.11</v>
      </c>
      <c r="J1157" s="367">
        <f t="shared" si="752"/>
        <v>881.11</v>
      </c>
      <c r="K1157" s="367">
        <f t="shared" si="752"/>
        <v>881.11</v>
      </c>
      <c r="L1157" s="367">
        <f t="shared" si="752"/>
        <v>881.11</v>
      </c>
      <c r="M1157" s="367">
        <f t="shared" si="752"/>
        <v>0</v>
      </c>
      <c r="N1157" s="367">
        <f t="shared" si="752"/>
        <v>0</v>
      </c>
      <c r="O1157" s="367">
        <f t="shared" si="752"/>
        <v>0</v>
      </c>
      <c r="P1157" s="367">
        <f t="shared" si="752"/>
        <v>0</v>
      </c>
      <c r="Q1157" s="367">
        <f t="shared" si="752"/>
        <v>0</v>
      </c>
    </row>
    <row r="1158" spans="1:17" ht="14.4">
      <c r="A1158" s="369"/>
    </row>
    <row r="1159" spans="1:17" ht="14.4">
      <c r="A1159" s="364" t="s">
        <v>110</v>
      </c>
      <c r="B1159" s="378">
        <f>B1148</f>
        <v>-43884.879418749995</v>
      </c>
      <c r="C1159" s="367">
        <f>C1148+C1157</f>
        <v>32588.222626318995</v>
      </c>
      <c r="D1159" s="367">
        <f t="shared" ref="D1159:Q1159" si="753">D1148+D1157</f>
        <v>33355.645210914772</v>
      </c>
      <c r="E1159" s="367">
        <f t="shared" si="753"/>
        <v>34143.634720777707</v>
      </c>
      <c r="F1159" s="367">
        <f t="shared" si="753"/>
        <v>34952.742349504981</v>
      </c>
      <c r="G1159" s="367">
        <f t="shared" si="753"/>
        <v>35783.53406268212</v>
      </c>
      <c r="H1159" s="367">
        <f t="shared" si="753"/>
        <v>36636.590993772428</v>
      </c>
      <c r="I1159" s="367">
        <f t="shared" si="753"/>
        <v>37512.509850615963</v>
      </c>
      <c r="J1159" s="367">
        <f t="shared" si="753"/>
        <v>38411.903332822876</v>
      </c>
      <c r="K1159" s="367">
        <f t="shared" si="753"/>
        <v>39335.400560352959</v>
      </c>
      <c r="L1159" s="367">
        <f t="shared" si="753"/>
        <v>40283.647513580836</v>
      </c>
      <c r="M1159" s="367">
        <f t="shared" si="753"/>
        <v>37304.255925842721</v>
      </c>
      <c r="N1159" s="367">
        <f t="shared" si="753"/>
        <v>38304.009984655306</v>
      </c>
      <c r="O1159" s="367">
        <f t="shared" si="753"/>
        <v>39330.557452244073</v>
      </c>
      <c r="P1159" s="367">
        <f t="shared" si="753"/>
        <v>40384.616391964213</v>
      </c>
      <c r="Q1159" s="367">
        <f t="shared" si="753"/>
        <v>41466.924111268847</v>
      </c>
    </row>
    <row r="1160" spans="1:17" ht="15.6">
      <c r="A1160" s="364" t="s">
        <v>51</v>
      </c>
      <c r="B1160" s="132">
        <f>IRR(B1159:Q1159)</f>
        <v>0.76574483161671902</v>
      </c>
    </row>
    <row r="1161" spans="1:17" ht="15.6">
      <c r="A1161" s="364" t="s">
        <v>267</v>
      </c>
      <c r="B1161" s="303">
        <f>NPV('Initial Data'!C21/100,B1159:Q1159)</f>
        <v>180563.07029336528</v>
      </c>
    </row>
    <row r="1163" spans="1:17" ht="14.4">
      <c r="A1163" s="508" t="s">
        <v>361</v>
      </c>
      <c r="B1163" s="509"/>
      <c r="C1163" s="509"/>
      <c r="D1163" s="509"/>
      <c r="E1163" s="509"/>
      <c r="F1163" s="509"/>
      <c r="G1163" s="509"/>
      <c r="H1163" s="509"/>
      <c r="I1163" s="509"/>
      <c r="J1163" s="509"/>
      <c r="K1163" s="509"/>
      <c r="L1163" s="509"/>
      <c r="M1163" s="509"/>
      <c r="N1163" s="509"/>
      <c r="O1163" s="509"/>
      <c r="P1163" s="509"/>
      <c r="Q1163" s="509"/>
    </row>
    <row r="1164" spans="1:17" ht="14.4">
      <c r="A1164" s="371" t="s">
        <v>367</v>
      </c>
      <c r="B1164" s="372"/>
      <c r="C1164" s="372"/>
      <c r="D1164" s="372"/>
      <c r="E1164" s="372"/>
      <c r="F1164" s="372"/>
      <c r="G1164" s="372"/>
      <c r="H1164" s="372"/>
      <c r="I1164" s="372"/>
      <c r="J1164" s="372"/>
      <c r="K1164" s="372"/>
      <c r="L1164" s="372"/>
      <c r="M1164" s="372"/>
      <c r="N1164" s="372"/>
      <c r="O1164" s="372"/>
      <c r="P1164" s="372"/>
      <c r="Q1164" s="372"/>
    </row>
    <row r="1165" spans="1:17" ht="27">
      <c r="A1165" s="376"/>
      <c r="B1165" s="304" t="s">
        <v>35</v>
      </c>
      <c r="C1165" s="352" t="s">
        <v>407</v>
      </c>
      <c r="D1165" s="352" t="s">
        <v>408</v>
      </c>
      <c r="E1165" s="352" t="s">
        <v>409</v>
      </c>
      <c r="F1165" s="352" t="s">
        <v>410</v>
      </c>
      <c r="G1165" s="352" t="s">
        <v>411</v>
      </c>
      <c r="H1165" s="352" t="s">
        <v>412</v>
      </c>
      <c r="I1165" s="352" t="s">
        <v>413</v>
      </c>
      <c r="J1165" s="352" t="s">
        <v>414</v>
      </c>
      <c r="K1165" s="352" t="s">
        <v>415</v>
      </c>
      <c r="L1165" s="352" t="s">
        <v>416</v>
      </c>
      <c r="M1165" s="352" t="s">
        <v>417</v>
      </c>
      <c r="N1165" s="352" t="s">
        <v>418</v>
      </c>
      <c r="O1165" s="352" t="s">
        <v>419</v>
      </c>
      <c r="P1165" s="352" t="s">
        <v>420</v>
      </c>
      <c r="Q1165" s="352" t="s">
        <v>421</v>
      </c>
    </row>
    <row r="1166" spans="1:17" ht="14.4">
      <c r="A1166" s="363" t="s">
        <v>290</v>
      </c>
      <c r="B1166" s="365"/>
      <c r="C1166" s="377">
        <f>+'WHRS_Project Scenario'!D15</f>
        <v>215214.92335078961</v>
      </c>
      <c r="D1166" s="377">
        <f>+'WHRS_Project Scenario'!E15</f>
        <v>215214.92335078961</v>
      </c>
      <c r="E1166" s="377">
        <f>+'WHRS_Project Scenario'!F15</f>
        <v>215214.92335078961</v>
      </c>
      <c r="F1166" s="377">
        <f>+'WHRS_Project Scenario'!G15</f>
        <v>215214.92335078961</v>
      </c>
      <c r="G1166" s="377">
        <f>+'WHRS_Project Scenario'!H15</f>
        <v>215214.92335078961</v>
      </c>
      <c r="H1166" s="377">
        <f>+'WHRS_Project Scenario'!I15</f>
        <v>215214.92335078961</v>
      </c>
      <c r="I1166" s="377">
        <f>+'WHRS_Project Scenario'!J15</f>
        <v>215214.92335078961</v>
      </c>
      <c r="J1166" s="377">
        <f>+'WHRS_Project Scenario'!K15</f>
        <v>215214.92335078961</v>
      </c>
      <c r="K1166" s="377">
        <f>+'WHRS_Project Scenario'!L15</f>
        <v>215214.92335078961</v>
      </c>
      <c r="L1166" s="377">
        <f>+'WHRS_Project Scenario'!M15</f>
        <v>215214.92335078961</v>
      </c>
      <c r="M1166" s="377">
        <f>+'WHRS_Project Scenario'!N15</f>
        <v>215214.92335078961</v>
      </c>
      <c r="N1166" s="377">
        <f>+'WHRS_Project Scenario'!O15</f>
        <v>215214.92335078961</v>
      </c>
      <c r="O1166" s="377">
        <f>+'WHRS_Project Scenario'!P15</f>
        <v>215214.92335078961</v>
      </c>
      <c r="P1166" s="377">
        <f>+'WHRS_Project Scenario'!Q15</f>
        <v>215214.92335078961</v>
      </c>
      <c r="Q1166" s="377">
        <f>+'WHRS_Project Scenario'!R15</f>
        <v>215214.92335078961</v>
      </c>
    </row>
    <row r="1167" spans="1:17" ht="14.4">
      <c r="A1167" s="364" t="s">
        <v>291</v>
      </c>
      <c r="B1167" s="365"/>
      <c r="C1167" s="377">
        <f>+'WHRS_Project Scenario'!D16</f>
        <v>70</v>
      </c>
      <c r="D1167" s="377">
        <f>+'WHRS_Project Scenario'!E16</f>
        <v>70</v>
      </c>
      <c r="E1167" s="377">
        <f>+'WHRS_Project Scenario'!F16</f>
        <v>70</v>
      </c>
      <c r="F1167" s="377">
        <f>+'WHRS_Project Scenario'!G16</f>
        <v>70</v>
      </c>
      <c r="G1167" s="377">
        <f>+'WHRS_Project Scenario'!H16</f>
        <v>70</v>
      </c>
      <c r="H1167" s="377">
        <f>+'WHRS_Project Scenario'!I16</f>
        <v>70</v>
      </c>
      <c r="I1167" s="377">
        <f>+'WHRS_Project Scenario'!J16</f>
        <v>70</v>
      </c>
      <c r="J1167" s="377">
        <f>+'WHRS_Project Scenario'!K16</f>
        <v>70</v>
      </c>
      <c r="K1167" s="377">
        <f>+'WHRS_Project Scenario'!L16</f>
        <v>70</v>
      </c>
      <c r="L1167" s="377">
        <f>+'WHRS_Project Scenario'!M16</f>
        <v>70</v>
      </c>
      <c r="M1167" s="377">
        <f>+'WHRS_Project Scenario'!N16</f>
        <v>70</v>
      </c>
      <c r="N1167" s="377">
        <f>+'WHRS_Project Scenario'!O16</f>
        <v>70</v>
      </c>
      <c r="O1167" s="377">
        <f>+'WHRS_Project Scenario'!P16</f>
        <v>70</v>
      </c>
      <c r="P1167" s="377">
        <f>+'WHRS_Project Scenario'!Q16</f>
        <v>70</v>
      </c>
      <c r="Q1167" s="377">
        <f>+'WHRS_Project Scenario'!R16</f>
        <v>70</v>
      </c>
    </row>
    <row r="1168" spans="1:17" ht="14.4">
      <c r="A1168" s="366" t="s">
        <v>292</v>
      </c>
      <c r="B1168" s="365"/>
      <c r="C1168" s="377">
        <f>+'WHRS_Project Scenario'!D17</f>
        <v>6.4285714285714288</v>
      </c>
      <c r="D1168" s="377">
        <f>+'WHRS_Project Scenario'!E17</f>
        <v>6.6008571428571425</v>
      </c>
      <c r="E1168" s="377">
        <f>+'WHRS_Project Scenario'!F17</f>
        <v>6.7777601142857131</v>
      </c>
      <c r="F1168" s="377">
        <f>+'WHRS_Project Scenario'!G17</f>
        <v>6.9594040853485701</v>
      </c>
      <c r="G1168" s="377">
        <f>+'WHRS_Project Scenario'!H17</f>
        <v>7.1459161148359112</v>
      </c>
      <c r="H1168" s="377">
        <f>+'WHRS_Project Scenario'!I17</f>
        <v>7.3374266667135135</v>
      </c>
      <c r="I1168" s="377">
        <f>+'WHRS_Project Scenario'!J17</f>
        <v>7.5340697013814353</v>
      </c>
      <c r="J1168" s="377">
        <f>+'WHRS_Project Scenario'!K17</f>
        <v>7.7359827693784569</v>
      </c>
      <c r="K1168" s="377">
        <f>+'WHRS_Project Scenario'!L17</f>
        <v>7.943307107597799</v>
      </c>
      <c r="L1168" s="377">
        <f>+'WHRS_Project Scenario'!M17</f>
        <v>8.1561877380814192</v>
      </c>
      <c r="M1168" s="377">
        <f>+'WHRS_Project Scenario'!N17</f>
        <v>8.3747735694620005</v>
      </c>
      <c r="N1168" s="377">
        <f>+'WHRS_Project Scenario'!O17</f>
        <v>8.5992175011235812</v>
      </c>
      <c r="O1168" s="377">
        <f>+'WHRS_Project Scenario'!P17</f>
        <v>8.8296765301536926</v>
      </c>
      <c r="P1168" s="377">
        <f>+'WHRS_Project Scenario'!Q17</f>
        <v>9.066311861161811</v>
      </c>
      <c r="Q1168" s="377">
        <f>+'WHRS_Project Scenario'!R17</f>
        <v>9.3092890190409463</v>
      </c>
    </row>
    <row r="1169" spans="1:17" ht="14.4">
      <c r="A1169" s="366" t="s">
        <v>293</v>
      </c>
      <c r="B1169" s="365"/>
      <c r="C1169" s="377">
        <f>+C1167*C1168</f>
        <v>450</v>
      </c>
      <c r="D1169" s="377">
        <f t="shared" ref="D1169:Q1169" si="754">+D1167*D1168</f>
        <v>462.06</v>
      </c>
      <c r="E1169" s="377">
        <f t="shared" si="754"/>
        <v>474.44320799999991</v>
      </c>
      <c r="F1169" s="377">
        <f t="shared" si="754"/>
        <v>487.15828597439992</v>
      </c>
      <c r="G1169" s="377">
        <f t="shared" si="754"/>
        <v>500.21412803851376</v>
      </c>
      <c r="H1169" s="377">
        <f t="shared" si="754"/>
        <v>513.61986666994596</v>
      </c>
      <c r="I1169" s="377">
        <f t="shared" si="754"/>
        <v>527.3848790967005</v>
      </c>
      <c r="J1169" s="377">
        <f t="shared" si="754"/>
        <v>541.51879385649192</v>
      </c>
      <c r="K1169" s="377">
        <f t="shared" si="754"/>
        <v>556.03149753184596</v>
      </c>
      <c r="L1169" s="377">
        <f t="shared" si="754"/>
        <v>570.9331416656994</v>
      </c>
      <c r="M1169" s="377">
        <f t="shared" si="754"/>
        <v>586.23414986234002</v>
      </c>
      <c r="N1169" s="377">
        <f t="shared" si="754"/>
        <v>601.94522507865065</v>
      </c>
      <c r="O1169" s="377">
        <f t="shared" si="754"/>
        <v>618.0773571107585</v>
      </c>
      <c r="P1169" s="377">
        <f t="shared" si="754"/>
        <v>634.64183028132675</v>
      </c>
      <c r="Q1169" s="377">
        <f t="shared" si="754"/>
        <v>651.65023133286627</v>
      </c>
    </row>
    <row r="1170" spans="1:17" ht="14.4">
      <c r="A1170" s="370"/>
      <c r="B1170" s="373"/>
      <c r="C1170" s="373"/>
      <c r="D1170" s="373"/>
      <c r="E1170" s="373"/>
      <c r="F1170" s="373"/>
      <c r="G1170" s="373"/>
      <c r="H1170" s="373"/>
      <c r="I1170" s="373"/>
      <c r="J1170" s="373"/>
      <c r="K1170" s="373"/>
      <c r="L1170" s="373"/>
      <c r="M1170" s="373"/>
      <c r="N1170" s="373"/>
      <c r="O1170" s="373"/>
      <c r="P1170" s="373"/>
      <c r="Q1170" s="373"/>
    </row>
    <row r="1171" spans="1:17" ht="14.4">
      <c r="A1171" s="366" t="s">
        <v>294</v>
      </c>
      <c r="B1171" s="377">
        <f>+SUM(C1171:Q1171)</f>
        <v>1759578.4023479735</v>
      </c>
      <c r="C1171" s="377">
        <f>C1166*C1169/1000*'Initial Data'!$C$34/'Initial Data'!$C$33</f>
        <v>96846.715507855319</v>
      </c>
      <c r="D1171" s="377">
        <f>D1166*D1169/1000*'Initial Data'!$C$34/'Initial Data'!$C$33</f>
        <v>99442.207483465856</v>
      </c>
      <c r="E1171" s="377">
        <f>E1166*E1169/1000*'Initial Data'!$C$34/'Initial Data'!$C$33</f>
        <v>102107.25864402272</v>
      </c>
      <c r="F1171" s="377">
        <f>F1166*F1169/1000*'Initial Data'!$C$34/'Initial Data'!$C$33</f>
        <v>104843.73317568253</v>
      </c>
      <c r="G1171" s="377">
        <f>G1166*G1169/1000*'Initial Data'!$C$34/'Initial Data'!$C$33</f>
        <v>107653.5452247908</v>
      </c>
      <c r="H1171" s="377">
        <f>H1166*H1169/1000*'Initial Data'!$C$34/'Initial Data'!$C$33</f>
        <v>110538.66023681519</v>
      </c>
      <c r="I1171" s="377">
        <f>I1166*I1169/1000*'Initial Data'!$C$34/'Initial Data'!$C$33</f>
        <v>113501.09633116184</v>
      </c>
      <c r="J1171" s="377">
        <f>J1166*J1169/1000*'Initial Data'!$C$34/'Initial Data'!$C$33</f>
        <v>116542.92571283695</v>
      </c>
      <c r="K1171" s="377">
        <f>K1166*K1169/1000*'Initial Data'!$C$34/'Initial Data'!$C$33</f>
        <v>119666.27612194099</v>
      </c>
      <c r="L1171" s="377">
        <f>L1166*L1169/1000*'Initial Data'!$C$34/'Initial Data'!$C$33</f>
        <v>122873.332322009</v>
      </c>
      <c r="M1171" s="377">
        <f>M1166*M1169/1000*'Initial Data'!$C$34/'Initial Data'!$C$33</f>
        <v>126166.33762823879</v>
      </c>
      <c r="N1171" s="377">
        <f>N1166*N1169/1000*'Initial Data'!$C$34/'Initial Data'!$C$33</f>
        <v>129547.5954766756</v>
      </c>
      <c r="O1171" s="377">
        <f>O1166*O1169/1000*'Initial Data'!$C$34/'Initial Data'!$C$33</f>
        <v>133019.47103545049</v>
      </c>
      <c r="P1171" s="377">
        <f>P1166*P1169/1000*'Initial Data'!$C$34/'Initial Data'!$C$33</f>
        <v>136584.39285920057</v>
      </c>
      <c r="Q1171" s="377">
        <f>Q1166*Q1169/1000*'Initial Data'!$C$34/'Initial Data'!$C$33</f>
        <v>140244.85458782714</v>
      </c>
    </row>
    <row r="1172" spans="1:17" ht="14.4">
      <c r="A1172" s="370"/>
      <c r="B1172" s="373"/>
      <c r="C1172" s="373"/>
      <c r="D1172" s="373"/>
      <c r="E1172" s="373"/>
      <c r="F1172" s="373"/>
      <c r="G1172" s="373"/>
      <c r="H1172" s="373"/>
      <c r="I1172" s="373"/>
      <c r="J1172" s="373"/>
      <c r="K1172" s="373"/>
      <c r="L1172" s="373"/>
      <c r="M1172" s="373"/>
      <c r="N1172" s="373"/>
      <c r="O1172" s="373"/>
      <c r="P1172" s="373"/>
      <c r="Q1172" s="373"/>
    </row>
    <row r="1173" spans="1:17" ht="14.4">
      <c r="A1173" s="366" t="s">
        <v>295</v>
      </c>
      <c r="B1173" s="377">
        <f>+SUM(C1173:Q1173)</f>
        <v>1759578.4023479735</v>
      </c>
      <c r="C1173" s="377">
        <f>+C1171</f>
        <v>96846.715507855319</v>
      </c>
      <c r="D1173" s="377">
        <f t="shared" ref="D1173:Q1173" si="755">+D1171</f>
        <v>99442.207483465856</v>
      </c>
      <c r="E1173" s="377">
        <f t="shared" si="755"/>
        <v>102107.25864402272</v>
      </c>
      <c r="F1173" s="377">
        <f t="shared" si="755"/>
        <v>104843.73317568253</v>
      </c>
      <c r="G1173" s="377">
        <f t="shared" si="755"/>
        <v>107653.5452247908</v>
      </c>
      <c r="H1173" s="377">
        <f t="shared" si="755"/>
        <v>110538.66023681519</v>
      </c>
      <c r="I1173" s="377">
        <f t="shared" si="755"/>
        <v>113501.09633116184</v>
      </c>
      <c r="J1173" s="377">
        <f t="shared" si="755"/>
        <v>116542.92571283695</v>
      </c>
      <c r="K1173" s="377">
        <f t="shared" si="755"/>
        <v>119666.27612194099</v>
      </c>
      <c r="L1173" s="377">
        <f t="shared" si="755"/>
        <v>122873.332322009</v>
      </c>
      <c r="M1173" s="377">
        <f t="shared" si="755"/>
        <v>126166.33762823879</v>
      </c>
      <c r="N1173" s="377">
        <f t="shared" si="755"/>
        <v>129547.5954766756</v>
      </c>
      <c r="O1173" s="377">
        <f t="shared" si="755"/>
        <v>133019.47103545049</v>
      </c>
      <c r="P1173" s="377">
        <f t="shared" si="755"/>
        <v>136584.39285920057</v>
      </c>
      <c r="Q1173" s="377">
        <f t="shared" si="755"/>
        <v>140244.85458782714</v>
      </c>
    </row>
    <row r="1174" spans="1:17" ht="14.4">
      <c r="A1174" s="370"/>
      <c r="B1174" s="374"/>
      <c r="C1174" s="374"/>
      <c r="D1174" s="374"/>
      <c r="E1174" s="374"/>
      <c r="F1174" s="374"/>
      <c r="G1174" s="374"/>
      <c r="H1174" s="374"/>
      <c r="I1174" s="374"/>
      <c r="J1174" s="374"/>
      <c r="K1174" s="374"/>
      <c r="L1174" s="374"/>
      <c r="M1174" s="374"/>
      <c r="N1174" s="374"/>
      <c r="O1174" s="374"/>
      <c r="P1174" s="374"/>
      <c r="Q1174" s="374"/>
    </row>
    <row r="1175" spans="1:17" ht="14.4">
      <c r="A1175" s="366" t="s">
        <v>68</v>
      </c>
      <c r="B1175" s="368"/>
      <c r="C1175" s="368"/>
      <c r="D1175" s="368"/>
      <c r="E1175" s="368"/>
      <c r="F1175" s="368"/>
      <c r="G1175" s="368"/>
      <c r="H1175" s="368"/>
      <c r="I1175" s="368"/>
      <c r="J1175" s="368"/>
      <c r="K1175" s="368"/>
      <c r="L1175" s="368"/>
      <c r="M1175" s="368"/>
      <c r="N1175" s="368"/>
      <c r="O1175" s="368"/>
      <c r="P1175" s="368"/>
      <c r="Q1175" s="368"/>
    </row>
    <row r="1176" spans="1:17" ht="14.4">
      <c r="A1176" s="366" t="s">
        <v>296</v>
      </c>
      <c r="B1176" s="378">
        <f>+SUM(C1176:Q1176)</f>
        <v>11529.370291765843</v>
      </c>
      <c r="C1176" s="367">
        <f>SUM('Initial Data'!$C$77:$C$80)/'Initial Data'!$C$14/1000</f>
        <v>634.57339732142862</v>
      </c>
      <c r="D1176" s="367">
        <f>+C1176*(1+'Initial Data'!$C$20/100)</f>
        <v>651.57996436964288</v>
      </c>
      <c r="E1176" s="367">
        <f>+D1176*(1+'Initial Data'!$C$20/100)</f>
        <v>669.0423074147493</v>
      </c>
      <c r="F1176" s="367">
        <f>+E1176*(1+'Initial Data'!$C$20/100)</f>
        <v>686.97264125346453</v>
      </c>
      <c r="G1176" s="367">
        <f>+F1176*(1+'Initial Data'!$C$20/100)</f>
        <v>705.38350803905735</v>
      </c>
      <c r="H1176" s="367">
        <f>+G1176*(1+'Initial Data'!$C$20/100)</f>
        <v>724.28778605450407</v>
      </c>
      <c r="I1176" s="367">
        <f>+H1176*(1+'Initial Data'!$C$20/100)</f>
        <v>743.6986987207647</v>
      </c>
      <c r="J1176" s="367">
        <f>+I1176*(1+'Initial Data'!$C$20/100)</f>
        <v>763.62982384648114</v>
      </c>
      <c r="K1176" s="367">
        <f>+J1176*(1+'Initial Data'!$C$20/100)</f>
        <v>784.09510312556677</v>
      </c>
      <c r="L1176" s="367">
        <f>+K1176*(1+'Initial Data'!$C$20/100)</f>
        <v>805.10885188933196</v>
      </c>
      <c r="M1176" s="367">
        <f>+L1176*(1+'Initial Data'!$C$20/100)</f>
        <v>826.68576911996604</v>
      </c>
      <c r="N1176" s="367">
        <f>+M1176*(1+'Initial Data'!$C$20/100)</f>
        <v>848.8409477323811</v>
      </c>
      <c r="O1176" s="367">
        <f>+N1176*(1+'Initial Data'!$C$20/100)</f>
        <v>871.58988513160887</v>
      </c>
      <c r="P1176" s="367">
        <f>+O1176*(1+'Initial Data'!$C$20/100)</f>
        <v>894.94849405313596</v>
      </c>
      <c r="Q1176" s="367">
        <f>+P1176*(1+'Initial Data'!$C$20/100)</f>
        <v>918.93311369375999</v>
      </c>
    </row>
    <row r="1177" spans="1:17" ht="14.4">
      <c r="A1177" s="366" t="s">
        <v>297</v>
      </c>
      <c r="B1177" s="378">
        <f>+SUM(C1177:Q1177)</f>
        <v>13836.767075562186</v>
      </c>
      <c r="C1177" s="367">
        <f>('Initial Data'!$C$82/1000+('Initial Data'!$C$83*'Initial Data'!$C$15/'Initial Data'!$C$14)/1000+'Initial Data'!$C$84/'Initial Data'!$C$14/1000)</f>
        <v>761.57188717892859</v>
      </c>
      <c r="D1177" s="367">
        <f>+C1177*(1+'Initial Data'!$C$20/100)</f>
        <v>781.98201375532381</v>
      </c>
      <c r="E1177" s="367">
        <f>+D1177*(1+'Initial Data'!$C$20/100)</f>
        <v>802.9391317239664</v>
      </c>
      <c r="F1177" s="367">
        <f>+E1177*(1+'Initial Data'!$C$20/100)</f>
        <v>824.45790045416868</v>
      </c>
      <c r="G1177" s="367">
        <f>+F1177*(1+'Initial Data'!$C$20/100)</f>
        <v>846.55337218634031</v>
      </c>
      <c r="H1177" s="367">
        <f>+G1177*(1+'Initial Data'!$C$20/100)</f>
        <v>869.24100256093413</v>
      </c>
      <c r="I1177" s="367">
        <f>+H1177*(1+'Initial Data'!$C$20/100)</f>
        <v>892.53666142956706</v>
      </c>
      <c r="J1177" s="367">
        <f>+I1177*(1+'Initial Data'!$C$20/100)</f>
        <v>916.45664395587937</v>
      </c>
      <c r="K1177" s="367">
        <f>+J1177*(1+'Initial Data'!$C$20/100)</f>
        <v>941.01768201389689</v>
      </c>
      <c r="L1177" s="367">
        <f>+K1177*(1+'Initial Data'!$C$20/100)</f>
        <v>966.23695589186923</v>
      </c>
      <c r="M1177" s="367">
        <f>+L1177*(1+'Initial Data'!$C$20/100)</f>
        <v>992.1321063097713</v>
      </c>
      <c r="N1177" s="367">
        <f>+M1177*(1+'Initial Data'!$C$20/100)</f>
        <v>1018.7212467588731</v>
      </c>
      <c r="O1177" s="367">
        <f>+N1177*(1+'Initial Data'!$C$20/100)</f>
        <v>1046.0229761720109</v>
      </c>
      <c r="P1177" s="367">
        <f>+O1177*(1+'Initial Data'!$C$20/100)</f>
        <v>1074.0563919334206</v>
      </c>
      <c r="Q1177" s="367">
        <f>+P1177*(1+'Initial Data'!$C$20/100)</f>
        <v>1102.8411032372362</v>
      </c>
    </row>
    <row r="1178" spans="1:17" ht="14.4">
      <c r="A1178" s="370"/>
      <c r="B1178" s="369"/>
      <c r="C1178" s="382"/>
      <c r="D1178" s="369"/>
      <c r="E1178" s="369"/>
      <c r="F1178" s="369"/>
      <c r="G1178" s="369"/>
      <c r="H1178" s="369"/>
      <c r="I1178" s="369"/>
      <c r="J1178" s="369"/>
      <c r="K1178" s="369"/>
      <c r="L1178" s="369"/>
      <c r="M1178" s="369"/>
      <c r="N1178" s="369"/>
      <c r="O1178" s="369"/>
      <c r="P1178" s="369"/>
      <c r="Q1178" s="369"/>
    </row>
    <row r="1179" spans="1:17" ht="14.4">
      <c r="A1179" s="366" t="s">
        <v>71</v>
      </c>
      <c r="B1179" s="379"/>
      <c r="C1179" s="379"/>
      <c r="D1179" s="379"/>
      <c r="E1179" s="379"/>
      <c r="F1179" s="379"/>
      <c r="G1179" s="379"/>
      <c r="H1179" s="379"/>
      <c r="I1179" s="379"/>
      <c r="J1179" s="379"/>
      <c r="K1179" s="379"/>
      <c r="L1179" s="379"/>
      <c r="M1179" s="379"/>
      <c r="N1179" s="379"/>
      <c r="O1179" s="379"/>
      <c r="P1179" s="379"/>
      <c r="Q1179" s="379"/>
    </row>
    <row r="1180" spans="1:17" ht="14.4">
      <c r="A1180" s="370"/>
      <c r="B1180" s="379"/>
      <c r="C1180" s="379"/>
      <c r="D1180" s="379"/>
      <c r="E1180" s="379"/>
      <c r="F1180" s="379"/>
      <c r="G1180" s="379"/>
      <c r="H1180" s="379"/>
      <c r="I1180" s="379"/>
      <c r="J1180" s="379"/>
      <c r="K1180" s="379"/>
      <c r="L1180" s="379"/>
      <c r="M1180" s="379"/>
      <c r="N1180" s="379"/>
      <c r="O1180" s="379"/>
      <c r="P1180" s="379"/>
      <c r="Q1180" s="379"/>
    </row>
    <row r="1181" spans="1:17" ht="14.4">
      <c r="A1181" s="366" t="s">
        <v>298</v>
      </c>
      <c r="B1181" s="378">
        <f>+SUM(C1181:Q1181)</f>
        <v>25366.137367328029</v>
      </c>
      <c r="C1181" s="367">
        <f>SUM(C1176:C1177)</f>
        <v>1396.1452845003573</v>
      </c>
      <c r="D1181" s="367">
        <f>SUM(D1176:D1177)</f>
        <v>1433.5619781249666</v>
      </c>
      <c r="E1181" s="367">
        <f t="shared" ref="E1181:Q1181" si="756">SUM(E1176:E1177)</f>
        <v>1471.9814391387158</v>
      </c>
      <c r="F1181" s="367">
        <f t="shared" si="756"/>
        <v>1511.4305417076332</v>
      </c>
      <c r="G1181" s="367">
        <f t="shared" si="756"/>
        <v>1551.9368802253975</v>
      </c>
      <c r="H1181" s="367">
        <f t="shared" si="756"/>
        <v>1593.5287886154383</v>
      </c>
      <c r="I1181" s="367">
        <f t="shared" si="756"/>
        <v>1636.2353601503319</v>
      </c>
      <c r="J1181" s="367">
        <f t="shared" si="756"/>
        <v>1680.0864678023604</v>
      </c>
      <c r="K1181" s="367">
        <f t="shared" si="756"/>
        <v>1725.1127851394635</v>
      </c>
      <c r="L1181" s="367">
        <f t="shared" si="756"/>
        <v>1771.3458077812011</v>
      </c>
      <c r="M1181" s="367">
        <f t="shared" si="756"/>
        <v>1818.8178754297373</v>
      </c>
      <c r="N1181" s="367">
        <f t="shared" si="756"/>
        <v>1867.5621944912541</v>
      </c>
      <c r="O1181" s="367">
        <f t="shared" si="756"/>
        <v>1917.6128613036199</v>
      </c>
      <c r="P1181" s="367">
        <f t="shared" si="756"/>
        <v>1969.0048859865565</v>
      </c>
      <c r="Q1181" s="367">
        <f t="shared" si="756"/>
        <v>2021.7742169309963</v>
      </c>
    </row>
    <row r="1182" spans="1:17" ht="14.4">
      <c r="A1182" s="370"/>
      <c r="B1182" s="379"/>
      <c r="C1182" s="379"/>
      <c r="D1182" s="379"/>
      <c r="E1182" s="379"/>
      <c r="F1182" s="379"/>
      <c r="G1182" s="379"/>
      <c r="H1182" s="379"/>
      <c r="I1182" s="379"/>
      <c r="J1182" s="379"/>
      <c r="K1182" s="379"/>
      <c r="L1182" s="379"/>
      <c r="M1182" s="379"/>
      <c r="N1182" s="379"/>
      <c r="O1182" s="379"/>
      <c r="P1182" s="379"/>
      <c r="Q1182" s="379"/>
    </row>
    <row r="1183" spans="1:17" ht="14.4">
      <c r="A1183" s="366" t="s">
        <v>299</v>
      </c>
      <c r="B1183" s="378">
        <f t="shared" ref="B1183:B1184" si="757">+SUM(C1183:Q1183)</f>
        <v>43884.879418749995</v>
      </c>
      <c r="C1183" s="367">
        <f>'WHRS_Project Scenario'!$C$8/'Initial Data'!$C$19</f>
        <v>4388.4879418749997</v>
      </c>
      <c r="D1183" s="367">
        <f>'WHRS_Project Scenario'!$C$8/'Initial Data'!$C$19</f>
        <v>4388.4879418749997</v>
      </c>
      <c r="E1183" s="367">
        <f>'WHRS_Project Scenario'!$C$8/'Initial Data'!$C$19</f>
        <v>4388.4879418749997</v>
      </c>
      <c r="F1183" s="367">
        <f>'WHRS_Project Scenario'!$C$8/'Initial Data'!$C$19</f>
        <v>4388.4879418749997</v>
      </c>
      <c r="G1183" s="367">
        <f>'WHRS_Project Scenario'!$C$8/'Initial Data'!$C$19</f>
        <v>4388.4879418749997</v>
      </c>
      <c r="H1183" s="367">
        <f>'WHRS_Project Scenario'!$C$8/'Initial Data'!$C$19</f>
        <v>4388.4879418749997</v>
      </c>
      <c r="I1183" s="367">
        <f>'WHRS_Project Scenario'!$C$8/'Initial Data'!$C$19</f>
        <v>4388.4879418749997</v>
      </c>
      <c r="J1183" s="367">
        <f>'WHRS_Project Scenario'!$C$8/'Initial Data'!$C$19</f>
        <v>4388.4879418749997</v>
      </c>
      <c r="K1183" s="367">
        <f>'WHRS_Project Scenario'!$C$8/'Initial Data'!$C$19</f>
        <v>4388.4879418749997</v>
      </c>
      <c r="L1183" s="367">
        <f>'WHRS_Project Scenario'!$C$8/'Initial Data'!$C$19</f>
        <v>4388.4879418749997</v>
      </c>
      <c r="M1183" s="367">
        <v>0</v>
      </c>
      <c r="N1183" s="367">
        <v>0</v>
      </c>
      <c r="O1183" s="367">
        <v>0</v>
      </c>
      <c r="P1183" s="367">
        <v>0</v>
      </c>
      <c r="Q1183" s="367">
        <v>0</v>
      </c>
    </row>
    <row r="1184" spans="1:17" ht="14.4">
      <c r="A1184" s="366" t="s">
        <v>300</v>
      </c>
      <c r="B1184" s="378">
        <f t="shared" si="757"/>
        <v>43884.879418749995</v>
      </c>
      <c r="C1184" s="367">
        <f>SUM(C1183:C1183)</f>
        <v>4388.4879418749997</v>
      </c>
      <c r="D1184" s="367">
        <f t="shared" ref="D1184:Q1184" si="758">SUM(D1183:D1183)</f>
        <v>4388.4879418749997</v>
      </c>
      <c r="E1184" s="367">
        <f t="shared" si="758"/>
        <v>4388.4879418749997</v>
      </c>
      <c r="F1184" s="367">
        <f t="shared" si="758"/>
        <v>4388.4879418749997</v>
      </c>
      <c r="G1184" s="367">
        <f t="shared" si="758"/>
        <v>4388.4879418749997</v>
      </c>
      <c r="H1184" s="367">
        <f t="shared" si="758"/>
        <v>4388.4879418749997</v>
      </c>
      <c r="I1184" s="367">
        <f t="shared" si="758"/>
        <v>4388.4879418749997</v>
      </c>
      <c r="J1184" s="367">
        <f t="shared" si="758"/>
        <v>4388.4879418749997</v>
      </c>
      <c r="K1184" s="367">
        <f t="shared" si="758"/>
        <v>4388.4879418749997</v>
      </c>
      <c r="L1184" s="367">
        <f t="shared" si="758"/>
        <v>4388.4879418749997</v>
      </c>
      <c r="M1184" s="367">
        <f t="shared" si="758"/>
        <v>0</v>
      </c>
      <c r="N1184" s="367">
        <f t="shared" si="758"/>
        <v>0</v>
      </c>
      <c r="O1184" s="367">
        <f t="shared" si="758"/>
        <v>0</v>
      </c>
      <c r="P1184" s="367">
        <f t="shared" si="758"/>
        <v>0</v>
      </c>
      <c r="Q1184" s="367">
        <f t="shared" si="758"/>
        <v>0</v>
      </c>
    </row>
    <row r="1185" spans="1:17" ht="14.4">
      <c r="A1185" s="370"/>
      <c r="B1185" s="379"/>
      <c r="C1185" s="379"/>
      <c r="D1185" s="379"/>
      <c r="E1185" s="379"/>
      <c r="F1185" s="379"/>
      <c r="G1185" s="379"/>
      <c r="H1185" s="379"/>
      <c r="I1185" s="379"/>
      <c r="J1185" s="379"/>
      <c r="K1185" s="379"/>
      <c r="L1185" s="379"/>
      <c r="M1185" s="379"/>
      <c r="N1185" s="379"/>
      <c r="O1185" s="379"/>
      <c r="P1185" s="379"/>
      <c r="Q1185" s="379"/>
    </row>
    <row r="1186" spans="1:17" ht="14.4">
      <c r="A1186" s="366" t="s">
        <v>301</v>
      </c>
      <c r="B1186" s="378">
        <f>+SUM(C1186:Q1186)</f>
        <v>69251.016786078035</v>
      </c>
      <c r="C1186" s="367">
        <f>+C1181+C1184</f>
        <v>5784.6332263753575</v>
      </c>
      <c r="D1186" s="367">
        <f>+D1181+D1184</f>
        <v>5822.0499199999667</v>
      </c>
      <c r="E1186" s="367">
        <f t="shared" ref="E1186:Q1186" si="759">+E1181+E1184</f>
        <v>5860.469381013716</v>
      </c>
      <c r="F1186" s="367">
        <f t="shared" si="759"/>
        <v>5899.9184835826327</v>
      </c>
      <c r="G1186" s="367">
        <f t="shared" si="759"/>
        <v>5940.4248221003973</v>
      </c>
      <c r="H1186" s="367">
        <f t="shared" si="759"/>
        <v>5982.016730490438</v>
      </c>
      <c r="I1186" s="367">
        <f t="shared" si="759"/>
        <v>6024.7233020253316</v>
      </c>
      <c r="J1186" s="367">
        <f t="shared" si="759"/>
        <v>6068.5744096773597</v>
      </c>
      <c r="K1186" s="367">
        <f t="shared" si="759"/>
        <v>6113.6007270144637</v>
      </c>
      <c r="L1186" s="367">
        <f t="shared" si="759"/>
        <v>6159.8337496562008</v>
      </c>
      <c r="M1186" s="367">
        <f t="shared" si="759"/>
        <v>1818.8178754297373</v>
      </c>
      <c r="N1186" s="367">
        <f t="shared" si="759"/>
        <v>1867.5621944912541</v>
      </c>
      <c r="O1186" s="367">
        <f t="shared" si="759"/>
        <v>1917.6128613036199</v>
      </c>
      <c r="P1186" s="367">
        <f t="shared" si="759"/>
        <v>1969.0048859865565</v>
      </c>
      <c r="Q1186" s="367">
        <f t="shared" si="759"/>
        <v>2021.7742169309963</v>
      </c>
    </row>
    <row r="1187" spans="1:17" ht="14.4">
      <c r="A1187" s="370"/>
      <c r="B1187" s="379"/>
      <c r="C1187" s="379"/>
      <c r="D1187" s="379"/>
      <c r="E1187" s="379"/>
      <c r="F1187" s="379"/>
      <c r="G1187" s="379"/>
      <c r="H1187" s="379"/>
      <c r="I1187" s="379"/>
      <c r="J1187" s="379"/>
      <c r="K1187" s="379"/>
      <c r="L1187" s="379"/>
      <c r="M1187" s="379"/>
      <c r="N1187" s="379"/>
      <c r="O1187" s="379"/>
      <c r="P1187" s="379"/>
      <c r="Q1187" s="379"/>
    </row>
    <row r="1188" spans="1:17" ht="14.4">
      <c r="A1188" s="364" t="s">
        <v>302</v>
      </c>
      <c r="B1188" s="378">
        <f>+SUM(C1188:Q1188)</f>
        <v>1690327.3855618956</v>
      </c>
      <c r="C1188" s="367">
        <f>+C1173-C1186</f>
        <v>91062.082281479961</v>
      </c>
      <c r="D1188" s="367">
        <f>+D1173-D1186</f>
        <v>93620.157563465895</v>
      </c>
      <c r="E1188" s="367">
        <f t="shared" ref="E1188:Q1188" si="760">+E1173-E1186</f>
        <v>96246.789263009006</v>
      </c>
      <c r="F1188" s="367">
        <f t="shared" si="760"/>
        <v>98943.814692099899</v>
      </c>
      <c r="G1188" s="367">
        <f t="shared" si="760"/>
        <v>101713.1204026904</v>
      </c>
      <c r="H1188" s="367">
        <f t="shared" si="760"/>
        <v>104556.64350632476</v>
      </c>
      <c r="I1188" s="367">
        <f t="shared" si="760"/>
        <v>107476.37302913651</v>
      </c>
      <c r="J1188" s="367">
        <f t="shared" si="760"/>
        <v>110474.35130315959</v>
      </c>
      <c r="K1188" s="367">
        <f t="shared" si="760"/>
        <v>113552.67539492653</v>
      </c>
      <c r="L1188" s="367">
        <f t="shared" si="760"/>
        <v>116713.49857235279</v>
      </c>
      <c r="M1188" s="367">
        <f t="shared" si="760"/>
        <v>124347.51975280905</v>
      </c>
      <c r="N1188" s="367">
        <f t="shared" si="760"/>
        <v>127680.03328218435</v>
      </c>
      <c r="O1188" s="367">
        <f t="shared" si="760"/>
        <v>131101.85817414688</v>
      </c>
      <c r="P1188" s="367">
        <f t="shared" si="760"/>
        <v>134615.387973214</v>
      </c>
      <c r="Q1188" s="367">
        <f t="shared" si="760"/>
        <v>138223.08037089615</v>
      </c>
    </row>
    <row r="1189" spans="1:17" ht="14.4">
      <c r="A1189" s="364"/>
    </row>
    <row r="1190" spans="1:17" ht="14.4">
      <c r="A1190" s="364" t="s">
        <v>222</v>
      </c>
      <c r="B1190" s="380">
        <f>'WHRS_Project Scenario'!C39</f>
        <v>0.7</v>
      </c>
      <c r="C1190" s="367">
        <f>IF((+$B$1190*C1188)&lt;0,"0",(+$B$1190*C1188))</f>
        <v>63743.457597035966</v>
      </c>
      <c r="D1190" s="367">
        <f t="shared" ref="D1190:Q1190" si="761">IF((+$B$1190*D1188)&lt;0,"0",(+$B$1190*D1188))</f>
        <v>65534.110294426122</v>
      </c>
      <c r="E1190" s="367">
        <f t="shared" si="761"/>
        <v>67372.752484106299</v>
      </c>
      <c r="F1190" s="367">
        <f t="shared" si="761"/>
        <v>69260.670284469918</v>
      </c>
      <c r="G1190" s="367">
        <f t="shared" si="761"/>
        <v>71199.184281883281</v>
      </c>
      <c r="H1190" s="367">
        <f t="shared" si="761"/>
        <v>73189.650454427334</v>
      </c>
      <c r="I1190" s="367">
        <f t="shared" si="761"/>
        <v>75233.461120395543</v>
      </c>
      <c r="J1190" s="367">
        <f t="shared" si="761"/>
        <v>77332.045912211717</v>
      </c>
      <c r="K1190" s="367">
        <f t="shared" si="761"/>
        <v>79486.872776448567</v>
      </c>
      <c r="L1190" s="367">
        <f t="shared" si="761"/>
        <v>81699.449000646957</v>
      </c>
      <c r="M1190" s="367">
        <f t="shared" si="761"/>
        <v>87043.263826966329</v>
      </c>
      <c r="N1190" s="367">
        <f t="shared" si="761"/>
        <v>89376.023297529042</v>
      </c>
      <c r="O1190" s="367">
        <f t="shared" si="761"/>
        <v>91771.300721902808</v>
      </c>
      <c r="P1190" s="367">
        <f t="shared" si="761"/>
        <v>94230.771581249792</v>
      </c>
      <c r="Q1190" s="367">
        <f t="shared" si="761"/>
        <v>96756.1562596273</v>
      </c>
    </row>
    <row r="1191" spans="1:17" ht="14.4">
      <c r="A1191" s="364" t="s">
        <v>303</v>
      </c>
      <c r="B1191" s="378">
        <f>+SUM(C1191:Q1191)</f>
        <v>1183229.1698933272</v>
      </c>
      <c r="C1191" s="367">
        <f>SUM(C1190:C1190)</f>
        <v>63743.457597035966</v>
      </c>
      <c r="D1191" s="367">
        <f t="shared" ref="D1191:Q1191" si="762">SUM(D1190:D1190)</f>
        <v>65534.110294426122</v>
      </c>
      <c r="E1191" s="367">
        <f t="shared" si="762"/>
        <v>67372.752484106299</v>
      </c>
      <c r="F1191" s="367">
        <f t="shared" si="762"/>
        <v>69260.670284469918</v>
      </c>
      <c r="G1191" s="367">
        <f t="shared" si="762"/>
        <v>71199.184281883281</v>
      </c>
      <c r="H1191" s="367">
        <f t="shared" si="762"/>
        <v>73189.650454427334</v>
      </c>
      <c r="I1191" s="367">
        <f t="shared" si="762"/>
        <v>75233.461120395543</v>
      </c>
      <c r="J1191" s="367">
        <f t="shared" si="762"/>
        <v>77332.045912211717</v>
      </c>
      <c r="K1191" s="367">
        <f t="shared" si="762"/>
        <v>79486.872776448567</v>
      </c>
      <c r="L1191" s="367">
        <f t="shared" si="762"/>
        <v>81699.449000646957</v>
      </c>
      <c r="M1191" s="367">
        <f t="shared" si="762"/>
        <v>87043.263826966329</v>
      </c>
      <c r="N1191" s="367">
        <f t="shared" si="762"/>
        <v>89376.023297529042</v>
      </c>
      <c r="O1191" s="367">
        <f t="shared" si="762"/>
        <v>91771.300721902808</v>
      </c>
      <c r="P1191" s="367">
        <f t="shared" si="762"/>
        <v>94230.771581249792</v>
      </c>
      <c r="Q1191" s="367">
        <f t="shared" si="762"/>
        <v>96756.1562596273</v>
      </c>
    </row>
    <row r="1192" spans="1:17" ht="14.4">
      <c r="A1192" s="369"/>
    </row>
    <row r="1193" spans="1:17" ht="14.4">
      <c r="A1193" s="364" t="s">
        <v>304</v>
      </c>
      <c r="B1193" s="378">
        <f t="shared" ref="B1193:B1195" si="763">+SUM(C1193:Q1193)</f>
        <v>507098.2156685688</v>
      </c>
      <c r="C1193" s="367">
        <f>C1188-C1191</f>
        <v>27318.624684443996</v>
      </c>
      <c r="D1193" s="367">
        <f t="shared" ref="D1193:Q1193" si="764">D1188-D1191</f>
        <v>28086.047269039773</v>
      </c>
      <c r="E1193" s="367">
        <f t="shared" si="764"/>
        <v>28874.036778902708</v>
      </c>
      <c r="F1193" s="367">
        <f t="shared" si="764"/>
        <v>29683.144407629981</v>
      </c>
      <c r="G1193" s="367">
        <f t="shared" si="764"/>
        <v>30513.93612080712</v>
      </c>
      <c r="H1193" s="367">
        <f t="shared" si="764"/>
        <v>31366.993051897429</v>
      </c>
      <c r="I1193" s="367">
        <f t="shared" si="764"/>
        <v>32242.911908740964</v>
      </c>
      <c r="J1193" s="367">
        <f t="shared" si="764"/>
        <v>33142.305390947877</v>
      </c>
      <c r="K1193" s="367">
        <f t="shared" si="764"/>
        <v>34065.802618477959</v>
      </c>
      <c r="L1193" s="367">
        <f t="shared" si="764"/>
        <v>35014.049571705837</v>
      </c>
      <c r="M1193" s="367">
        <f t="shared" si="764"/>
        <v>37304.255925842721</v>
      </c>
      <c r="N1193" s="367">
        <f t="shared" si="764"/>
        <v>38304.009984655306</v>
      </c>
      <c r="O1193" s="367">
        <f t="shared" si="764"/>
        <v>39330.557452244073</v>
      </c>
      <c r="P1193" s="367">
        <f t="shared" si="764"/>
        <v>40384.616391964213</v>
      </c>
      <c r="Q1193" s="367">
        <f t="shared" si="764"/>
        <v>41466.924111268847</v>
      </c>
    </row>
    <row r="1194" spans="1:17" ht="14.4">
      <c r="A1194" s="364" t="s">
        <v>305</v>
      </c>
      <c r="B1194" s="378">
        <f t="shared" si="763"/>
        <v>43884.879418749995</v>
      </c>
      <c r="C1194" s="367">
        <f>+C1183</f>
        <v>4388.4879418749997</v>
      </c>
      <c r="D1194" s="367">
        <f t="shared" ref="D1194:Q1194" si="765">+D1183</f>
        <v>4388.4879418749997</v>
      </c>
      <c r="E1194" s="367">
        <f t="shared" si="765"/>
        <v>4388.4879418749997</v>
      </c>
      <c r="F1194" s="367">
        <f t="shared" si="765"/>
        <v>4388.4879418749997</v>
      </c>
      <c r="G1194" s="367">
        <f t="shared" si="765"/>
        <v>4388.4879418749997</v>
      </c>
      <c r="H1194" s="367">
        <f t="shared" si="765"/>
        <v>4388.4879418749997</v>
      </c>
      <c r="I1194" s="367">
        <f t="shared" si="765"/>
        <v>4388.4879418749997</v>
      </c>
      <c r="J1194" s="367">
        <f t="shared" si="765"/>
        <v>4388.4879418749997</v>
      </c>
      <c r="K1194" s="367">
        <f t="shared" si="765"/>
        <v>4388.4879418749997</v>
      </c>
      <c r="L1194" s="367">
        <f t="shared" si="765"/>
        <v>4388.4879418749997</v>
      </c>
      <c r="M1194" s="367">
        <f t="shared" si="765"/>
        <v>0</v>
      </c>
      <c r="N1194" s="367">
        <f t="shared" si="765"/>
        <v>0</v>
      </c>
      <c r="O1194" s="367">
        <f t="shared" si="765"/>
        <v>0</v>
      </c>
      <c r="P1194" s="367">
        <f t="shared" si="765"/>
        <v>0</v>
      </c>
      <c r="Q1194" s="367">
        <f t="shared" si="765"/>
        <v>0</v>
      </c>
    </row>
    <row r="1195" spans="1:17" ht="14.4">
      <c r="A1195" s="364" t="s">
        <v>306</v>
      </c>
      <c r="B1195" s="378">
        <f t="shared" si="763"/>
        <v>0</v>
      </c>
      <c r="C1195" s="367">
        <f>+'WHRS_Project Scenario'!D1168</f>
        <v>0</v>
      </c>
      <c r="D1195" s="367">
        <f>+'WHRS_Project Scenario'!E1168</f>
        <v>0</v>
      </c>
      <c r="E1195" s="367">
        <f>+'WHRS_Project Scenario'!F1168</f>
        <v>0</v>
      </c>
      <c r="F1195" s="367">
        <f>+'WHRS_Project Scenario'!G1168</f>
        <v>0</v>
      </c>
      <c r="G1195" s="367">
        <f>+'WHRS_Project Scenario'!H1168</f>
        <v>0</v>
      </c>
      <c r="H1195" s="367">
        <f>+'WHRS_Project Scenario'!I1168</f>
        <v>0</v>
      </c>
      <c r="I1195" s="367">
        <f>+'WHRS_Project Scenario'!J1168</f>
        <v>0</v>
      </c>
      <c r="J1195" s="367">
        <f>+'WHRS_Project Scenario'!K1168</f>
        <v>0</v>
      </c>
      <c r="K1195" s="367">
        <f>+'WHRS_Project Scenario'!L1168</f>
        <v>0</v>
      </c>
      <c r="L1195" s="367">
        <f>+'WHRS_Project Scenario'!M1168</f>
        <v>0</v>
      </c>
      <c r="M1195" s="367">
        <f>+'WHRS_Project Scenario'!N1168</f>
        <v>0</v>
      </c>
      <c r="N1195" s="367">
        <f>+'WHRS_Project Scenario'!O1168</f>
        <v>0</v>
      </c>
      <c r="O1195" s="367">
        <f>+'WHRS_Project Scenario'!P1168</f>
        <v>0</v>
      </c>
      <c r="P1195" s="367">
        <f>+'WHRS_Project Scenario'!Q1168</f>
        <v>0</v>
      </c>
      <c r="Q1195" s="367">
        <f>+'WHRS_Project Scenario'!R1168</f>
        <v>0</v>
      </c>
    </row>
    <row r="1196" spans="1:17" ht="14.4">
      <c r="A1196" s="364"/>
    </row>
    <row r="1197" spans="1:17" ht="14.4">
      <c r="A1197" s="364" t="s">
        <v>110</v>
      </c>
      <c r="B1197" s="378">
        <f>-'WHRS_Project Scenario'!C8</f>
        <v>-43884.879418749995</v>
      </c>
      <c r="C1197" s="367">
        <f>C1193+C1194+C1195</f>
        <v>31707.112626318994</v>
      </c>
      <c r="D1197" s="367">
        <f t="shared" ref="D1197:Q1197" si="766">D1193+D1194+D1195</f>
        <v>32474.535210914772</v>
      </c>
      <c r="E1197" s="367">
        <f t="shared" si="766"/>
        <v>33262.524720777707</v>
      </c>
      <c r="F1197" s="367">
        <f t="shared" si="766"/>
        <v>34071.63234950498</v>
      </c>
      <c r="G1197" s="367">
        <f t="shared" si="766"/>
        <v>34902.424062682119</v>
      </c>
      <c r="H1197" s="367">
        <f t="shared" si="766"/>
        <v>35755.480993772428</v>
      </c>
      <c r="I1197" s="367">
        <f t="shared" si="766"/>
        <v>36631.399850615962</v>
      </c>
      <c r="J1197" s="367">
        <f t="shared" si="766"/>
        <v>37530.793332822876</v>
      </c>
      <c r="K1197" s="367">
        <f t="shared" si="766"/>
        <v>38454.290560352958</v>
      </c>
      <c r="L1197" s="367">
        <f t="shared" si="766"/>
        <v>39402.537513580835</v>
      </c>
      <c r="M1197" s="367">
        <f t="shared" si="766"/>
        <v>37304.255925842721</v>
      </c>
      <c r="N1197" s="367">
        <f t="shared" si="766"/>
        <v>38304.009984655306</v>
      </c>
      <c r="O1197" s="367">
        <f t="shared" si="766"/>
        <v>39330.557452244073</v>
      </c>
      <c r="P1197" s="367">
        <f t="shared" si="766"/>
        <v>40384.616391964213</v>
      </c>
      <c r="Q1197" s="367">
        <f t="shared" si="766"/>
        <v>41466.924111268847</v>
      </c>
    </row>
    <row r="1198" spans="1:17" ht="15.6">
      <c r="A1198" s="364" t="s">
        <v>51</v>
      </c>
      <c r="B1198" s="132">
        <f>IRR(B1197:Q1197)</f>
        <v>0.74631049628791313</v>
      </c>
    </row>
    <row r="1199" spans="1:17" ht="15.6">
      <c r="A1199" s="364" t="s">
        <v>267</v>
      </c>
      <c r="B1199" s="303">
        <f>NPV('Initial Data'!C21/100,B1197:Q1197)</f>
        <v>176118.00956786249</v>
      </c>
    </row>
    <row r="1201" spans="1:17" ht="14.4">
      <c r="A1201" s="364" t="s">
        <v>103</v>
      </c>
    </row>
    <row r="1202" spans="1:17" ht="14.4">
      <c r="A1202" s="369"/>
    </row>
    <row r="1203" spans="1:17" ht="14.4">
      <c r="A1203" s="364" t="s">
        <v>363</v>
      </c>
      <c r="C1203" s="367">
        <f>'WHRS_Project Scenario'!D52</f>
        <v>88111</v>
      </c>
      <c r="D1203" s="367">
        <f>'WHRS_Project Scenario'!E52</f>
        <v>88111</v>
      </c>
      <c r="E1203" s="367">
        <f>'WHRS_Project Scenario'!F52</f>
        <v>88111</v>
      </c>
      <c r="F1203" s="367">
        <f>'WHRS_Project Scenario'!G52</f>
        <v>88111</v>
      </c>
      <c r="G1203" s="367">
        <f>'WHRS_Project Scenario'!H52</f>
        <v>88111</v>
      </c>
      <c r="H1203" s="367">
        <f>'WHRS_Project Scenario'!I52</f>
        <v>88111</v>
      </c>
      <c r="I1203" s="367">
        <f>'WHRS_Project Scenario'!J52</f>
        <v>88111</v>
      </c>
      <c r="J1203" s="367">
        <f>'WHRS_Project Scenario'!K52</f>
        <v>88111</v>
      </c>
      <c r="K1203" s="367">
        <f>'WHRS_Project Scenario'!L52</f>
        <v>88111</v>
      </c>
      <c r="L1203" s="367">
        <f>'WHRS_Project Scenario'!M52</f>
        <v>88111</v>
      </c>
      <c r="M1203" s="367">
        <f>'WHRS_Project Scenario'!N52</f>
        <v>0</v>
      </c>
      <c r="N1203" s="367">
        <f>'WHRS_Project Scenario'!O52</f>
        <v>0</v>
      </c>
      <c r="O1203" s="367">
        <f>'WHRS_Project Scenario'!P52</f>
        <v>0</v>
      </c>
      <c r="P1203" s="367">
        <f>'WHRS_Project Scenario'!Q52</f>
        <v>0</v>
      </c>
      <c r="Q1203" s="367">
        <f>'WHRS_Project Scenario'!R52</f>
        <v>0</v>
      </c>
    </row>
    <row r="1204" spans="1:17" ht="14.4">
      <c r="A1204" s="364" t="s">
        <v>364</v>
      </c>
      <c r="C1204" s="367">
        <f>$E$13</f>
        <v>15</v>
      </c>
    </row>
    <row r="1205" spans="1:17" ht="14.4">
      <c r="A1205" s="369"/>
    </row>
    <row r="1206" spans="1:17" ht="14.4">
      <c r="A1206" s="364" t="s">
        <v>365</v>
      </c>
      <c r="C1206" s="367">
        <f>C1203*$C$1204/1000</f>
        <v>1321.665</v>
      </c>
      <c r="D1206" s="367">
        <f t="shared" ref="D1206:Q1206" si="767">D1203*$C$1204/1000</f>
        <v>1321.665</v>
      </c>
      <c r="E1206" s="367">
        <f t="shared" si="767"/>
        <v>1321.665</v>
      </c>
      <c r="F1206" s="367">
        <f t="shared" si="767"/>
        <v>1321.665</v>
      </c>
      <c r="G1206" s="367">
        <f t="shared" si="767"/>
        <v>1321.665</v>
      </c>
      <c r="H1206" s="367">
        <f t="shared" si="767"/>
        <v>1321.665</v>
      </c>
      <c r="I1206" s="367">
        <f t="shared" si="767"/>
        <v>1321.665</v>
      </c>
      <c r="J1206" s="367">
        <f t="shared" si="767"/>
        <v>1321.665</v>
      </c>
      <c r="K1206" s="367">
        <f t="shared" si="767"/>
        <v>1321.665</v>
      </c>
      <c r="L1206" s="367">
        <f t="shared" si="767"/>
        <v>1321.665</v>
      </c>
      <c r="M1206" s="367">
        <f t="shared" si="767"/>
        <v>0</v>
      </c>
      <c r="N1206" s="367">
        <f t="shared" si="767"/>
        <v>0</v>
      </c>
      <c r="O1206" s="367">
        <f t="shared" si="767"/>
        <v>0</v>
      </c>
      <c r="P1206" s="367">
        <f t="shared" si="767"/>
        <v>0</v>
      </c>
      <c r="Q1206" s="367">
        <f t="shared" si="767"/>
        <v>0</v>
      </c>
    </row>
    <row r="1207" spans="1:17" ht="14.4">
      <c r="A1207" s="369"/>
    </row>
    <row r="1208" spans="1:17" ht="14.4">
      <c r="A1208" s="364" t="s">
        <v>110</v>
      </c>
      <c r="B1208" s="378">
        <f>B1197</f>
        <v>-43884.879418749995</v>
      </c>
      <c r="C1208" s="367">
        <f>C1197+C1206</f>
        <v>33028.777626318995</v>
      </c>
      <c r="D1208" s="367">
        <f t="shared" ref="D1208:Q1208" si="768">D1197+D1206</f>
        <v>33796.200210914772</v>
      </c>
      <c r="E1208" s="367">
        <f t="shared" si="768"/>
        <v>34584.189720777707</v>
      </c>
      <c r="F1208" s="367">
        <f t="shared" si="768"/>
        <v>35393.297349504981</v>
      </c>
      <c r="G1208" s="367">
        <f t="shared" si="768"/>
        <v>36224.08906268212</v>
      </c>
      <c r="H1208" s="367">
        <f t="shared" si="768"/>
        <v>37077.145993772428</v>
      </c>
      <c r="I1208" s="367">
        <f t="shared" si="768"/>
        <v>37953.064850615963</v>
      </c>
      <c r="J1208" s="367">
        <f t="shared" si="768"/>
        <v>38852.458332822876</v>
      </c>
      <c r="K1208" s="367">
        <f t="shared" si="768"/>
        <v>39775.955560352959</v>
      </c>
      <c r="L1208" s="367">
        <f t="shared" si="768"/>
        <v>40724.202513580836</v>
      </c>
      <c r="M1208" s="367">
        <f t="shared" si="768"/>
        <v>37304.255925842721</v>
      </c>
      <c r="N1208" s="367">
        <f t="shared" si="768"/>
        <v>38304.009984655306</v>
      </c>
      <c r="O1208" s="367">
        <f t="shared" si="768"/>
        <v>39330.557452244073</v>
      </c>
      <c r="P1208" s="367">
        <f t="shared" si="768"/>
        <v>40384.616391964213</v>
      </c>
      <c r="Q1208" s="367">
        <f t="shared" si="768"/>
        <v>41466.924111268847</v>
      </c>
    </row>
    <row r="1209" spans="1:17" ht="15.6">
      <c r="A1209" s="364" t="s">
        <v>51</v>
      </c>
      <c r="B1209" s="132">
        <f>IRR(B1208:Q1208)</f>
        <v>0.77547602934255755</v>
      </c>
    </row>
    <row r="1210" spans="1:17" ht="15.6">
      <c r="A1210" s="364" t="s">
        <v>267</v>
      </c>
      <c r="B1210" s="303">
        <f>NPV('Initial Data'!C21/100,B1208:Q1208)</f>
        <v>182785.60065611667</v>
      </c>
    </row>
    <row r="1212" spans="1:17" ht="14.4">
      <c r="A1212" s="508" t="s">
        <v>361</v>
      </c>
      <c r="B1212" s="509"/>
      <c r="C1212" s="509"/>
      <c r="D1212" s="509"/>
      <c r="E1212" s="509"/>
      <c r="F1212" s="509"/>
      <c r="G1212" s="509"/>
      <c r="H1212" s="509"/>
      <c r="I1212" s="509"/>
      <c r="J1212" s="509"/>
      <c r="K1212" s="509"/>
      <c r="L1212" s="509"/>
      <c r="M1212" s="509"/>
      <c r="N1212" s="509"/>
      <c r="O1212" s="509"/>
      <c r="P1212" s="509"/>
      <c r="Q1212" s="509"/>
    </row>
    <row r="1213" spans="1:17" ht="14.4">
      <c r="A1213" s="371" t="s">
        <v>368</v>
      </c>
      <c r="B1213" s="372"/>
      <c r="C1213" s="372"/>
      <c r="D1213" s="372"/>
      <c r="E1213" s="372"/>
      <c r="F1213" s="372"/>
      <c r="G1213" s="372"/>
      <c r="H1213" s="372"/>
      <c r="I1213" s="372"/>
      <c r="J1213" s="372"/>
      <c r="K1213" s="372"/>
      <c r="L1213" s="372"/>
      <c r="M1213" s="372"/>
      <c r="N1213" s="372"/>
      <c r="O1213" s="372"/>
      <c r="P1213" s="372"/>
      <c r="Q1213" s="372"/>
    </row>
    <row r="1214" spans="1:17" ht="27">
      <c r="A1214" s="376"/>
      <c r="B1214" s="304" t="s">
        <v>35</v>
      </c>
      <c r="C1214" s="352" t="s">
        <v>407</v>
      </c>
      <c r="D1214" s="352" t="s">
        <v>408</v>
      </c>
      <c r="E1214" s="352" t="s">
        <v>409</v>
      </c>
      <c r="F1214" s="352" t="s">
        <v>410</v>
      </c>
      <c r="G1214" s="352" t="s">
        <v>411</v>
      </c>
      <c r="H1214" s="352" t="s">
        <v>412</v>
      </c>
      <c r="I1214" s="352" t="s">
        <v>413</v>
      </c>
      <c r="J1214" s="352" t="s">
        <v>414</v>
      </c>
      <c r="K1214" s="352" t="s">
        <v>415</v>
      </c>
      <c r="L1214" s="352" t="s">
        <v>416</v>
      </c>
      <c r="M1214" s="352" t="s">
        <v>417</v>
      </c>
      <c r="N1214" s="352" t="s">
        <v>418</v>
      </c>
      <c r="O1214" s="352" t="s">
        <v>419</v>
      </c>
      <c r="P1214" s="352" t="s">
        <v>420</v>
      </c>
      <c r="Q1214" s="352" t="s">
        <v>421</v>
      </c>
    </row>
    <row r="1215" spans="1:17" ht="14.4">
      <c r="A1215" s="363" t="s">
        <v>290</v>
      </c>
      <c r="B1215" s="365"/>
      <c r="C1215" s="377">
        <f>+'WHRS_Project Scenario'!D15</f>
        <v>215214.92335078961</v>
      </c>
      <c r="D1215" s="377">
        <f>+'WHRS_Project Scenario'!E15</f>
        <v>215214.92335078961</v>
      </c>
      <c r="E1215" s="377">
        <f>+'WHRS_Project Scenario'!F15</f>
        <v>215214.92335078961</v>
      </c>
      <c r="F1215" s="377">
        <f>+'WHRS_Project Scenario'!G15</f>
        <v>215214.92335078961</v>
      </c>
      <c r="G1215" s="377">
        <f>+'WHRS_Project Scenario'!H15</f>
        <v>215214.92335078961</v>
      </c>
      <c r="H1215" s="377">
        <f>+'WHRS_Project Scenario'!I15</f>
        <v>215214.92335078961</v>
      </c>
      <c r="I1215" s="377">
        <f>+'WHRS_Project Scenario'!J15</f>
        <v>215214.92335078961</v>
      </c>
      <c r="J1215" s="377">
        <f>+'WHRS_Project Scenario'!K15</f>
        <v>215214.92335078961</v>
      </c>
      <c r="K1215" s="377">
        <f>+'WHRS_Project Scenario'!L15</f>
        <v>215214.92335078961</v>
      </c>
      <c r="L1215" s="377">
        <f>+'WHRS_Project Scenario'!M15</f>
        <v>215214.92335078961</v>
      </c>
      <c r="M1215" s="377">
        <f>+'WHRS_Project Scenario'!N15</f>
        <v>215214.92335078961</v>
      </c>
      <c r="N1215" s="377">
        <f>+'WHRS_Project Scenario'!O15</f>
        <v>215214.92335078961</v>
      </c>
      <c r="O1215" s="377">
        <f>+'WHRS_Project Scenario'!P15</f>
        <v>215214.92335078961</v>
      </c>
      <c r="P1215" s="377">
        <f>+'WHRS_Project Scenario'!Q15</f>
        <v>215214.92335078961</v>
      </c>
      <c r="Q1215" s="377">
        <f>+'WHRS_Project Scenario'!R15</f>
        <v>215214.92335078961</v>
      </c>
    </row>
    <row r="1216" spans="1:17" ht="14.4">
      <c r="A1216" s="364" t="s">
        <v>291</v>
      </c>
      <c r="B1216" s="365"/>
      <c r="C1216" s="377">
        <f>+'WHRS_Project Scenario'!D16</f>
        <v>70</v>
      </c>
      <c r="D1216" s="377">
        <f>+'WHRS_Project Scenario'!E16</f>
        <v>70</v>
      </c>
      <c r="E1216" s="377">
        <f>+'WHRS_Project Scenario'!F16</f>
        <v>70</v>
      </c>
      <c r="F1216" s="377">
        <f>+'WHRS_Project Scenario'!G16</f>
        <v>70</v>
      </c>
      <c r="G1216" s="377">
        <f>+'WHRS_Project Scenario'!H16</f>
        <v>70</v>
      </c>
      <c r="H1216" s="377">
        <f>+'WHRS_Project Scenario'!I16</f>
        <v>70</v>
      </c>
      <c r="I1216" s="377">
        <f>+'WHRS_Project Scenario'!J16</f>
        <v>70</v>
      </c>
      <c r="J1216" s="377">
        <f>+'WHRS_Project Scenario'!K16</f>
        <v>70</v>
      </c>
      <c r="K1216" s="377">
        <f>+'WHRS_Project Scenario'!L16</f>
        <v>70</v>
      </c>
      <c r="L1216" s="377">
        <f>+'WHRS_Project Scenario'!M16</f>
        <v>70</v>
      </c>
      <c r="M1216" s="377">
        <f>+'WHRS_Project Scenario'!N16</f>
        <v>70</v>
      </c>
      <c r="N1216" s="377">
        <f>+'WHRS_Project Scenario'!O16</f>
        <v>70</v>
      </c>
      <c r="O1216" s="377">
        <f>+'WHRS_Project Scenario'!P16</f>
        <v>70</v>
      </c>
      <c r="P1216" s="377">
        <f>+'WHRS_Project Scenario'!Q16</f>
        <v>70</v>
      </c>
      <c r="Q1216" s="377">
        <f>+'WHRS_Project Scenario'!R16</f>
        <v>70</v>
      </c>
    </row>
    <row r="1217" spans="1:17" ht="14.4">
      <c r="A1217" s="366" t="s">
        <v>292</v>
      </c>
      <c r="B1217" s="365"/>
      <c r="C1217" s="377">
        <f>+'WHRS_Project Scenario'!D17</f>
        <v>6.4285714285714288</v>
      </c>
      <c r="D1217" s="377">
        <f>+'WHRS_Project Scenario'!E17</f>
        <v>6.6008571428571425</v>
      </c>
      <c r="E1217" s="377">
        <f>+'WHRS_Project Scenario'!F17</f>
        <v>6.7777601142857131</v>
      </c>
      <c r="F1217" s="377">
        <f>+'WHRS_Project Scenario'!G17</f>
        <v>6.9594040853485701</v>
      </c>
      <c r="G1217" s="377">
        <f>+'WHRS_Project Scenario'!H17</f>
        <v>7.1459161148359112</v>
      </c>
      <c r="H1217" s="377">
        <f>+'WHRS_Project Scenario'!I17</f>
        <v>7.3374266667135135</v>
      </c>
      <c r="I1217" s="377">
        <f>+'WHRS_Project Scenario'!J17</f>
        <v>7.5340697013814353</v>
      </c>
      <c r="J1217" s="377">
        <f>+'WHRS_Project Scenario'!K17</f>
        <v>7.7359827693784569</v>
      </c>
      <c r="K1217" s="377">
        <f>+'WHRS_Project Scenario'!L17</f>
        <v>7.943307107597799</v>
      </c>
      <c r="L1217" s="377">
        <f>+'WHRS_Project Scenario'!M17</f>
        <v>8.1561877380814192</v>
      </c>
      <c r="M1217" s="377">
        <f>+'WHRS_Project Scenario'!N17</f>
        <v>8.3747735694620005</v>
      </c>
      <c r="N1217" s="377">
        <f>+'WHRS_Project Scenario'!O17</f>
        <v>8.5992175011235812</v>
      </c>
      <c r="O1217" s="377">
        <f>+'WHRS_Project Scenario'!P17</f>
        <v>8.8296765301536926</v>
      </c>
      <c r="P1217" s="377">
        <f>+'WHRS_Project Scenario'!Q17</f>
        <v>9.066311861161811</v>
      </c>
      <c r="Q1217" s="377">
        <f>+'WHRS_Project Scenario'!R17</f>
        <v>9.3092890190409463</v>
      </c>
    </row>
    <row r="1218" spans="1:17" ht="14.4">
      <c r="A1218" s="366" t="s">
        <v>293</v>
      </c>
      <c r="B1218" s="365"/>
      <c r="C1218" s="377">
        <f>+C1216*C1217</f>
        <v>450</v>
      </c>
      <c r="D1218" s="377">
        <f t="shared" ref="D1218:Q1218" si="769">+D1216*D1217</f>
        <v>462.06</v>
      </c>
      <c r="E1218" s="377">
        <f t="shared" si="769"/>
        <v>474.44320799999991</v>
      </c>
      <c r="F1218" s="377">
        <f t="shared" si="769"/>
        <v>487.15828597439992</v>
      </c>
      <c r="G1218" s="377">
        <f t="shared" si="769"/>
        <v>500.21412803851376</v>
      </c>
      <c r="H1218" s="377">
        <f t="shared" si="769"/>
        <v>513.61986666994596</v>
      </c>
      <c r="I1218" s="377">
        <f t="shared" si="769"/>
        <v>527.3848790967005</v>
      </c>
      <c r="J1218" s="377">
        <f t="shared" si="769"/>
        <v>541.51879385649192</v>
      </c>
      <c r="K1218" s="377">
        <f t="shared" si="769"/>
        <v>556.03149753184596</v>
      </c>
      <c r="L1218" s="377">
        <f t="shared" si="769"/>
        <v>570.9331416656994</v>
      </c>
      <c r="M1218" s="377">
        <f t="shared" si="769"/>
        <v>586.23414986234002</v>
      </c>
      <c r="N1218" s="377">
        <f t="shared" si="769"/>
        <v>601.94522507865065</v>
      </c>
      <c r="O1218" s="377">
        <f t="shared" si="769"/>
        <v>618.0773571107585</v>
      </c>
      <c r="P1218" s="377">
        <f t="shared" si="769"/>
        <v>634.64183028132675</v>
      </c>
      <c r="Q1218" s="377">
        <f t="shared" si="769"/>
        <v>651.65023133286627</v>
      </c>
    </row>
    <row r="1219" spans="1:17" ht="14.4">
      <c r="A1219" s="370"/>
      <c r="B1219" s="373"/>
      <c r="C1219" s="373"/>
      <c r="D1219" s="373"/>
      <c r="E1219" s="373"/>
      <c r="F1219" s="373"/>
      <c r="G1219" s="373"/>
      <c r="H1219" s="373"/>
      <c r="I1219" s="373"/>
      <c r="J1219" s="373"/>
      <c r="K1219" s="373"/>
      <c r="L1219" s="373"/>
      <c r="M1219" s="373"/>
      <c r="N1219" s="373"/>
      <c r="O1219" s="373"/>
      <c r="P1219" s="373"/>
      <c r="Q1219" s="373"/>
    </row>
    <row r="1220" spans="1:17" ht="14.4">
      <c r="A1220" s="366" t="s">
        <v>294</v>
      </c>
      <c r="B1220" s="377">
        <f>+SUM(C1220:Q1220)</f>
        <v>1759578.4023479735</v>
      </c>
      <c r="C1220" s="377">
        <f>C1215*C1218/1000*'Initial Data'!$C$34/'Initial Data'!$C$33</f>
        <v>96846.715507855319</v>
      </c>
      <c r="D1220" s="377">
        <f>D1215*D1218/1000*'Initial Data'!$C$34/'Initial Data'!$C$33</f>
        <v>99442.207483465856</v>
      </c>
      <c r="E1220" s="377">
        <f>E1215*E1218/1000*'Initial Data'!$C$34/'Initial Data'!$C$33</f>
        <v>102107.25864402272</v>
      </c>
      <c r="F1220" s="377">
        <f>F1215*F1218/1000*'Initial Data'!$C$34/'Initial Data'!$C$33</f>
        <v>104843.73317568253</v>
      </c>
      <c r="G1220" s="377">
        <f>G1215*G1218/1000*'Initial Data'!$C$34/'Initial Data'!$C$33</f>
        <v>107653.5452247908</v>
      </c>
      <c r="H1220" s="377">
        <f>H1215*H1218/1000*'Initial Data'!$C$34/'Initial Data'!$C$33</f>
        <v>110538.66023681519</v>
      </c>
      <c r="I1220" s="377">
        <f>I1215*I1218/1000*'Initial Data'!$C$34/'Initial Data'!$C$33</f>
        <v>113501.09633116184</v>
      </c>
      <c r="J1220" s="377">
        <f>J1215*J1218/1000*'Initial Data'!$C$34/'Initial Data'!$C$33</f>
        <v>116542.92571283695</v>
      </c>
      <c r="K1220" s="377">
        <f>K1215*K1218/1000*'Initial Data'!$C$34/'Initial Data'!$C$33</f>
        <v>119666.27612194099</v>
      </c>
      <c r="L1220" s="377">
        <f>L1215*L1218/1000*'Initial Data'!$C$34/'Initial Data'!$C$33</f>
        <v>122873.332322009</v>
      </c>
      <c r="M1220" s="377">
        <f>M1215*M1218/1000*'Initial Data'!$C$34/'Initial Data'!$C$33</f>
        <v>126166.33762823879</v>
      </c>
      <c r="N1220" s="377">
        <f>N1215*N1218/1000*'Initial Data'!$C$34/'Initial Data'!$C$33</f>
        <v>129547.5954766756</v>
      </c>
      <c r="O1220" s="377">
        <f>O1215*O1218/1000*'Initial Data'!$C$34/'Initial Data'!$C$33</f>
        <v>133019.47103545049</v>
      </c>
      <c r="P1220" s="377">
        <f>P1215*P1218/1000*'Initial Data'!$C$34/'Initial Data'!$C$33</f>
        <v>136584.39285920057</v>
      </c>
      <c r="Q1220" s="377">
        <f>Q1215*Q1218/1000*'Initial Data'!$C$34/'Initial Data'!$C$33</f>
        <v>140244.85458782714</v>
      </c>
    </row>
    <row r="1221" spans="1:17" ht="14.4">
      <c r="A1221" s="370"/>
      <c r="B1221" s="373"/>
      <c r="C1221" s="373"/>
      <c r="D1221" s="373"/>
      <c r="E1221" s="373"/>
      <c r="F1221" s="373"/>
      <c r="G1221" s="373"/>
      <c r="H1221" s="373"/>
      <c r="I1221" s="373"/>
      <c r="J1221" s="373"/>
      <c r="K1221" s="373"/>
      <c r="L1221" s="373"/>
      <c r="M1221" s="373"/>
      <c r="N1221" s="373"/>
      <c r="O1221" s="373"/>
      <c r="P1221" s="373"/>
      <c r="Q1221" s="373"/>
    </row>
    <row r="1222" spans="1:17" ht="14.4">
      <c r="A1222" s="366" t="s">
        <v>295</v>
      </c>
      <c r="B1222" s="377">
        <f>+SUM(C1222:Q1222)</f>
        <v>1759578.4023479735</v>
      </c>
      <c r="C1222" s="377">
        <f>+C1220</f>
        <v>96846.715507855319</v>
      </c>
      <c r="D1222" s="377">
        <f t="shared" ref="D1222:Q1222" si="770">+D1220</f>
        <v>99442.207483465856</v>
      </c>
      <c r="E1222" s="377">
        <f t="shared" si="770"/>
        <v>102107.25864402272</v>
      </c>
      <c r="F1222" s="377">
        <f t="shared" si="770"/>
        <v>104843.73317568253</v>
      </c>
      <c r="G1222" s="377">
        <f t="shared" si="770"/>
        <v>107653.5452247908</v>
      </c>
      <c r="H1222" s="377">
        <f t="shared" si="770"/>
        <v>110538.66023681519</v>
      </c>
      <c r="I1222" s="377">
        <f t="shared" si="770"/>
        <v>113501.09633116184</v>
      </c>
      <c r="J1222" s="377">
        <f t="shared" si="770"/>
        <v>116542.92571283695</v>
      </c>
      <c r="K1222" s="377">
        <f t="shared" si="770"/>
        <v>119666.27612194099</v>
      </c>
      <c r="L1222" s="377">
        <f t="shared" si="770"/>
        <v>122873.332322009</v>
      </c>
      <c r="M1222" s="377">
        <f t="shared" si="770"/>
        <v>126166.33762823879</v>
      </c>
      <c r="N1222" s="377">
        <f t="shared" si="770"/>
        <v>129547.5954766756</v>
      </c>
      <c r="O1222" s="377">
        <f t="shared" si="770"/>
        <v>133019.47103545049</v>
      </c>
      <c r="P1222" s="377">
        <f t="shared" si="770"/>
        <v>136584.39285920057</v>
      </c>
      <c r="Q1222" s="377">
        <f t="shared" si="770"/>
        <v>140244.85458782714</v>
      </c>
    </row>
    <row r="1223" spans="1:17" ht="14.4">
      <c r="A1223" s="370"/>
      <c r="B1223" s="374"/>
      <c r="C1223" s="374"/>
      <c r="D1223" s="374"/>
      <c r="E1223" s="374"/>
      <c r="F1223" s="374"/>
      <c r="G1223" s="374"/>
      <c r="H1223" s="374"/>
      <c r="I1223" s="374"/>
      <c r="J1223" s="374"/>
      <c r="K1223" s="374"/>
      <c r="L1223" s="374"/>
      <c r="M1223" s="374"/>
      <c r="N1223" s="374"/>
      <c r="O1223" s="374"/>
      <c r="P1223" s="374"/>
      <c r="Q1223" s="374"/>
    </row>
    <row r="1224" spans="1:17" ht="14.4">
      <c r="A1224" s="366" t="s">
        <v>68</v>
      </c>
      <c r="B1224" s="368"/>
      <c r="C1224" s="368"/>
      <c r="D1224" s="368"/>
      <c r="E1224" s="368"/>
      <c r="F1224" s="368"/>
      <c r="G1224" s="368"/>
      <c r="H1224" s="368"/>
      <c r="I1224" s="368"/>
      <c r="J1224" s="368"/>
      <c r="K1224" s="368"/>
      <c r="L1224" s="368"/>
      <c r="M1224" s="368"/>
      <c r="N1224" s="368"/>
      <c r="O1224" s="368"/>
      <c r="P1224" s="368"/>
      <c r="Q1224" s="368"/>
    </row>
    <row r="1225" spans="1:17" ht="14.4">
      <c r="A1225" s="366" t="s">
        <v>296</v>
      </c>
      <c r="B1225" s="378">
        <f>+SUM(C1225:Q1225)</f>
        <v>11529.370291765843</v>
      </c>
      <c r="C1225" s="367">
        <f>SUM('Initial Data'!$C$77:$C$80)/'Initial Data'!$C$14/1000</f>
        <v>634.57339732142862</v>
      </c>
      <c r="D1225" s="367">
        <f>+C1225*(1+'Initial Data'!$C$20/100)</f>
        <v>651.57996436964288</v>
      </c>
      <c r="E1225" s="367">
        <f>+D1225*(1+'Initial Data'!$C$20/100)</f>
        <v>669.0423074147493</v>
      </c>
      <c r="F1225" s="367">
        <f>+E1225*(1+'Initial Data'!$C$20/100)</f>
        <v>686.97264125346453</v>
      </c>
      <c r="G1225" s="367">
        <f>+F1225*(1+'Initial Data'!$C$20/100)</f>
        <v>705.38350803905735</v>
      </c>
      <c r="H1225" s="367">
        <f>+G1225*(1+'Initial Data'!$C$20/100)</f>
        <v>724.28778605450407</v>
      </c>
      <c r="I1225" s="367">
        <f>+H1225*(1+'Initial Data'!$C$20/100)</f>
        <v>743.6986987207647</v>
      </c>
      <c r="J1225" s="367">
        <f>+I1225*(1+'Initial Data'!$C$20/100)</f>
        <v>763.62982384648114</v>
      </c>
      <c r="K1225" s="367">
        <f>+J1225*(1+'Initial Data'!$C$20/100)</f>
        <v>784.09510312556677</v>
      </c>
      <c r="L1225" s="367">
        <f>+K1225*(1+'Initial Data'!$C$20/100)</f>
        <v>805.10885188933196</v>
      </c>
      <c r="M1225" s="367">
        <f>+L1225*(1+'Initial Data'!$C$20/100)</f>
        <v>826.68576911996604</v>
      </c>
      <c r="N1225" s="367">
        <f>+M1225*(1+'Initial Data'!$C$20/100)</f>
        <v>848.8409477323811</v>
      </c>
      <c r="O1225" s="367">
        <f>+N1225*(1+'Initial Data'!$C$20/100)</f>
        <v>871.58988513160887</v>
      </c>
      <c r="P1225" s="367">
        <f>+O1225*(1+'Initial Data'!$C$20/100)</f>
        <v>894.94849405313596</v>
      </c>
      <c r="Q1225" s="367">
        <f>+P1225*(1+'Initial Data'!$C$20/100)</f>
        <v>918.93311369375999</v>
      </c>
    </row>
    <row r="1226" spans="1:17" ht="14.4">
      <c r="A1226" s="366" t="s">
        <v>297</v>
      </c>
      <c r="B1226" s="378">
        <f>+SUM(C1226:Q1226)</f>
        <v>13836.767075562186</v>
      </c>
      <c r="C1226" s="367">
        <f>('Initial Data'!$C$82/1000+('Initial Data'!$C$83*'Initial Data'!$C$15/'Initial Data'!$C$14)/1000+'Initial Data'!$C$84/'Initial Data'!$C$14/1000)</f>
        <v>761.57188717892859</v>
      </c>
      <c r="D1226" s="367">
        <f>+C1226*(1+'Initial Data'!$C$20/100)</f>
        <v>781.98201375532381</v>
      </c>
      <c r="E1226" s="367">
        <f>+D1226*(1+'Initial Data'!$C$20/100)</f>
        <v>802.9391317239664</v>
      </c>
      <c r="F1226" s="367">
        <f>+E1226*(1+'Initial Data'!$C$20/100)</f>
        <v>824.45790045416868</v>
      </c>
      <c r="G1226" s="367">
        <f>+F1226*(1+'Initial Data'!$C$20/100)</f>
        <v>846.55337218634031</v>
      </c>
      <c r="H1226" s="367">
        <f>+G1226*(1+'Initial Data'!$C$20/100)</f>
        <v>869.24100256093413</v>
      </c>
      <c r="I1226" s="367">
        <f>+H1226*(1+'Initial Data'!$C$20/100)</f>
        <v>892.53666142956706</v>
      </c>
      <c r="J1226" s="367">
        <f>+I1226*(1+'Initial Data'!$C$20/100)</f>
        <v>916.45664395587937</v>
      </c>
      <c r="K1226" s="367">
        <f>+J1226*(1+'Initial Data'!$C$20/100)</f>
        <v>941.01768201389689</v>
      </c>
      <c r="L1226" s="367">
        <f>+K1226*(1+'Initial Data'!$C$20/100)</f>
        <v>966.23695589186923</v>
      </c>
      <c r="M1226" s="367">
        <f>+L1226*(1+'Initial Data'!$C$20/100)</f>
        <v>992.1321063097713</v>
      </c>
      <c r="N1226" s="367">
        <f>+M1226*(1+'Initial Data'!$C$20/100)</f>
        <v>1018.7212467588731</v>
      </c>
      <c r="O1226" s="367">
        <f>+N1226*(1+'Initial Data'!$C$20/100)</f>
        <v>1046.0229761720109</v>
      </c>
      <c r="P1226" s="367">
        <f>+O1226*(1+'Initial Data'!$C$20/100)</f>
        <v>1074.0563919334206</v>
      </c>
      <c r="Q1226" s="367">
        <f>+P1226*(1+'Initial Data'!$C$20/100)</f>
        <v>1102.8411032372362</v>
      </c>
    </row>
    <row r="1227" spans="1:17" ht="14.4">
      <c r="A1227" s="370"/>
      <c r="B1227" s="369"/>
      <c r="C1227" s="382"/>
      <c r="D1227" s="369"/>
      <c r="E1227" s="369"/>
      <c r="F1227" s="369"/>
      <c r="G1227" s="369"/>
      <c r="H1227" s="369"/>
      <c r="I1227" s="369"/>
      <c r="J1227" s="369"/>
      <c r="K1227" s="369"/>
      <c r="L1227" s="369"/>
      <c r="M1227" s="369"/>
      <c r="N1227" s="369"/>
      <c r="O1227" s="369"/>
      <c r="P1227" s="369"/>
      <c r="Q1227" s="369"/>
    </row>
    <row r="1228" spans="1:17" ht="14.4">
      <c r="A1228" s="366" t="s">
        <v>71</v>
      </c>
      <c r="B1228" s="379"/>
      <c r="C1228" s="379"/>
      <c r="D1228" s="379"/>
      <c r="E1228" s="379"/>
      <c r="F1228" s="379"/>
      <c r="G1228" s="379"/>
      <c r="H1228" s="379"/>
      <c r="I1228" s="379"/>
      <c r="J1228" s="379"/>
      <c r="K1228" s="379"/>
      <c r="L1228" s="379"/>
      <c r="M1228" s="379"/>
      <c r="N1228" s="379"/>
      <c r="O1228" s="379"/>
      <c r="P1228" s="379"/>
      <c r="Q1228" s="379"/>
    </row>
    <row r="1229" spans="1:17" ht="14.4">
      <c r="A1229" s="370"/>
      <c r="B1229" s="379"/>
      <c r="C1229" s="379"/>
      <c r="D1229" s="379"/>
      <c r="E1229" s="379"/>
      <c r="F1229" s="379"/>
      <c r="G1229" s="379"/>
      <c r="H1229" s="379"/>
      <c r="I1229" s="379"/>
      <c r="J1229" s="379"/>
      <c r="K1229" s="379"/>
      <c r="L1229" s="379"/>
      <c r="M1229" s="379"/>
      <c r="N1229" s="379"/>
      <c r="O1229" s="379"/>
      <c r="P1229" s="379"/>
      <c r="Q1229" s="379"/>
    </row>
    <row r="1230" spans="1:17" ht="14.4">
      <c r="A1230" s="366" t="s">
        <v>298</v>
      </c>
      <c r="B1230" s="378">
        <f>+SUM(C1230:Q1230)</f>
        <v>25366.137367328029</v>
      </c>
      <c r="C1230" s="367">
        <f>SUM(C1225:C1226)</f>
        <v>1396.1452845003573</v>
      </c>
      <c r="D1230" s="367">
        <f>SUM(D1225:D1226)</f>
        <v>1433.5619781249666</v>
      </c>
      <c r="E1230" s="367">
        <f t="shared" ref="E1230:Q1230" si="771">SUM(E1225:E1226)</f>
        <v>1471.9814391387158</v>
      </c>
      <c r="F1230" s="367">
        <f t="shared" si="771"/>
        <v>1511.4305417076332</v>
      </c>
      <c r="G1230" s="367">
        <f t="shared" si="771"/>
        <v>1551.9368802253975</v>
      </c>
      <c r="H1230" s="367">
        <f t="shared" si="771"/>
        <v>1593.5287886154383</v>
      </c>
      <c r="I1230" s="367">
        <f t="shared" si="771"/>
        <v>1636.2353601503319</v>
      </c>
      <c r="J1230" s="367">
        <f t="shared" si="771"/>
        <v>1680.0864678023604</v>
      </c>
      <c r="K1230" s="367">
        <f t="shared" si="771"/>
        <v>1725.1127851394635</v>
      </c>
      <c r="L1230" s="367">
        <f t="shared" si="771"/>
        <v>1771.3458077812011</v>
      </c>
      <c r="M1230" s="367">
        <f t="shared" si="771"/>
        <v>1818.8178754297373</v>
      </c>
      <c r="N1230" s="367">
        <f t="shared" si="771"/>
        <v>1867.5621944912541</v>
      </c>
      <c r="O1230" s="367">
        <f t="shared" si="771"/>
        <v>1917.6128613036199</v>
      </c>
      <c r="P1230" s="367">
        <f t="shared" si="771"/>
        <v>1969.0048859865565</v>
      </c>
      <c r="Q1230" s="367">
        <f t="shared" si="771"/>
        <v>2021.7742169309963</v>
      </c>
    </row>
    <row r="1231" spans="1:17" ht="14.4">
      <c r="A1231" s="370"/>
      <c r="B1231" s="379"/>
      <c r="C1231" s="379"/>
      <c r="D1231" s="379"/>
      <c r="E1231" s="379"/>
      <c r="F1231" s="379"/>
      <c r="G1231" s="379"/>
      <c r="H1231" s="379"/>
      <c r="I1231" s="379"/>
      <c r="J1231" s="379"/>
      <c r="K1231" s="379"/>
      <c r="L1231" s="379"/>
      <c r="M1231" s="379"/>
      <c r="N1231" s="379"/>
      <c r="O1231" s="379"/>
      <c r="P1231" s="379"/>
      <c r="Q1231" s="379"/>
    </row>
    <row r="1232" spans="1:17" ht="14.4">
      <c r="A1232" s="366" t="s">
        <v>299</v>
      </c>
      <c r="B1232" s="378">
        <f t="shared" ref="B1232:B1233" si="772">+SUM(C1232:Q1232)</f>
        <v>43884.879418749995</v>
      </c>
      <c r="C1232" s="367">
        <f>'WHRS_Project Scenario'!$C$8/'Initial Data'!$C$19</f>
        <v>4388.4879418749997</v>
      </c>
      <c r="D1232" s="367">
        <f>'WHRS_Project Scenario'!$C$8/'Initial Data'!$C$19</f>
        <v>4388.4879418749997</v>
      </c>
      <c r="E1232" s="367">
        <f>'WHRS_Project Scenario'!$C$8/'Initial Data'!$C$19</f>
        <v>4388.4879418749997</v>
      </c>
      <c r="F1232" s="367">
        <f>'WHRS_Project Scenario'!$C$8/'Initial Data'!$C$19</f>
        <v>4388.4879418749997</v>
      </c>
      <c r="G1232" s="367">
        <f>'WHRS_Project Scenario'!$C$8/'Initial Data'!$C$19</f>
        <v>4388.4879418749997</v>
      </c>
      <c r="H1232" s="367">
        <f>'WHRS_Project Scenario'!$C$8/'Initial Data'!$C$19</f>
        <v>4388.4879418749997</v>
      </c>
      <c r="I1232" s="367">
        <f>'WHRS_Project Scenario'!$C$8/'Initial Data'!$C$19</f>
        <v>4388.4879418749997</v>
      </c>
      <c r="J1232" s="367">
        <f>'WHRS_Project Scenario'!$C$8/'Initial Data'!$C$19</f>
        <v>4388.4879418749997</v>
      </c>
      <c r="K1232" s="367">
        <f>'WHRS_Project Scenario'!$C$8/'Initial Data'!$C$19</f>
        <v>4388.4879418749997</v>
      </c>
      <c r="L1232" s="367">
        <f>'WHRS_Project Scenario'!$C$8/'Initial Data'!$C$19</f>
        <v>4388.4879418749997</v>
      </c>
      <c r="M1232" s="367">
        <v>0</v>
      </c>
      <c r="N1232" s="367">
        <v>0</v>
      </c>
      <c r="O1232" s="367">
        <v>0</v>
      </c>
      <c r="P1232" s="367">
        <v>0</v>
      </c>
      <c r="Q1232" s="367">
        <v>0</v>
      </c>
    </row>
    <row r="1233" spans="1:17" ht="14.4">
      <c r="A1233" s="366" t="s">
        <v>300</v>
      </c>
      <c r="B1233" s="378">
        <f t="shared" si="772"/>
        <v>43884.879418749995</v>
      </c>
      <c r="C1233" s="367">
        <f>SUM(C1232:C1232)</f>
        <v>4388.4879418749997</v>
      </c>
      <c r="D1233" s="367">
        <f t="shared" ref="D1233:Q1233" si="773">SUM(D1232:D1232)</f>
        <v>4388.4879418749997</v>
      </c>
      <c r="E1233" s="367">
        <f t="shared" si="773"/>
        <v>4388.4879418749997</v>
      </c>
      <c r="F1233" s="367">
        <f t="shared" si="773"/>
        <v>4388.4879418749997</v>
      </c>
      <c r="G1233" s="367">
        <f t="shared" si="773"/>
        <v>4388.4879418749997</v>
      </c>
      <c r="H1233" s="367">
        <f t="shared" si="773"/>
        <v>4388.4879418749997</v>
      </c>
      <c r="I1233" s="367">
        <f t="shared" si="773"/>
        <v>4388.4879418749997</v>
      </c>
      <c r="J1233" s="367">
        <f t="shared" si="773"/>
        <v>4388.4879418749997</v>
      </c>
      <c r="K1233" s="367">
        <f t="shared" si="773"/>
        <v>4388.4879418749997</v>
      </c>
      <c r="L1233" s="367">
        <f t="shared" si="773"/>
        <v>4388.4879418749997</v>
      </c>
      <c r="M1233" s="367">
        <f t="shared" si="773"/>
        <v>0</v>
      </c>
      <c r="N1233" s="367">
        <f t="shared" si="773"/>
        <v>0</v>
      </c>
      <c r="O1233" s="367">
        <f t="shared" si="773"/>
        <v>0</v>
      </c>
      <c r="P1233" s="367">
        <f t="shared" si="773"/>
        <v>0</v>
      </c>
      <c r="Q1233" s="367">
        <f t="shared" si="773"/>
        <v>0</v>
      </c>
    </row>
    <row r="1234" spans="1:17" ht="14.4">
      <c r="A1234" s="370"/>
      <c r="B1234" s="379"/>
      <c r="C1234" s="379"/>
      <c r="D1234" s="379"/>
      <c r="E1234" s="379"/>
      <c r="F1234" s="379"/>
      <c r="G1234" s="379"/>
      <c r="H1234" s="379"/>
      <c r="I1234" s="379"/>
      <c r="J1234" s="379"/>
      <c r="K1234" s="379"/>
      <c r="L1234" s="379"/>
      <c r="M1234" s="379"/>
      <c r="N1234" s="379"/>
      <c r="O1234" s="379"/>
      <c r="P1234" s="379"/>
      <c r="Q1234" s="379"/>
    </row>
    <row r="1235" spans="1:17" ht="14.4">
      <c r="A1235" s="366" t="s">
        <v>301</v>
      </c>
      <c r="B1235" s="378">
        <f>+SUM(C1235:Q1235)</f>
        <v>69251.016786078035</v>
      </c>
      <c r="C1235" s="367">
        <f>+C1230+C1233</f>
        <v>5784.6332263753575</v>
      </c>
      <c r="D1235" s="367">
        <f>+D1230+D1233</f>
        <v>5822.0499199999667</v>
      </c>
      <c r="E1235" s="367">
        <f t="shared" ref="E1235:Q1235" si="774">+E1230+E1233</f>
        <v>5860.469381013716</v>
      </c>
      <c r="F1235" s="367">
        <f t="shared" si="774"/>
        <v>5899.9184835826327</v>
      </c>
      <c r="G1235" s="367">
        <f t="shared" si="774"/>
        <v>5940.4248221003973</v>
      </c>
      <c r="H1235" s="367">
        <f t="shared" si="774"/>
        <v>5982.016730490438</v>
      </c>
      <c r="I1235" s="367">
        <f t="shared" si="774"/>
        <v>6024.7233020253316</v>
      </c>
      <c r="J1235" s="367">
        <f t="shared" si="774"/>
        <v>6068.5744096773597</v>
      </c>
      <c r="K1235" s="367">
        <f t="shared" si="774"/>
        <v>6113.6007270144637</v>
      </c>
      <c r="L1235" s="367">
        <f t="shared" si="774"/>
        <v>6159.8337496562008</v>
      </c>
      <c r="M1235" s="367">
        <f t="shared" si="774"/>
        <v>1818.8178754297373</v>
      </c>
      <c r="N1235" s="367">
        <f t="shared" si="774"/>
        <v>1867.5621944912541</v>
      </c>
      <c r="O1235" s="367">
        <f t="shared" si="774"/>
        <v>1917.6128613036199</v>
      </c>
      <c r="P1235" s="367">
        <f t="shared" si="774"/>
        <v>1969.0048859865565</v>
      </c>
      <c r="Q1235" s="367">
        <f t="shared" si="774"/>
        <v>2021.7742169309963</v>
      </c>
    </row>
    <row r="1236" spans="1:17" ht="14.4">
      <c r="A1236" s="370"/>
      <c r="B1236" s="379"/>
      <c r="C1236" s="379"/>
      <c r="D1236" s="379"/>
      <c r="E1236" s="379"/>
      <c r="F1236" s="379"/>
      <c r="G1236" s="379"/>
      <c r="H1236" s="379"/>
      <c r="I1236" s="379"/>
      <c r="J1236" s="379"/>
      <c r="K1236" s="379"/>
      <c r="L1236" s="379"/>
      <c r="M1236" s="379"/>
      <c r="N1236" s="379"/>
      <c r="O1236" s="379"/>
      <c r="P1236" s="379"/>
      <c r="Q1236" s="379"/>
    </row>
    <row r="1237" spans="1:17" ht="14.4">
      <c r="A1237" s="364" t="s">
        <v>302</v>
      </c>
      <c r="B1237" s="378">
        <f>+SUM(C1237:Q1237)</f>
        <v>1690327.3855618956</v>
      </c>
      <c r="C1237" s="367">
        <f>+C1222-C1235</f>
        <v>91062.082281479961</v>
      </c>
      <c r="D1237" s="367">
        <f>+D1222-D1235</f>
        <v>93620.157563465895</v>
      </c>
      <c r="E1237" s="367">
        <f t="shared" ref="E1237:Q1237" si="775">+E1222-E1235</f>
        <v>96246.789263009006</v>
      </c>
      <c r="F1237" s="367">
        <f t="shared" si="775"/>
        <v>98943.814692099899</v>
      </c>
      <c r="G1237" s="367">
        <f t="shared" si="775"/>
        <v>101713.1204026904</v>
      </c>
      <c r="H1237" s="367">
        <f t="shared" si="775"/>
        <v>104556.64350632476</v>
      </c>
      <c r="I1237" s="367">
        <f t="shared" si="775"/>
        <v>107476.37302913651</v>
      </c>
      <c r="J1237" s="367">
        <f t="shared" si="775"/>
        <v>110474.35130315959</v>
      </c>
      <c r="K1237" s="367">
        <f t="shared" si="775"/>
        <v>113552.67539492653</v>
      </c>
      <c r="L1237" s="367">
        <f t="shared" si="775"/>
        <v>116713.49857235279</v>
      </c>
      <c r="M1237" s="367">
        <f t="shared" si="775"/>
        <v>124347.51975280905</v>
      </c>
      <c r="N1237" s="367">
        <f t="shared" si="775"/>
        <v>127680.03328218435</v>
      </c>
      <c r="O1237" s="367">
        <f t="shared" si="775"/>
        <v>131101.85817414688</v>
      </c>
      <c r="P1237" s="367">
        <f t="shared" si="775"/>
        <v>134615.387973214</v>
      </c>
      <c r="Q1237" s="367">
        <f t="shared" si="775"/>
        <v>138223.08037089615</v>
      </c>
    </row>
    <row r="1238" spans="1:17" ht="14.4">
      <c r="A1238" s="364"/>
    </row>
    <row r="1239" spans="1:17" ht="14.4">
      <c r="A1239" s="364" t="s">
        <v>222</v>
      </c>
      <c r="B1239" s="380">
        <f>'WHRS_Project Scenario'!C39</f>
        <v>0.7</v>
      </c>
      <c r="C1239" s="367">
        <f>IF((+$B$1239*C1237)&lt;0,"0",(+$B$1239*C1237))</f>
        <v>63743.457597035966</v>
      </c>
      <c r="D1239" s="367">
        <f t="shared" ref="D1239:Q1239" si="776">IF((+$B$1239*D1237)&lt;0,"0",(+$B$1239*D1237))</f>
        <v>65534.110294426122</v>
      </c>
      <c r="E1239" s="367">
        <f t="shared" si="776"/>
        <v>67372.752484106299</v>
      </c>
      <c r="F1239" s="367">
        <f t="shared" si="776"/>
        <v>69260.670284469918</v>
      </c>
      <c r="G1239" s="367">
        <f t="shared" si="776"/>
        <v>71199.184281883281</v>
      </c>
      <c r="H1239" s="367">
        <f t="shared" si="776"/>
        <v>73189.650454427334</v>
      </c>
      <c r="I1239" s="367">
        <f t="shared" si="776"/>
        <v>75233.461120395543</v>
      </c>
      <c r="J1239" s="367">
        <f t="shared" si="776"/>
        <v>77332.045912211717</v>
      </c>
      <c r="K1239" s="367">
        <f t="shared" si="776"/>
        <v>79486.872776448567</v>
      </c>
      <c r="L1239" s="367">
        <f t="shared" si="776"/>
        <v>81699.449000646957</v>
      </c>
      <c r="M1239" s="367">
        <f t="shared" si="776"/>
        <v>87043.263826966329</v>
      </c>
      <c r="N1239" s="367">
        <f t="shared" si="776"/>
        <v>89376.023297529042</v>
      </c>
      <c r="O1239" s="367">
        <f t="shared" si="776"/>
        <v>91771.300721902808</v>
      </c>
      <c r="P1239" s="367">
        <f t="shared" si="776"/>
        <v>94230.771581249792</v>
      </c>
      <c r="Q1239" s="367">
        <f t="shared" si="776"/>
        <v>96756.1562596273</v>
      </c>
    </row>
    <row r="1240" spans="1:17" ht="14.4">
      <c r="A1240" s="364" t="s">
        <v>303</v>
      </c>
      <c r="B1240" s="378">
        <f>+SUM(C1240:Q1240)</f>
        <v>1183229.1698933272</v>
      </c>
      <c r="C1240" s="367">
        <f>SUM(C1239:C1239)</f>
        <v>63743.457597035966</v>
      </c>
      <c r="D1240" s="367">
        <f t="shared" ref="D1240:Q1240" si="777">SUM(D1239:D1239)</f>
        <v>65534.110294426122</v>
      </c>
      <c r="E1240" s="367">
        <f t="shared" si="777"/>
        <v>67372.752484106299</v>
      </c>
      <c r="F1240" s="367">
        <f t="shared" si="777"/>
        <v>69260.670284469918</v>
      </c>
      <c r="G1240" s="367">
        <f t="shared" si="777"/>
        <v>71199.184281883281</v>
      </c>
      <c r="H1240" s="367">
        <f t="shared" si="777"/>
        <v>73189.650454427334</v>
      </c>
      <c r="I1240" s="367">
        <f t="shared" si="777"/>
        <v>75233.461120395543</v>
      </c>
      <c r="J1240" s="367">
        <f t="shared" si="777"/>
        <v>77332.045912211717</v>
      </c>
      <c r="K1240" s="367">
        <f t="shared" si="777"/>
        <v>79486.872776448567</v>
      </c>
      <c r="L1240" s="367">
        <f t="shared" si="777"/>
        <v>81699.449000646957</v>
      </c>
      <c r="M1240" s="367">
        <f t="shared" si="777"/>
        <v>87043.263826966329</v>
      </c>
      <c r="N1240" s="367">
        <f t="shared" si="777"/>
        <v>89376.023297529042</v>
      </c>
      <c r="O1240" s="367">
        <f t="shared" si="777"/>
        <v>91771.300721902808</v>
      </c>
      <c r="P1240" s="367">
        <f t="shared" si="777"/>
        <v>94230.771581249792</v>
      </c>
      <c r="Q1240" s="367">
        <f t="shared" si="777"/>
        <v>96756.1562596273</v>
      </c>
    </row>
    <row r="1241" spans="1:17" ht="14.4">
      <c r="A1241" s="369"/>
    </row>
    <row r="1242" spans="1:17" ht="14.4">
      <c r="A1242" s="364" t="s">
        <v>304</v>
      </c>
      <c r="B1242" s="378">
        <f t="shared" ref="B1242:B1244" si="778">+SUM(C1242:Q1242)</f>
        <v>507098.2156685688</v>
      </c>
      <c r="C1242" s="367">
        <f>C1237-C1240</f>
        <v>27318.624684443996</v>
      </c>
      <c r="D1242" s="367">
        <f t="shared" ref="D1242:Q1242" si="779">D1237-D1240</f>
        <v>28086.047269039773</v>
      </c>
      <c r="E1242" s="367">
        <f t="shared" si="779"/>
        <v>28874.036778902708</v>
      </c>
      <c r="F1242" s="367">
        <f t="shared" si="779"/>
        <v>29683.144407629981</v>
      </c>
      <c r="G1242" s="367">
        <f t="shared" si="779"/>
        <v>30513.93612080712</v>
      </c>
      <c r="H1242" s="367">
        <f t="shared" si="779"/>
        <v>31366.993051897429</v>
      </c>
      <c r="I1242" s="367">
        <f t="shared" si="779"/>
        <v>32242.911908740964</v>
      </c>
      <c r="J1242" s="367">
        <f t="shared" si="779"/>
        <v>33142.305390947877</v>
      </c>
      <c r="K1242" s="367">
        <f t="shared" si="779"/>
        <v>34065.802618477959</v>
      </c>
      <c r="L1242" s="367">
        <f t="shared" si="779"/>
        <v>35014.049571705837</v>
      </c>
      <c r="M1242" s="367">
        <f t="shared" si="779"/>
        <v>37304.255925842721</v>
      </c>
      <c r="N1242" s="367">
        <f t="shared" si="779"/>
        <v>38304.009984655306</v>
      </c>
      <c r="O1242" s="367">
        <f t="shared" si="779"/>
        <v>39330.557452244073</v>
      </c>
      <c r="P1242" s="367">
        <f t="shared" si="779"/>
        <v>40384.616391964213</v>
      </c>
      <c r="Q1242" s="367">
        <f t="shared" si="779"/>
        <v>41466.924111268847</v>
      </c>
    </row>
    <row r="1243" spans="1:17" ht="14.4">
      <c r="A1243" s="364" t="s">
        <v>305</v>
      </c>
      <c r="B1243" s="378">
        <f t="shared" si="778"/>
        <v>43884.879418749995</v>
      </c>
      <c r="C1243" s="367">
        <f>+C1232</f>
        <v>4388.4879418749997</v>
      </c>
      <c r="D1243" s="367">
        <f t="shared" ref="D1243:Q1243" si="780">+D1232</f>
        <v>4388.4879418749997</v>
      </c>
      <c r="E1243" s="367">
        <f t="shared" si="780"/>
        <v>4388.4879418749997</v>
      </c>
      <c r="F1243" s="367">
        <f t="shared" si="780"/>
        <v>4388.4879418749997</v>
      </c>
      <c r="G1243" s="367">
        <f t="shared" si="780"/>
        <v>4388.4879418749997</v>
      </c>
      <c r="H1243" s="367">
        <f t="shared" si="780"/>
        <v>4388.4879418749997</v>
      </c>
      <c r="I1243" s="367">
        <f t="shared" si="780"/>
        <v>4388.4879418749997</v>
      </c>
      <c r="J1243" s="367">
        <f t="shared" si="780"/>
        <v>4388.4879418749997</v>
      </c>
      <c r="K1243" s="367">
        <f t="shared" si="780"/>
        <v>4388.4879418749997</v>
      </c>
      <c r="L1243" s="367">
        <f t="shared" si="780"/>
        <v>4388.4879418749997</v>
      </c>
      <c r="M1243" s="367">
        <f t="shared" si="780"/>
        <v>0</v>
      </c>
      <c r="N1243" s="367">
        <f t="shared" si="780"/>
        <v>0</v>
      </c>
      <c r="O1243" s="367">
        <f t="shared" si="780"/>
        <v>0</v>
      </c>
      <c r="P1243" s="367">
        <f t="shared" si="780"/>
        <v>0</v>
      </c>
      <c r="Q1243" s="367">
        <f t="shared" si="780"/>
        <v>0</v>
      </c>
    </row>
    <row r="1244" spans="1:17" ht="14.4">
      <c r="A1244" s="364" t="s">
        <v>306</v>
      </c>
      <c r="B1244" s="378">
        <f t="shared" si="778"/>
        <v>0</v>
      </c>
      <c r="C1244" s="367">
        <f>+'WHRS_Project Scenario'!D1217</f>
        <v>0</v>
      </c>
      <c r="D1244" s="367">
        <f>+'WHRS_Project Scenario'!E1217</f>
        <v>0</v>
      </c>
      <c r="E1244" s="367">
        <f>+'WHRS_Project Scenario'!F1217</f>
        <v>0</v>
      </c>
      <c r="F1244" s="367">
        <f>+'WHRS_Project Scenario'!G1217</f>
        <v>0</v>
      </c>
      <c r="G1244" s="367">
        <f>+'WHRS_Project Scenario'!H1217</f>
        <v>0</v>
      </c>
      <c r="H1244" s="367">
        <f>+'WHRS_Project Scenario'!I1217</f>
        <v>0</v>
      </c>
      <c r="I1244" s="367">
        <f>+'WHRS_Project Scenario'!J1217</f>
        <v>0</v>
      </c>
      <c r="J1244" s="367">
        <f>+'WHRS_Project Scenario'!K1217</f>
        <v>0</v>
      </c>
      <c r="K1244" s="367">
        <f>+'WHRS_Project Scenario'!L1217</f>
        <v>0</v>
      </c>
      <c r="L1244" s="367">
        <f>+'WHRS_Project Scenario'!M1217</f>
        <v>0</v>
      </c>
      <c r="M1244" s="367">
        <f>+'WHRS_Project Scenario'!N1217</f>
        <v>0</v>
      </c>
      <c r="N1244" s="367">
        <f>+'WHRS_Project Scenario'!O1217</f>
        <v>0</v>
      </c>
      <c r="O1244" s="367">
        <f>+'WHRS_Project Scenario'!P1217</f>
        <v>0</v>
      </c>
      <c r="P1244" s="367">
        <f>+'WHRS_Project Scenario'!Q1217</f>
        <v>0</v>
      </c>
      <c r="Q1244" s="367">
        <f>+'WHRS_Project Scenario'!R1217</f>
        <v>0</v>
      </c>
    </row>
    <row r="1245" spans="1:17" ht="14.4">
      <c r="A1245" s="364"/>
    </row>
    <row r="1246" spans="1:17" ht="14.4">
      <c r="A1246" s="364" t="s">
        <v>110</v>
      </c>
      <c r="B1246" s="378">
        <f>-'WHRS_Project Scenario'!C8</f>
        <v>-43884.879418749995</v>
      </c>
      <c r="C1246" s="367">
        <f>C1242+C1243+C1244</f>
        <v>31707.112626318994</v>
      </c>
      <c r="D1246" s="367">
        <f t="shared" ref="D1246:Q1246" si="781">D1242+D1243+D1244</f>
        <v>32474.535210914772</v>
      </c>
      <c r="E1246" s="367">
        <f t="shared" si="781"/>
        <v>33262.524720777707</v>
      </c>
      <c r="F1246" s="367">
        <f t="shared" si="781"/>
        <v>34071.63234950498</v>
      </c>
      <c r="G1246" s="367">
        <f t="shared" si="781"/>
        <v>34902.424062682119</v>
      </c>
      <c r="H1246" s="367">
        <f t="shared" si="781"/>
        <v>35755.480993772428</v>
      </c>
      <c r="I1246" s="367">
        <f t="shared" si="781"/>
        <v>36631.399850615962</v>
      </c>
      <c r="J1246" s="367">
        <f t="shared" si="781"/>
        <v>37530.793332822876</v>
      </c>
      <c r="K1246" s="367">
        <f t="shared" si="781"/>
        <v>38454.290560352958</v>
      </c>
      <c r="L1246" s="367">
        <f t="shared" si="781"/>
        <v>39402.537513580835</v>
      </c>
      <c r="M1246" s="367">
        <f t="shared" si="781"/>
        <v>37304.255925842721</v>
      </c>
      <c r="N1246" s="367">
        <f t="shared" si="781"/>
        <v>38304.009984655306</v>
      </c>
      <c r="O1246" s="367">
        <f t="shared" si="781"/>
        <v>39330.557452244073</v>
      </c>
      <c r="P1246" s="367">
        <f t="shared" si="781"/>
        <v>40384.616391964213</v>
      </c>
      <c r="Q1246" s="367">
        <f t="shared" si="781"/>
        <v>41466.924111268847</v>
      </c>
    </row>
    <row r="1247" spans="1:17" ht="15.6">
      <c r="A1247" s="364" t="s">
        <v>51</v>
      </c>
      <c r="B1247" s="132">
        <f>IRR(B1246:Q1246)</f>
        <v>0.74631049628791313</v>
      </c>
    </row>
    <row r="1248" spans="1:17" ht="15.6">
      <c r="A1248" s="364" t="s">
        <v>267</v>
      </c>
      <c r="B1248" s="303">
        <f>NPV('Initial Data'!C21/100,B1246:Q1246)</f>
        <v>176118.00956786249</v>
      </c>
    </row>
    <row r="1250" spans="1:18" ht="14.4">
      <c r="A1250" s="364" t="s">
        <v>103</v>
      </c>
    </row>
    <row r="1251" spans="1:18" ht="14.4">
      <c r="A1251" s="369"/>
    </row>
    <row r="1252" spans="1:18" ht="14.4">
      <c r="A1252" s="364" t="s">
        <v>363</v>
      </c>
      <c r="C1252" s="367">
        <f>'WHRS_Project Scenario'!D52</f>
        <v>88111</v>
      </c>
      <c r="D1252" s="367">
        <f>'WHRS_Project Scenario'!E52</f>
        <v>88111</v>
      </c>
      <c r="E1252" s="367">
        <f>'WHRS_Project Scenario'!F52</f>
        <v>88111</v>
      </c>
      <c r="F1252" s="367">
        <f>'WHRS_Project Scenario'!G52</f>
        <v>88111</v>
      </c>
      <c r="G1252" s="367">
        <f>'WHRS_Project Scenario'!H52</f>
        <v>88111</v>
      </c>
      <c r="H1252" s="367">
        <f>'WHRS_Project Scenario'!I52</f>
        <v>88111</v>
      </c>
      <c r="I1252" s="367">
        <f>'WHRS_Project Scenario'!J52</f>
        <v>88111</v>
      </c>
      <c r="J1252" s="367">
        <f>'WHRS_Project Scenario'!K52</f>
        <v>88111</v>
      </c>
      <c r="K1252" s="367">
        <f>'WHRS_Project Scenario'!L52</f>
        <v>88111</v>
      </c>
      <c r="L1252" s="367">
        <f>'WHRS_Project Scenario'!M52</f>
        <v>88111</v>
      </c>
      <c r="M1252" s="367">
        <f>'WHRS_Project Scenario'!N52</f>
        <v>0</v>
      </c>
      <c r="N1252" s="367">
        <f>'WHRS_Project Scenario'!O52</f>
        <v>0</v>
      </c>
      <c r="O1252" s="367">
        <f>'WHRS_Project Scenario'!P52</f>
        <v>0</v>
      </c>
      <c r="P1252" s="367">
        <f>'WHRS_Project Scenario'!Q52</f>
        <v>0</v>
      </c>
      <c r="Q1252" s="367">
        <f>'WHRS_Project Scenario'!R52</f>
        <v>0</v>
      </c>
      <c r="R1252" s="373"/>
    </row>
    <row r="1253" spans="1:18" ht="14.4">
      <c r="A1253" s="364" t="s">
        <v>364</v>
      </c>
      <c r="C1253" s="367">
        <f>$F$13</f>
        <v>20</v>
      </c>
    </row>
    <row r="1254" spans="1:18" ht="14.4">
      <c r="A1254" s="369"/>
    </row>
    <row r="1255" spans="1:18" ht="14.4">
      <c r="A1255" s="364" t="s">
        <v>365</v>
      </c>
      <c r="C1255" s="367">
        <f>C1252*$C$1253/1000</f>
        <v>1762.22</v>
      </c>
      <c r="D1255" s="367">
        <f t="shared" ref="D1255:Q1255" si="782">D1252*$C$1253/1000</f>
        <v>1762.22</v>
      </c>
      <c r="E1255" s="367">
        <f t="shared" si="782"/>
        <v>1762.22</v>
      </c>
      <c r="F1255" s="367">
        <f t="shared" si="782"/>
        <v>1762.22</v>
      </c>
      <c r="G1255" s="367">
        <f t="shared" si="782"/>
        <v>1762.22</v>
      </c>
      <c r="H1255" s="367">
        <f t="shared" si="782"/>
        <v>1762.22</v>
      </c>
      <c r="I1255" s="367">
        <f t="shared" si="782"/>
        <v>1762.22</v>
      </c>
      <c r="J1255" s="367">
        <f t="shared" si="782"/>
        <v>1762.22</v>
      </c>
      <c r="K1255" s="367">
        <f t="shared" si="782"/>
        <v>1762.22</v>
      </c>
      <c r="L1255" s="367">
        <f t="shared" si="782"/>
        <v>1762.22</v>
      </c>
      <c r="M1255" s="367">
        <f t="shared" si="782"/>
        <v>0</v>
      </c>
      <c r="N1255" s="367">
        <f t="shared" si="782"/>
        <v>0</v>
      </c>
      <c r="O1255" s="367">
        <f t="shared" si="782"/>
        <v>0</v>
      </c>
      <c r="P1255" s="367">
        <f t="shared" si="782"/>
        <v>0</v>
      </c>
      <c r="Q1255" s="367">
        <f t="shared" si="782"/>
        <v>0</v>
      </c>
    </row>
    <row r="1256" spans="1:18" ht="14.4">
      <c r="A1256" s="369"/>
    </row>
    <row r="1257" spans="1:18" ht="14.4">
      <c r="A1257" s="364" t="s">
        <v>110</v>
      </c>
      <c r="B1257" s="378">
        <f>B1246</f>
        <v>-43884.879418749995</v>
      </c>
      <c r="C1257" s="367">
        <f>C1246+C1255</f>
        <v>33469.332626318996</v>
      </c>
      <c r="D1257" s="367">
        <f t="shared" ref="D1257:Q1257" si="783">D1246+D1255</f>
        <v>34236.755210914773</v>
      </c>
      <c r="E1257" s="367">
        <f t="shared" si="783"/>
        <v>35024.744720777708</v>
      </c>
      <c r="F1257" s="367">
        <f t="shared" si="783"/>
        <v>35833.852349504981</v>
      </c>
      <c r="G1257" s="367">
        <f t="shared" si="783"/>
        <v>36664.64406268212</v>
      </c>
      <c r="H1257" s="367">
        <f t="shared" si="783"/>
        <v>37517.700993772429</v>
      </c>
      <c r="I1257" s="367">
        <f t="shared" si="783"/>
        <v>38393.619850615964</v>
      </c>
      <c r="J1257" s="367">
        <f t="shared" si="783"/>
        <v>39293.013332822877</v>
      </c>
      <c r="K1257" s="367">
        <f t="shared" si="783"/>
        <v>40216.510560352959</v>
      </c>
      <c r="L1257" s="367">
        <f t="shared" si="783"/>
        <v>41164.757513580837</v>
      </c>
      <c r="M1257" s="367">
        <f t="shared" si="783"/>
        <v>37304.255925842721</v>
      </c>
      <c r="N1257" s="367">
        <f t="shared" si="783"/>
        <v>38304.009984655306</v>
      </c>
      <c r="O1257" s="367">
        <f t="shared" si="783"/>
        <v>39330.557452244073</v>
      </c>
      <c r="P1257" s="367">
        <f t="shared" si="783"/>
        <v>40384.616391964213</v>
      </c>
      <c r="Q1257" s="367">
        <f t="shared" si="783"/>
        <v>41466.924111268847</v>
      </c>
    </row>
    <row r="1258" spans="1:18" ht="15.6">
      <c r="A1258" s="364" t="s">
        <v>51</v>
      </c>
      <c r="B1258" s="132">
        <f>IRR(B1257:Q1257)</f>
        <v>0.78521602069247809</v>
      </c>
    </row>
    <row r="1259" spans="1:18" ht="15.6">
      <c r="A1259" s="364" t="s">
        <v>267</v>
      </c>
      <c r="B1259" s="303">
        <f>NPV('Initial Data'!C21/100,B1257:Q1257)</f>
        <v>185008.13101886807</v>
      </c>
    </row>
    <row r="1261" spans="1:18" ht="14.4">
      <c r="A1261" s="508" t="s">
        <v>361</v>
      </c>
      <c r="B1261" s="509"/>
      <c r="C1261" s="509"/>
      <c r="D1261" s="509"/>
      <c r="E1261" s="509"/>
      <c r="F1261" s="509"/>
      <c r="G1261" s="509"/>
      <c r="H1261" s="509"/>
      <c r="I1261" s="509"/>
      <c r="J1261" s="509"/>
      <c r="K1261" s="509"/>
      <c r="L1261" s="509"/>
      <c r="M1261" s="509"/>
      <c r="N1261" s="509"/>
      <c r="O1261" s="509"/>
      <c r="P1261" s="509"/>
      <c r="Q1261" s="509"/>
    </row>
    <row r="1262" spans="1:18" ht="14.4">
      <c r="A1262" s="371" t="s">
        <v>369</v>
      </c>
      <c r="B1262" s="372"/>
      <c r="C1262" s="372"/>
      <c r="D1262" s="372"/>
      <c r="E1262" s="372"/>
      <c r="F1262" s="372"/>
      <c r="G1262" s="372"/>
      <c r="H1262" s="372"/>
      <c r="I1262" s="372"/>
      <c r="J1262" s="372"/>
      <c r="K1262" s="372"/>
      <c r="L1262" s="372"/>
      <c r="M1262" s="372"/>
      <c r="N1262" s="372"/>
      <c r="O1262" s="372"/>
      <c r="P1262" s="372"/>
      <c r="Q1262" s="372"/>
    </row>
    <row r="1263" spans="1:18" ht="27">
      <c r="A1263" s="376"/>
      <c r="B1263" s="304" t="s">
        <v>35</v>
      </c>
      <c r="C1263" s="352" t="s">
        <v>407</v>
      </c>
      <c r="D1263" s="352" t="s">
        <v>408</v>
      </c>
      <c r="E1263" s="352" t="s">
        <v>409</v>
      </c>
      <c r="F1263" s="352" t="s">
        <v>410</v>
      </c>
      <c r="G1263" s="352" t="s">
        <v>411</v>
      </c>
      <c r="H1263" s="352" t="s">
        <v>412</v>
      </c>
      <c r="I1263" s="352" t="s">
        <v>413</v>
      </c>
      <c r="J1263" s="352" t="s">
        <v>414</v>
      </c>
      <c r="K1263" s="352" t="s">
        <v>415</v>
      </c>
      <c r="L1263" s="352" t="s">
        <v>416</v>
      </c>
      <c r="M1263" s="352" t="s">
        <v>417</v>
      </c>
      <c r="N1263" s="352" t="s">
        <v>418</v>
      </c>
      <c r="O1263" s="352" t="s">
        <v>419</v>
      </c>
      <c r="P1263" s="352" t="s">
        <v>420</v>
      </c>
      <c r="Q1263" s="352" t="s">
        <v>421</v>
      </c>
    </row>
    <row r="1264" spans="1:18" ht="14.4">
      <c r="A1264" s="363" t="s">
        <v>290</v>
      </c>
      <c r="B1264" s="365"/>
      <c r="C1264" s="377">
        <f>+'WHRS_Project Scenario'!D15</f>
        <v>215214.92335078961</v>
      </c>
      <c r="D1264" s="377">
        <f>+'WHRS_Project Scenario'!E15</f>
        <v>215214.92335078961</v>
      </c>
      <c r="E1264" s="377">
        <f>+'WHRS_Project Scenario'!F15</f>
        <v>215214.92335078961</v>
      </c>
      <c r="F1264" s="377">
        <f>+'WHRS_Project Scenario'!G15</f>
        <v>215214.92335078961</v>
      </c>
      <c r="G1264" s="377">
        <f>+'WHRS_Project Scenario'!H15</f>
        <v>215214.92335078961</v>
      </c>
      <c r="H1264" s="377">
        <f>+'WHRS_Project Scenario'!I15</f>
        <v>215214.92335078961</v>
      </c>
      <c r="I1264" s="377">
        <f>+'WHRS_Project Scenario'!J15</f>
        <v>215214.92335078961</v>
      </c>
      <c r="J1264" s="377">
        <f>+'WHRS_Project Scenario'!K15</f>
        <v>215214.92335078961</v>
      </c>
      <c r="K1264" s="377">
        <f>+'WHRS_Project Scenario'!L15</f>
        <v>215214.92335078961</v>
      </c>
      <c r="L1264" s="377">
        <f>+'WHRS_Project Scenario'!M15</f>
        <v>215214.92335078961</v>
      </c>
      <c r="M1264" s="377">
        <f>+'WHRS_Project Scenario'!N15</f>
        <v>215214.92335078961</v>
      </c>
      <c r="N1264" s="377">
        <f>+'WHRS_Project Scenario'!O15</f>
        <v>215214.92335078961</v>
      </c>
      <c r="O1264" s="377">
        <f>+'WHRS_Project Scenario'!P15</f>
        <v>215214.92335078961</v>
      </c>
      <c r="P1264" s="377">
        <f>+'WHRS_Project Scenario'!Q15</f>
        <v>215214.92335078961</v>
      </c>
      <c r="Q1264" s="377">
        <f>+'WHRS_Project Scenario'!R15</f>
        <v>215214.92335078961</v>
      </c>
    </row>
    <row r="1265" spans="1:17" ht="14.4">
      <c r="A1265" s="364" t="s">
        <v>291</v>
      </c>
      <c r="B1265" s="365"/>
      <c r="C1265" s="377">
        <f>+'WHRS_Project Scenario'!D16</f>
        <v>70</v>
      </c>
      <c r="D1265" s="377">
        <f>+'WHRS_Project Scenario'!E16</f>
        <v>70</v>
      </c>
      <c r="E1265" s="377">
        <f>+'WHRS_Project Scenario'!F16</f>
        <v>70</v>
      </c>
      <c r="F1265" s="377">
        <f>+'WHRS_Project Scenario'!G16</f>
        <v>70</v>
      </c>
      <c r="G1265" s="377">
        <f>+'WHRS_Project Scenario'!H16</f>
        <v>70</v>
      </c>
      <c r="H1265" s="377">
        <f>+'WHRS_Project Scenario'!I16</f>
        <v>70</v>
      </c>
      <c r="I1265" s="377">
        <f>+'WHRS_Project Scenario'!J16</f>
        <v>70</v>
      </c>
      <c r="J1265" s="377">
        <f>+'WHRS_Project Scenario'!K16</f>
        <v>70</v>
      </c>
      <c r="K1265" s="377">
        <f>+'WHRS_Project Scenario'!L16</f>
        <v>70</v>
      </c>
      <c r="L1265" s="377">
        <f>+'WHRS_Project Scenario'!M16</f>
        <v>70</v>
      </c>
      <c r="M1265" s="377">
        <f>+'WHRS_Project Scenario'!N16</f>
        <v>70</v>
      </c>
      <c r="N1265" s="377">
        <f>+'WHRS_Project Scenario'!O16</f>
        <v>70</v>
      </c>
      <c r="O1265" s="377">
        <f>+'WHRS_Project Scenario'!P16</f>
        <v>70</v>
      </c>
      <c r="P1265" s="377">
        <f>+'WHRS_Project Scenario'!Q16</f>
        <v>70</v>
      </c>
      <c r="Q1265" s="377">
        <f>+'WHRS_Project Scenario'!R16</f>
        <v>70</v>
      </c>
    </row>
    <row r="1266" spans="1:17" ht="14.4">
      <c r="A1266" s="366" t="s">
        <v>292</v>
      </c>
      <c r="B1266" s="365"/>
      <c r="C1266" s="377">
        <f>+'WHRS_Project Scenario'!D17</f>
        <v>6.4285714285714288</v>
      </c>
      <c r="D1266" s="377">
        <f>+'WHRS_Project Scenario'!E17</f>
        <v>6.6008571428571425</v>
      </c>
      <c r="E1266" s="377">
        <f>+'WHRS_Project Scenario'!F17</f>
        <v>6.7777601142857131</v>
      </c>
      <c r="F1266" s="377">
        <f>+'WHRS_Project Scenario'!G17</f>
        <v>6.9594040853485701</v>
      </c>
      <c r="G1266" s="377">
        <f>+'WHRS_Project Scenario'!H17</f>
        <v>7.1459161148359112</v>
      </c>
      <c r="H1266" s="377">
        <f>+'WHRS_Project Scenario'!I17</f>
        <v>7.3374266667135135</v>
      </c>
      <c r="I1266" s="377">
        <f>+'WHRS_Project Scenario'!J17</f>
        <v>7.5340697013814353</v>
      </c>
      <c r="J1266" s="377">
        <f>+'WHRS_Project Scenario'!K17</f>
        <v>7.7359827693784569</v>
      </c>
      <c r="K1266" s="377">
        <f>+'WHRS_Project Scenario'!L17</f>
        <v>7.943307107597799</v>
      </c>
      <c r="L1266" s="377">
        <f>+'WHRS_Project Scenario'!M17</f>
        <v>8.1561877380814192</v>
      </c>
      <c r="M1266" s="377">
        <f>+'WHRS_Project Scenario'!N17</f>
        <v>8.3747735694620005</v>
      </c>
      <c r="N1266" s="377">
        <f>+'WHRS_Project Scenario'!O17</f>
        <v>8.5992175011235812</v>
      </c>
      <c r="O1266" s="377">
        <f>+'WHRS_Project Scenario'!P17</f>
        <v>8.8296765301536926</v>
      </c>
      <c r="P1266" s="377">
        <f>+'WHRS_Project Scenario'!Q17</f>
        <v>9.066311861161811</v>
      </c>
      <c r="Q1266" s="377">
        <f>+'WHRS_Project Scenario'!R17</f>
        <v>9.3092890190409463</v>
      </c>
    </row>
    <row r="1267" spans="1:17" ht="14.4">
      <c r="A1267" s="366" t="s">
        <v>293</v>
      </c>
      <c r="B1267" s="365"/>
      <c r="C1267" s="377">
        <f>+C1265*C1266</f>
        <v>450</v>
      </c>
      <c r="D1267" s="377">
        <f t="shared" ref="D1267:Q1267" si="784">+D1265*D1266</f>
        <v>462.06</v>
      </c>
      <c r="E1267" s="377">
        <f t="shared" si="784"/>
        <v>474.44320799999991</v>
      </c>
      <c r="F1267" s="377">
        <f t="shared" si="784"/>
        <v>487.15828597439992</v>
      </c>
      <c r="G1267" s="377">
        <f t="shared" si="784"/>
        <v>500.21412803851376</v>
      </c>
      <c r="H1267" s="377">
        <f t="shared" si="784"/>
        <v>513.61986666994596</v>
      </c>
      <c r="I1267" s="377">
        <f t="shared" si="784"/>
        <v>527.3848790967005</v>
      </c>
      <c r="J1267" s="377">
        <f t="shared" si="784"/>
        <v>541.51879385649192</v>
      </c>
      <c r="K1267" s="377">
        <f t="shared" si="784"/>
        <v>556.03149753184596</v>
      </c>
      <c r="L1267" s="377">
        <f t="shared" si="784"/>
        <v>570.9331416656994</v>
      </c>
      <c r="M1267" s="377">
        <f t="shared" si="784"/>
        <v>586.23414986234002</v>
      </c>
      <c r="N1267" s="377">
        <f t="shared" si="784"/>
        <v>601.94522507865065</v>
      </c>
      <c r="O1267" s="377">
        <f t="shared" si="784"/>
        <v>618.0773571107585</v>
      </c>
      <c r="P1267" s="377">
        <f t="shared" si="784"/>
        <v>634.64183028132675</v>
      </c>
      <c r="Q1267" s="377">
        <f t="shared" si="784"/>
        <v>651.65023133286627</v>
      </c>
    </row>
    <row r="1268" spans="1:17" ht="14.4">
      <c r="A1268" s="370"/>
      <c r="B1268" s="373"/>
      <c r="C1268" s="373"/>
      <c r="D1268" s="373"/>
      <c r="E1268" s="373"/>
      <c r="F1268" s="373"/>
      <c r="G1268" s="373"/>
      <c r="H1268" s="373"/>
      <c r="I1268" s="373"/>
      <c r="J1268" s="373"/>
      <c r="K1268" s="373"/>
      <c r="L1268" s="373"/>
      <c r="M1268" s="373"/>
      <c r="N1268" s="373"/>
      <c r="O1268" s="373"/>
      <c r="P1268" s="373"/>
      <c r="Q1268" s="373"/>
    </row>
    <row r="1269" spans="1:17" ht="14.4">
      <c r="A1269" s="366" t="s">
        <v>294</v>
      </c>
      <c r="B1269" s="377">
        <f>+SUM(C1269:Q1269)</f>
        <v>1759578.4023479735</v>
      </c>
      <c r="C1269" s="377">
        <f>C1264*C1267/1000*'Initial Data'!$C$34/'Initial Data'!$C$33</f>
        <v>96846.715507855319</v>
      </c>
      <c r="D1269" s="377">
        <f>D1264*D1267/1000*'Initial Data'!$C$34/'Initial Data'!$C$33</f>
        <v>99442.207483465856</v>
      </c>
      <c r="E1269" s="377">
        <f>E1264*E1267/1000*'Initial Data'!$C$34/'Initial Data'!$C$33</f>
        <v>102107.25864402272</v>
      </c>
      <c r="F1269" s="377">
        <f>F1264*F1267/1000*'Initial Data'!$C$34/'Initial Data'!$C$33</f>
        <v>104843.73317568253</v>
      </c>
      <c r="G1269" s="377">
        <f>G1264*G1267/1000*'Initial Data'!$C$34/'Initial Data'!$C$33</f>
        <v>107653.5452247908</v>
      </c>
      <c r="H1269" s="377">
        <f>H1264*H1267/1000*'Initial Data'!$C$34/'Initial Data'!$C$33</f>
        <v>110538.66023681519</v>
      </c>
      <c r="I1269" s="377">
        <f>I1264*I1267/1000*'Initial Data'!$C$34/'Initial Data'!$C$33</f>
        <v>113501.09633116184</v>
      </c>
      <c r="J1269" s="377">
        <f>J1264*J1267/1000*'Initial Data'!$C$34/'Initial Data'!$C$33</f>
        <v>116542.92571283695</v>
      </c>
      <c r="K1269" s="377">
        <f>K1264*K1267/1000*'Initial Data'!$C$34/'Initial Data'!$C$33</f>
        <v>119666.27612194099</v>
      </c>
      <c r="L1269" s="377">
        <f>L1264*L1267/1000*'Initial Data'!$C$34/'Initial Data'!$C$33</f>
        <v>122873.332322009</v>
      </c>
      <c r="M1269" s="377">
        <f>M1264*M1267/1000*'Initial Data'!$C$34/'Initial Data'!$C$33</f>
        <v>126166.33762823879</v>
      </c>
      <c r="N1269" s="377">
        <f>N1264*N1267/1000*'Initial Data'!$C$34/'Initial Data'!$C$33</f>
        <v>129547.5954766756</v>
      </c>
      <c r="O1269" s="377">
        <f>O1264*O1267/1000*'Initial Data'!$C$34/'Initial Data'!$C$33</f>
        <v>133019.47103545049</v>
      </c>
      <c r="P1269" s="377">
        <f>P1264*P1267/1000*'Initial Data'!$C$34/'Initial Data'!$C$33</f>
        <v>136584.39285920057</v>
      </c>
      <c r="Q1269" s="377">
        <f>Q1264*Q1267/1000*'Initial Data'!$C$34/'Initial Data'!$C$33</f>
        <v>140244.85458782714</v>
      </c>
    </row>
    <row r="1270" spans="1:17" ht="14.4">
      <c r="A1270" s="370"/>
      <c r="B1270" s="373"/>
      <c r="C1270" s="373"/>
      <c r="D1270" s="373"/>
      <c r="E1270" s="373"/>
      <c r="F1270" s="373"/>
      <c r="G1270" s="373"/>
      <c r="H1270" s="373"/>
      <c r="I1270" s="373"/>
      <c r="J1270" s="373"/>
      <c r="K1270" s="373"/>
      <c r="L1270" s="373"/>
      <c r="M1270" s="373"/>
      <c r="N1270" s="373"/>
      <c r="O1270" s="373"/>
      <c r="P1270" s="373"/>
      <c r="Q1270" s="373"/>
    </row>
    <row r="1271" spans="1:17" ht="14.4">
      <c r="A1271" s="366" t="s">
        <v>295</v>
      </c>
      <c r="B1271" s="377">
        <f>+SUM(C1271:Q1271)</f>
        <v>1759578.4023479735</v>
      </c>
      <c r="C1271" s="377">
        <f>+C1269</f>
        <v>96846.715507855319</v>
      </c>
      <c r="D1271" s="377">
        <f t="shared" ref="D1271:Q1271" si="785">+D1269</f>
        <v>99442.207483465856</v>
      </c>
      <c r="E1271" s="377">
        <f t="shared" si="785"/>
        <v>102107.25864402272</v>
      </c>
      <c r="F1271" s="377">
        <f t="shared" si="785"/>
        <v>104843.73317568253</v>
      </c>
      <c r="G1271" s="377">
        <f t="shared" si="785"/>
        <v>107653.5452247908</v>
      </c>
      <c r="H1271" s="377">
        <f t="shared" si="785"/>
        <v>110538.66023681519</v>
      </c>
      <c r="I1271" s="377">
        <f t="shared" si="785"/>
        <v>113501.09633116184</v>
      </c>
      <c r="J1271" s="377">
        <f t="shared" si="785"/>
        <v>116542.92571283695</v>
      </c>
      <c r="K1271" s="377">
        <f t="shared" si="785"/>
        <v>119666.27612194099</v>
      </c>
      <c r="L1271" s="377">
        <f t="shared" si="785"/>
        <v>122873.332322009</v>
      </c>
      <c r="M1271" s="377">
        <f t="shared" si="785"/>
        <v>126166.33762823879</v>
      </c>
      <c r="N1271" s="377">
        <f t="shared" si="785"/>
        <v>129547.5954766756</v>
      </c>
      <c r="O1271" s="377">
        <f t="shared" si="785"/>
        <v>133019.47103545049</v>
      </c>
      <c r="P1271" s="377">
        <f t="shared" si="785"/>
        <v>136584.39285920057</v>
      </c>
      <c r="Q1271" s="377">
        <f t="shared" si="785"/>
        <v>140244.85458782714</v>
      </c>
    </row>
    <row r="1272" spans="1:17" ht="14.4">
      <c r="A1272" s="370"/>
      <c r="B1272" s="374"/>
      <c r="C1272" s="374"/>
      <c r="D1272" s="374"/>
      <c r="E1272" s="374"/>
      <c r="F1272" s="374"/>
      <c r="G1272" s="374"/>
      <c r="H1272" s="374"/>
      <c r="I1272" s="374"/>
      <c r="J1272" s="374"/>
      <c r="K1272" s="374"/>
      <c r="L1272" s="374"/>
      <c r="M1272" s="374"/>
      <c r="N1272" s="374"/>
      <c r="O1272" s="374"/>
      <c r="P1272" s="374"/>
      <c r="Q1272" s="374"/>
    </row>
    <row r="1273" spans="1:17" ht="14.4">
      <c r="A1273" s="366" t="s">
        <v>68</v>
      </c>
      <c r="B1273" s="368"/>
      <c r="C1273" s="368"/>
      <c r="D1273" s="368"/>
      <c r="E1273" s="368"/>
      <c r="F1273" s="368"/>
      <c r="G1273" s="368"/>
      <c r="H1273" s="368"/>
      <c r="I1273" s="368"/>
      <c r="J1273" s="368"/>
      <c r="K1273" s="368"/>
      <c r="L1273" s="368"/>
      <c r="M1273" s="368"/>
      <c r="N1273" s="368"/>
      <c r="O1273" s="368"/>
      <c r="P1273" s="368"/>
      <c r="Q1273" s="368"/>
    </row>
    <row r="1274" spans="1:17" ht="14.4">
      <c r="A1274" s="366" t="s">
        <v>296</v>
      </c>
      <c r="B1274" s="378">
        <f>+SUM(C1274:Q1274)</f>
        <v>11529.370291765843</v>
      </c>
      <c r="C1274" s="367">
        <f>SUM('Initial Data'!$C$77:$C$80)/'Initial Data'!$C$14/1000</f>
        <v>634.57339732142862</v>
      </c>
      <c r="D1274" s="367">
        <f>+C1274*(1+'Initial Data'!$C$20/100)</f>
        <v>651.57996436964288</v>
      </c>
      <c r="E1274" s="367">
        <f>+D1274*(1+'Initial Data'!$C$20/100)</f>
        <v>669.0423074147493</v>
      </c>
      <c r="F1274" s="367">
        <f>+E1274*(1+'Initial Data'!$C$20/100)</f>
        <v>686.97264125346453</v>
      </c>
      <c r="G1274" s="367">
        <f>+F1274*(1+'Initial Data'!$C$20/100)</f>
        <v>705.38350803905735</v>
      </c>
      <c r="H1274" s="367">
        <f>+G1274*(1+'Initial Data'!$C$20/100)</f>
        <v>724.28778605450407</v>
      </c>
      <c r="I1274" s="367">
        <f>+H1274*(1+'Initial Data'!$C$20/100)</f>
        <v>743.6986987207647</v>
      </c>
      <c r="J1274" s="367">
        <f>+I1274*(1+'Initial Data'!$C$20/100)</f>
        <v>763.62982384648114</v>
      </c>
      <c r="K1274" s="367">
        <f>+J1274*(1+'Initial Data'!$C$20/100)</f>
        <v>784.09510312556677</v>
      </c>
      <c r="L1274" s="367">
        <f>+K1274*(1+'Initial Data'!$C$20/100)</f>
        <v>805.10885188933196</v>
      </c>
      <c r="M1274" s="367">
        <f>+L1274*(1+'Initial Data'!$C$20/100)</f>
        <v>826.68576911996604</v>
      </c>
      <c r="N1274" s="367">
        <f>+M1274*(1+'Initial Data'!$C$20/100)</f>
        <v>848.8409477323811</v>
      </c>
      <c r="O1274" s="367">
        <f>+N1274*(1+'Initial Data'!$C$20/100)</f>
        <v>871.58988513160887</v>
      </c>
      <c r="P1274" s="367">
        <f>+O1274*(1+'Initial Data'!$C$20/100)</f>
        <v>894.94849405313596</v>
      </c>
      <c r="Q1274" s="367">
        <f>+P1274*(1+'Initial Data'!$C$20/100)</f>
        <v>918.93311369375999</v>
      </c>
    </row>
    <row r="1275" spans="1:17" ht="14.4">
      <c r="A1275" s="366" t="s">
        <v>297</v>
      </c>
      <c r="B1275" s="378">
        <f>+SUM(C1275:Q1275)</f>
        <v>13836.767075562186</v>
      </c>
      <c r="C1275" s="367">
        <f>('Initial Data'!$C$82/1000+('Initial Data'!$C$83*'Initial Data'!$C$15/'Initial Data'!$C$14)/1000+'Initial Data'!$C$84/'Initial Data'!$C$14/1000)</f>
        <v>761.57188717892859</v>
      </c>
      <c r="D1275" s="367">
        <f>+C1275*(1+'Initial Data'!$C$20/100)</f>
        <v>781.98201375532381</v>
      </c>
      <c r="E1275" s="367">
        <f>+D1275*(1+'Initial Data'!$C$20/100)</f>
        <v>802.9391317239664</v>
      </c>
      <c r="F1275" s="367">
        <f>+E1275*(1+'Initial Data'!$C$20/100)</f>
        <v>824.45790045416868</v>
      </c>
      <c r="G1275" s="367">
        <f>+F1275*(1+'Initial Data'!$C$20/100)</f>
        <v>846.55337218634031</v>
      </c>
      <c r="H1275" s="367">
        <f>+G1275*(1+'Initial Data'!$C$20/100)</f>
        <v>869.24100256093413</v>
      </c>
      <c r="I1275" s="367">
        <f>+H1275*(1+'Initial Data'!$C$20/100)</f>
        <v>892.53666142956706</v>
      </c>
      <c r="J1275" s="367">
        <f>+I1275*(1+'Initial Data'!$C$20/100)</f>
        <v>916.45664395587937</v>
      </c>
      <c r="K1275" s="367">
        <f>+J1275*(1+'Initial Data'!$C$20/100)</f>
        <v>941.01768201389689</v>
      </c>
      <c r="L1275" s="367">
        <f>+K1275*(1+'Initial Data'!$C$20/100)</f>
        <v>966.23695589186923</v>
      </c>
      <c r="M1275" s="367">
        <f>+L1275*(1+'Initial Data'!$C$20/100)</f>
        <v>992.1321063097713</v>
      </c>
      <c r="N1275" s="367">
        <f>+M1275*(1+'Initial Data'!$C$20/100)</f>
        <v>1018.7212467588731</v>
      </c>
      <c r="O1275" s="367">
        <f>+N1275*(1+'Initial Data'!$C$20/100)</f>
        <v>1046.0229761720109</v>
      </c>
      <c r="P1275" s="367">
        <f>+O1275*(1+'Initial Data'!$C$20/100)</f>
        <v>1074.0563919334206</v>
      </c>
      <c r="Q1275" s="367">
        <f>+P1275*(1+'Initial Data'!$C$20/100)</f>
        <v>1102.8411032372362</v>
      </c>
    </row>
    <row r="1276" spans="1:17" ht="14.4">
      <c r="A1276" s="370"/>
      <c r="B1276" s="369"/>
      <c r="C1276" s="382"/>
      <c r="D1276" s="369"/>
      <c r="E1276" s="369"/>
      <c r="F1276" s="369"/>
      <c r="G1276" s="369"/>
      <c r="H1276" s="369"/>
      <c r="I1276" s="369"/>
      <c r="J1276" s="369"/>
      <c r="K1276" s="369"/>
      <c r="L1276" s="369"/>
      <c r="M1276" s="369"/>
      <c r="N1276" s="369"/>
      <c r="O1276" s="369"/>
      <c r="P1276" s="369"/>
      <c r="Q1276" s="369"/>
    </row>
    <row r="1277" spans="1:17" ht="14.4">
      <c r="A1277" s="366" t="s">
        <v>71</v>
      </c>
      <c r="B1277" s="379"/>
      <c r="C1277" s="379"/>
      <c r="D1277" s="379"/>
      <c r="E1277" s="379"/>
      <c r="F1277" s="379"/>
      <c r="G1277" s="379"/>
      <c r="H1277" s="379"/>
      <c r="I1277" s="379"/>
      <c r="J1277" s="379"/>
      <c r="K1277" s="379"/>
      <c r="L1277" s="379"/>
      <c r="M1277" s="379"/>
      <c r="N1277" s="379"/>
      <c r="O1277" s="379"/>
      <c r="P1277" s="379"/>
      <c r="Q1277" s="379"/>
    </row>
    <row r="1278" spans="1:17" ht="14.4">
      <c r="A1278" s="370"/>
      <c r="B1278" s="379"/>
      <c r="C1278" s="379"/>
      <c r="D1278" s="379"/>
      <c r="E1278" s="379"/>
      <c r="F1278" s="379"/>
      <c r="G1278" s="379"/>
      <c r="H1278" s="379"/>
      <c r="I1278" s="379"/>
      <c r="J1278" s="379"/>
      <c r="K1278" s="379"/>
      <c r="L1278" s="379"/>
      <c r="M1278" s="379"/>
      <c r="N1278" s="379"/>
      <c r="O1278" s="379"/>
      <c r="P1278" s="379"/>
      <c r="Q1278" s="379"/>
    </row>
    <row r="1279" spans="1:17" ht="14.4">
      <c r="A1279" s="366" t="s">
        <v>298</v>
      </c>
      <c r="B1279" s="378">
        <f>+SUM(C1279:Q1279)</f>
        <v>25366.137367328029</v>
      </c>
      <c r="C1279" s="367">
        <f>SUM(C1274:C1275)</f>
        <v>1396.1452845003573</v>
      </c>
      <c r="D1279" s="367">
        <f>SUM(D1274:D1275)</f>
        <v>1433.5619781249666</v>
      </c>
      <c r="E1279" s="367">
        <f t="shared" ref="E1279:Q1279" si="786">SUM(E1274:E1275)</f>
        <v>1471.9814391387158</v>
      </c>
      <c r="F1279" s="367">
        <f t="shared" si="786"/>
        <v>1511.4305417076332</v>
      </c>
      <c r="G1279" s="367">
        <f t="shared" si="786"/>
        <v>1551.9368802253975</v>
      </c>
      <c r="H1279" s="367">
        <f t="shared" si="786"/>
        <v>1593.5287886154383</v>
      </c>
      <c r="I1279" s="367">
        <f t="shared" si="786"/>
        <v>1636.2353601503319</v>
      </c>
      <c r="J1279" s="367">
        <f t="shared" si="786"/>
        <v>1680.0864678023604</v>
      </c>
      <c r="K1279" s="367">
        <f t="shared" si="786"/>
        <v>1725.1127851394635</v>
      </c>
      <c r="L1279" s="367">
        <f t="shared" si="786"/>
        <v>1771.3458077812011</v>
      </c>
      <c r="M1279" s="367">
        <f t="shared" si="786"/>
        <v>1818.8178754297373</v>
      </c>
      <c r="N1279" s="367">
        <f t="shared" si="786"/>
        <v>1867.5621944912541</v>
      </c>
      <c r="O1279" s="367">
        <f t="shared" si="786"/>
        <v>1917.6128613036199</v>
      </c>
      <c r="P1279" s="367">
        <f t="shared" si="786"/>
        <v>1969.0048859865565</v>
      </c>
      <c r="Q1279" s="367">
        <f t="shared" si="786"/>
        <v>2021.7742169309963</v>
      </c>
    </row>
    <row r="1280" spans="1:17" ht="14.4">
      <c r="A1280" s="370"/>
      <c r="B1280" s="379"/>
      <c r="C1280" s="379"/>
      <c r="D1280" s="379"/>
      <c r="E1280" s="379"/>
      <c r="F1280" s="379"/>
      <c r="G1280" s="379"/>
      <c r="H1280" s="379"/>
      <c r="I1280" s="379"/>
      <c r="J1280" s="379"/>
      <c r="K1280" s="379"/>
      <c r="L1280" s="379"/>
      <c r="M1280" s="379"/>
      <c r="N1280" s="379"/>
      <c r="O1280" s="379"/>
      <c r="P1280" s="379"/>
      <c r="Q1280" s="379"/>
    </row>
    <row r="1281" spans="1:17" ht="14.4">
      <c r="A1281" s="366" t="s">
        <v>299</v>
      </c>
      <c r="B1281" s="378">
        <f t="shared" ref="B1281:B1282" si="787">+SUM(C1281:Q1281)</f>
        <v>43884.879418749995</v>
      </c>
      <c r="C1281" s="367">
        <f>'WHRS_Project Scenario'!$C$8/'Initial Data'!$C$19</f>
        <v>4388.4879418749997</v>
      </c>
      <c r="D1281" s="367">
        <f>'WHRS_Project Scenario'!$C$8/'Initial Data'!$C$19</f>
        <v>4388.4879418749997</v>
      </c>
      <c r="E1281" s="367">
        <f>'WHRS_Project Scenario'!$C$8/'Initial Data'!$C$19</f>
        <v>4388.4879418749997</v>
      </c>
      <c r="F1281" s="367">
        <f>'WHRS_Project Scenario'!$C$8/'Initial Data'!$C$19</f>
        <v>4388.4879418749997</v>
      </c>
      <c r="G1281" s="367">
        <f>'WHRS_Project Scenario'!$C$8/'Initial Data'!$C$19</f>
        <v>4388.4879418749997</v>
      </c>
      <c r="H1281" s="367">
        <f>'WHRS_Project Scenario'!$C$8/'Initial Data'!$C$19</f>
        <v>4388.4879418749997</v>
      </c>
      <c r="I1281" s="367">
        <f>'WHRS_Project Scenario'!$C$8/'Initial Data'!$C$19</f>
        <v>4388.4879418749997</v>
      </c>
      <c r="J1281" s="367">
        <f>'WHRS_Project Scenario'!$C$8/'Initial Data'!$C$19</f>
        <v>4388.4879418749997</v>
      </c>
      <c r="K1281" s="367">
        <f>'WHRS_Project Scenario'!$C$8/'Initial Data'!$C$19</f>
        <v>4388.4879418749997</v>
      </c>
      <c r="L1281" s="367">
        <f>'WHRS_Project Scenario'!$C$8/'Initial Data'!$C$19</f>
        <v>4388.4879418749997</v>
      </c>
      <c r="M1281" s="367">
        <v>0</v>
      </c>
      <c r="N1281" s="367">
        <v>0</v>
      </c>
      <c r="O1281" s="367">
        <v>0</v>
      </c>
      <c r="P1281" s="367">
        <v>0</v>
      </c>
      <c r="Q1281" s="367">
        <v>0</v>
      </c>
    </row>
    <row r="1282" spans="1:17" ht="14.4">
      <c r="A1282" s="366" t="s">
        <v>300</v>
      </c>
      <c r="B1282" s="378">
        <f t="shared" si="787"/>
        <v>43884.879418749995</v>
      </c>
      <c r="C1282" s="367">
        <f>SUM(C1281:C1281)</f>
        <v>4388.4879418749997</v>
      </c>
      <c r="D1282" s="367">
        <f t="shared" ref="D1282:Q1282" si="788">SUM(D1281:D1281)</f>
        <v>4388.4879418749997</v>
      </c>
      <c r="E1282" s="367">
        <f t="shared" si="788"/>
        <v>4388.4879418749997</v>
      </c>
      <c r="F1282" s="367">
        <f t="shared" si="788"/>
        <v>4388.4879418749997</v>
      </c>
      <c r="G1282" s="367">
        <f t="shared" si="788"/>
        <v>4388.4879418749997</v>
      </c>
      <c r="H1282" s="367">
        <f t="shared" si="788"/>
        <v>4388.4879418749997</v>
      </c>
      <c r="I1282" s="367">
        <f t="shared" si="788"/>
        <v>4388.4879418749997</v>
      </c>
      <c r="J1282" s="367">
        <f t="shared" si="788"/>
        <v>4388.4879418749997</v>
      </c>
      <c r="K1282" s="367">
        <f t="shared" si="788"/>
        <v>4388.4879418749997</v>
      </c>
      <c r="L1282" s="367">
        <f t="shared" si="788"/>
        <v>4388.4879418749997</v>
      </c>
      <c r="M1282" s="367">
        <f t="shared" si="788"/>
        <v>0</v>
      </c>
      <c r="N1282" s="367">
        <f t="shared" si="788"/>
        <v>0</v>
      </c>
      <c r="O1282" s="367">
        <f t="shared" si="788"/>
        <v>0</v>
      </c>
      <c r="P1282" s="367">
        <f t="shared" si="788"/>
        <v>0</v>
      </c>
      <c r="Q1282" s="367">
        <f t="shared" si="788"/>
        <v>0</v>
      </c>
    </row>
    <row r="1283" spans="1:17" ht="14.4">
      <c r="A1283" s="370"/>
      <c r="B1283" s="379"/>
      <c r="C1283" s="379"/>
      <c r="D1283" s="379"/>
      <c r="E1283" s="379"/>
      <c r="F1283" s="379"/>
      <c r="G1283" s="379"/>
      <c r="H1283" s="379"/>
      <c r="I1283" s="379"/>
      <c r="J1283" s="379"/>
      <c r="K1283" s="379"/>
      <c r="L1283" s="379"/>
      <c r="M1283" s="379"/>
      <c r="N1283" s="379"/>
      <c r="O1283" s="379"/>
      <c r="P1283" s="379"/>
      <c r="Q1283" s="379"/>
    </row>
    <row r="1284" spans="1:17" ht="14.4">
      <c r="A1284" s="366" t="s">
        <v>301</v>
      </c>
      <c r="B1284" s="378">
        <f>+SUM(C1284:Q1284)</f>
        <v>69251.016786078035</v>
      </c>
      <c r="C1284" s="367">
        <f>+C1279+C1282</f>
        <v>5784.6332263753575</v>
      </c>
      <c r="D1284" s="367">
        <f>+D1279+D1282</f>
        <v>5822.0499199999667</v>
      </c>
      <c r="E1284" s="367">
        <f t="shared" ref="E1284:Q1284" si="789">+E1279+E1282</f>
        <v>5860.469381013716</v>
      </c>
      <c r="F1284" s="367">
        <f t="shared" si="789"/>
        <v>5899.9184835826327</v>
      </c>
      <c r="G1284" s="367">
        <f t="shared" si="789"/>
        <v>5940.4248221003973</v>
      </c>
      <c r="H1284" s="367">
        <f t="shared" si="789"/>
        <v>5982.016730490438</v>
      </c>
      <c r="I1284" s="367">
        <f t="shared" si="789"/>
        <v>6024.7233020253316</v>
      </c>
      <c r="J1284" s="367">
        <f t="shared" si="789"/>
        <v>6068.5744096773597</v>
      </c>
      <c r="K1284" s="367">
        <f t="shared" si="789"/>
        <v>6113.6007270144637</v>
      </c>
      <c r="L1284" s="367">
        <f t="shared" si="789"/>
        <v>6159.8337496562008</v>
      </c>
      <c r="M1284" s="367">
        <f t="shared" si="789"/>
        <v>1818.8178754297373</v>
      </c>
      <c r="N1284" s="367">
        <f t="shared" si="789"/>
        <v>1867.5621944912541</v>
      </c>
      <c r="O1284" s="367">
        <f t="shared" si="789"/>
        <v>1917.6128613036199</v>
      </c>
      <c r="P1284" s="367">
        <f t="shared" si="789"/>
        <v>1969.0048859865565</v>
      </c>
      <c r="Q1284" s="367">
        <f t="shared" si="789"/>
        <v>2021.7742169309963</v>
      </c>
    </row>
    <row r="1285" spans="1:17" ht="14.4">
      <c r="A1285" s="370"/>
      <c r="B1285" s="379"/>
      <c r="C1285" s="379"/>
      <c r="D1285" s="379"/>
      <c r="E1285" s="379"/>
      <c r="F1285" s="379"/>
      <c r="G1285" s="379"/>
      <c r="H1285" s="379"/>
      <c r="I1285" s="379"/>
      <c r="J1285" s="379"/>
      <c r="K1285" s="379"/>
      <c r="L1285" s="379"/>
      <c r="M1285" s="379"/>
      <c r="N1285" s="379"/>
      <c r="O1285" s="379"/>
      <c r="P1285" s="379"/>
      <c r="Q1285" s="379"/>
    </row>
    <row r="1286" spans="1:17" ht="14.4">
      <c r="A1286" s="364" t="s">
        <v>302</v>
      </c>
      <c r="B1286" s="378">
        <f>+SUM(C1286:Q1286)</f>
        <v>1690327.3855618956</v>
      </c>
      <c r="C1286" s="367">
        <f>+C1271-C1284</f>
        <v>91062.082281479961</v>
      </c>
      <c r="D1286" s="367">
        <f>+D1271-D1284</f>
        <v>93620.157563465895</v>
      </c>
      <c r="E1286" s="367">
        <f t="shared" ref="E1286:Q1286" si="790">+E1271-E1284</f>
        <v>96246.789263009006</v>
      </c>
      <c r="F1286" s="367">
        <f t="shared" si="790"/>
        <v>98943.814692099899</v>
      </c>
      <c r="G1286" s="367">
        <f t="shared" si="790"/>
        <v>101713.1204026904</v>
      </c>
      <c r="H1286" s="367">
        <f t="shared" si="790"/>
        <v>104556.64350632476</v>
      </c>
      <c r="I1286" s="367">
        <f t="shared" si="790"/>
        <v>107476.37302913651</v>
      </c>
      <c r="J1286" s="367">
        <f t="shared" si="790"/>
        <v>110474.35130315959</v>
      </c>
      <c r="K1286" s="367">
        <f t="shared" si="790"/>
        <v>113552.67539492653</v>
      </c>
      <c r="L1286" s="367">
        <f t="shared" si="790"/>
        <v>116713.49857235279</v>
      </c>
      <c r="M1286" s="367">
        <f t="shared" si="790"/>
        <v>124347.51975280905</v>
      </c>
      <c r="N1286" s="367">
        <f t="shared" si="790"/>
        <v>127680.03328218435</v>
      </c>
      <c r="O1286" s="367">
        <f t="shared" si="790"/>
        <v>131101.85817414688</v>
      </c>
      <c r="P1286" s="367">
        <f t="shared" si="790"/>
        <v>134615.387973214</v>
      </c>
      <c r="Q1286" s="367">
        <f t="shared" si="790"/>
        <v>138223.08037089615</v>
      </c>
    </row>
    <row r="1287" spans="1:17" ht="14.4">
      <c r="A1287" s="364"/>
    </row>
    <row r="1288" spans="1:17" ht="14.4">
      <c r="A1288" s="364" t="s">
        <v>222</v>
      </c>
      <c r="B1288" s="380">
        <f>'WHRS_Project Scenario'!C39</f>
        <v>0.7</v>
      </c>
      <c r="C1288" s="367">
        <f>IF((+$B$1288*C1286)&lt;0,"0",(+$B$1288*C1286))</f>
        <v>63743.457597035966</v>
      </c>
      <c r="D1288" s="367">
        <f t="shared" ref="D1288:Q1288" si="791">IF((+$B$1288*D1286)&lt;0,"0",(+$B$1288*D1286))</f>
        <v>65534.110294426122</v>
      </c>
      <c r="E1288" s="367">
        <f t="shared" si="791"/>
        <v>67372.752484106299</v>
      </c>
      <c r="F1288" s="367">
        <f t="shared" si="791"/>
        <v>69260.670284469918</v>
      </c>
      <c r="G1288" s="367">
        <f t="shared" si="791"/>
        <v>71199.184281883281</v>
      </c>
      <c r="H1288" s="367">
        <f t="shared" si="791"/>
        <v>73189.650454427334</v>
      </c>
      <c r="I1288" s="367">
        <f t="shared" si="791"/>
        <v>75233.461120395543</v>
      </c>
      <c r="J1288" s="367">
        <f t="shared" si="791"/>
        <v>77332.045912211717</v>
      </c>
      <c r="K1288" s="367">
        <f t="shared" si="791"/>
        <v>79486.872776448567</v>
      </c>
      <c r="L1288" s="367">
        <f t="shared" si="791"/>
        <v>81699.449000646957</v>
      </c>
      <c r="M1288" s="367">
        <f t="shared" si="791"/>
        <v>87043.263826966329</v>
      </c>
      <c r="N1288" s="367">
        <f t="shared" si="791"/>
        <v>89376.023297529042</v>
      </c>
      <c r="O1288" s="367">
        <f t="shared" si="791"/>
        <v>91771.300721902808</v>
      </c>
      <c r="P1288" s="367">
        <f t="shared" si="791"/>
        <v>94230.771581249792</v>
      </c>
      <c r="Q1288" s="367">
        <f t="shared" si="791"/>
        <v>96756.1562596273</v>
      </c>
    </row>
    <row r="1289" spans="1:17" ht="14.4">
      <c r="A1289" s="364" t="s">
        <v>303</v>
      </c>
      <c r="B1289" s="378">
        <f>+SUM(C1289:Q1289)</f>
        <v>1183229.1698933272</v>
      </c>
      <c r="C1289" s="367">
        <f>SUM(C1288:C1288)</f>
        <v>63743.457597035966</v>
      </c>
      <c r="D1289" s="367">
        <f t="shared" ref="D1289:Q1289" si="792">SUM(D1288:D1288)</f>
        <v>65534.110294426122</v>
      </c>
      <c r="E1289" s="367">
        <f t="shared" si="792"/>
        <v>67372.752484106299</v>
      </c>
      <c r="F1289" s="367">
        <f t="shared" si="792"/>
        <v>69260.670284469918</v>
      </c>
      <c r="G1289" s="367">
        <f t="shared" si="792"/>
        <v>71199.184281883281</v>
      </c>
      <c r="H1289" s="367">
        <f t="shared" si="792"/>
        <v>73189.650454427334</v>
      </c>
      <c r="I1289" s="367">
        <f t="shared" si="792"/>
        <v>75233.461120395543</v>
      </c>
      <c r="J1289" s="367">
        <f t="shared" si="792"/>
        <v>77332.045912211717</v>
      </c>
      <c r="K1289" s="367">
        <f t="shared" si="792"/>
        <v>79486.872776448567</v>
      </c>
      <c r="L1289" s="367">
        <f t="shared" si="792"/>
        <v>81699.449000646957</v>
      </c>
      <c r="M1289" s="367">
        <f t="shared" si="792"/>
        <v>87043.263826966329</v>
      </c>
      <c r="N1289" s="367">
        <f t="shared" si="792"/>
        <v>89376.023297529042</v>
      </c>
      <c r="O1289" s="367">
        <f t="shared" si="792"/>
        <v>91771.300721902808</v>
      </c>
      <c r="P1289" s="367">
        <f t="shared" si="792"/>
        <v>94230.771581249792</v>
      </c>
      <c r="Q1289" s="367">
        <f t="shared" si="792"/>
        <v>96756.1562596273</v>
      </c>
    </row>
    <row r="1290" spans="1:17" ht="14.4">
      <c r="A1290" s="369"/>
    </row>
    <row r="1291" spans="1:17" ht="14.4">
      <c r="A1291" s="364" t="s">
        <v>304</v>
      </c>
      <c r="B1291" s="378">
        <f t="shared" ref="B1291:B1293" si="793">+SUM(C1291:Q1291)</f>
        <v>507098.2156685688</v>
      </c>
      <c r="C1291" s="367">
        <f>C1286-C1289</f>
        <v>27318.624684443996</v>
      </c>
      <c r="D1291" s="367">
        <f t="shared" ref="D1291:Q1291" si="794">D1286-D1289</f>
        <v>28086.047269039773</v>
      </c>
      <c r="E1291" s="367">
        <f t="shared" si="794"/>
        <v>28874.036778902708</v>
      </c>
      <c r="F1291" s="367">
        <f t="shared" si="794"/>
        <v>29683.144407629981</v>
      </c>
      <c r="G1291" s="367">
        <f t="shared" si="794"/>
        <v>30513.93612080712</v>
      </c>
      <c r="H1291" s="367">
        <f t="shared" si="794"/>
        <v>31366.993051897429</v>
      </c>
      <c r="I1291" s="367">
        <f t="shared" si="794"/>
        <v>32242.911908740964</v>
      </c>
      <c r="J1291" s="367">
        <f t="shared" si="794"/>
        <v>33142.305390947877</v>
      </c>
      <c r="K1291" s="367">
        <f t="shared" si="794"/>
        <v>34065.802618477959</v>
      </c>
      <c r="L1291" s="367">
        <f t="shared" si="794"/>
        <v>35014.049571705837</v>
      </c>
      <c r="M1291" s="367">
        <f t="shared" si="794"/>
        <v>37304.255925842721</v>
      </c>
      <c r="N1291" s="367">
        <f t="shared" si="794"/>
        <v>38304.009984655306</v>
      </c>
      <c r="O1291" s="367">
        <f t="shared" si="794"/>
        <v>39330.557452244073</v>
      </c>
      <c r="P1291" s="367">
        <f t="shared" si="794"/>
        <v>40384.616391964213</v>
      </c>
      <c r="Q1291" s="367">
        <f t="shared" si="794"/>
        <v>41466.924111268847</v>
      </c>
    </row>
    <row r="1292" spans="1:17" ht="14.4">
      <c r="A1292" s="364" t="s">
        <v>305</v>
      </c>
      <c r="B1292" s="378">
        <f t="shared" si="793"/>
        <v>43884.879418749995</v>
      </c>
      <c r="C1292" s="367">
        <f>+C1281</f>
        <v>4388.4879418749997</v>
      </c>
      <c r="D1292" s="367">
        <f t="shared" ref="D1292:Q1292" si="795">+D1281</f>
        <v>4388.4879418749997</v>
      </c>
      <c r="E1292" s="367">
        <f t="shared" si="795"/>
        <v>4388.4879418749997</v>
      </c>
      <c r="F1292" s="367">
        <f t="shared" si="795"/>
        <v>4388.4879418749997</v>
      </c>
      <c r="G1292" s="367">
        <f t="shared" si="795"/>
        <v>4388.4879418749997</v>
      </c>
      <c r="H1292" s="367">
        <f t="shared" si="795"/>
        <v>4388.4879418749997</v>
      </c>
      <c r="I1292" s="367">
        <f t="shared" si="795"/>
        <v>4388.4879418749997</v>
      </c>
      <c r="J1292" s="367">
        <f t="shared" si="795"/>
        <v>4388.4879418749997</v>
      </c>
      <c r="K1292" s="367">
        <f t="shared" si="795"/>
        <v>4388.4879418749997</v>
      </c>
      <c r="L1292" s="367">
        <f t="shared" si="795"/>
        <v>4388.4879418749997</v>
      </c>
      <c r="M1292" s="367">
        <f t="shared" si="795"/>
        <v>0</v>
      </c>
      <c r="N1292" s="367">
        <f t="shared" si="795"/>
        <v>0</v>
      </c>
      <c r="O1292" s="367">
        <f t="shared" si="795"/>
        <v>0</v>
      </c>
      <c r="P1292" s="367">
        <f t="shared" si="795"/>
        <v>0</v>
      </c>
      <c r="Q1292" s="367">
        <f t="shared" si="795"/>
        <v>0</v>
      </c>
    </row>
    <row r="1293" spans="1:17" ht="14.4">
      <c r="A1293" s="364" t="s">
        <v>306</v>
      </c>
      <c r="B1293" s="378">
        <f t="shared" si="793"/>
        <v>0</v>
      </c>
      <c r="C1293" s="367">
        <f>+'WHRS_Project Scenario'!D1266</f>
        <v>0</v>
      </c>
      <c r="D1293" s="367">
        <f>+'WHRS_Project Scenario'!E1266</f>
        <v>0</v>
      </c>
      <c r="E1293" s="367">
        <f>+'WHRS_Project Scenario'!F1266</f>
        <v>0</v>
      </c>
      <c r="F1293" s="367">
        <f>+'WHRS_Project Scenario'!G1266</f>
        <v>0</v>
      </c>
      <c r="G1293" s="367">
        <f>+'WHRS_Project Scenario'!H1266</f>
        <v>0</v>
      </c>
      <c r="H1293" s="367">
        <f>+'WHRS_Project Scenario'!I1266</f>
        <v>0</v>
      </c>
      <c r="I1293" s="367">
        <f>+'WHRS_Project Scenario'!J1266</f>
        <v>0</v>
      </c>
      <c r="J1293" s="367">
        <f>+'WHRS_Project Scenario'!K1266</f>
        <v>0</v>
      </c>
      <c r="K1293" s="367">
        <f>+'WHRS_Project Scenario'!L1266</f>
        <v>0</v>
      </c>
      <c r="L1293" s="367">
        <f>+'WHRS_Project Scenario'!M1266</f>
        <v>0</v>
      </c>
      <c r="M1293" s="367">
        <f>+'WHRS_Project Scenario'!N1266</f>
        <v>0</v>
      </c>
      <c r="N1293" s="367">
        <f>+'WHRS_Project Scenario'!O1266</f>
        <v>0</v>
      </c>
      <c r="O1293" s="367">
        <f>+'WHRS_Project Scenario'!P1266</f>
        <v>0</v>
      </c>
      <c r="P1293" s="367">
        <f>+'WHRS_Project Scenario'!Q1266</f>
        <v>0</v>
      </c>
      <c r="Q1293" s="367">
        <f>+'WHRS_Project Scenario'!R1266</f>
        <v>0</v>
      </c>
    </row>
    <row r="1294" spans="1:17" ht="14.4">
      <c r="A1294" s="364"/>
    </row>
    <row r="1295" spans="1:17" ht="14.4">
      <c r="A1295" s="364" t="s">
        <v>110</v>
      </c>
      <c r="B1295" s="378">
        <f>-'WHRS_Project Scenario'!C8</f>
        <v>-43884.879418749995</v>
      </c>
      <c r="C1295" s="367">
        <f>C1291+C1292+C1293</f>
        <v>31707.112626318994</v>
      </c>
      <c r="D1295" s="367">
        <f t="shared" ref="D1295:Q1295" si="796">D1291+D1292+D1293</f>
        <v>32474.535210914772</v>
      </c>
      <c r="E1295" s="367">
        <f t="shared" si="796"/>
        <v>33262.524720777707</v>
      </c>
      <c r="F1295" s="367">
        <f t="shared" si="796"/>
        <v>34071.63234950498</v>
      </c>
      <c r="G1295" s="367">
        <f t="shared" si="796"/>
        <v>34902.424062682119</v>
      </c>
      <c r="H1295" s="367">
        <f t="shared" si="796"/>
        <v>35755.480993772428</v>
      </c>
      <c r="I1295" s="367">
        <f t="shared" si="796"/>
        <v>36631.399850615962</v>
      </c>
      <c r="J1295" s="367">
        <f t="shared" si="796"/>
        <v>37530.793332822876</v>
      </c>
      <c r="K1295" s="367">
        <f t="shared" si="796"/>
        <v>38454.290560352958</v>
      </c>
      <c r="L1295" s="367">
        <f t="shared" si="796"/>
        <v>39402.537513580835</v>
      </c>
      <c r="M1295" s="367">
        <f t="shared" si="796"/>
        <v>37304.255925842721</v>
      </c>
      <c r="N1295" s="367">
        <f t="shared" si="796"/>
        <v>38304.009984655306</v>
      </c>
      <c r="O1295" s="367">
        <f t="shared" si="796"/>
        <v>39330.557452244073</v>
      </c>
      <c r="P1295" s="367">
        <f t="shared" si="796"/>
        <v>40384.616391964213</v>
      </c>
      <c r="Q1295" s="367">
        <f t="shared" si="796"/>
        <v>41466.924111268847</v>
      </c>
    </row>
    <row r="1296" spans="1:17" ht="15.6">
      <c r="A1296" s="364" t="s">
        <v>51</v>
      </c>
      <c r="B1296" s="132">
        <f>IRR(B1295:Q1295)</f>
        <v>0.74631049628791313</v>
      </c>
    </row>
    <row r="1297" spans="1:17" ht="15.6">
      <c r="A1297" s="364" t="s">
        <v>267</v>
      </c>
      <c r="B1297" s="303">
        <f>NPV('Initial Data'!C21/100,B1295:Q1295)</f>
        <v>176118.00956786249</v>
      </c>
    </row>
    <row r="1299" spans="1:17" ht="14.4">
      <c r="A1299" s="364" t="s">
        <v>103</v>
      </c>
    </row>
    <row r="1300" spans="1:17" ht="14.4">
      <c r="A1300" s="369"/>
    </row>
    <row r="1301" spans="1:17" ht="14.4">
      <c r="A1301" s="364" t="s">
        <v>363</v>
      </c>
      <c r="C1301" s="367">
        <f>'WHRS_Project Scenario'!D52</f>
        <v>88111</v>
      </c>
      <c r="D1301" s="367">
        <f>'WHRS_Project Scenario'!E52</f>
        <v>88111</v>
      </c>
      <c r="E1301" s="367">
        <f>'WHRS_Project Scenario'!F52</f>
        <v>88111</v>
      </c>
      <c r="F1301" s="367">
        <f>'WHRS_Project Scenario'!G52</f>
        <v>88111</v>
      </c>
      <c r="G1301" s="367">
        <f>'WHRS_Project Scenario'!H52</f>
        <v>88111</v>
      </c>
      <c r="H1301" s="367">
        <f>'WHRS_Project Scenario'!I52</f>
        <v>88111</v>
      </c>
      <c r="I1301" s="367">
        <f>'WHRS_Project Scenario'!J52</f>
        <v>88111</v>
      </c>
      <c r="J1301" s="367">
        <f>'WHRS_Project Scenario'!K52</f>
        <v>88111</v>
      </c>
      <c r="K1301" s="367">
        <f>'WHRS_Project Scenario'!L52</f>
        <v>88111</v>
      </c>
      <c r="L1301" s="367">
        <f>'WHRS_Project Scenario'!M52</f>
        <v>88111</v>
      </c>
      <c r="M1301" s="367">
        <f>'WHRS_Project Scenario'!N52</f>
        <v>0</v>
      </c>
      <c r="N1301" s="367">
        <f>'WHRS_Project Scenario'!O52</f>
        <v>0</v>
      </c>
      <c r="O1301" s="367">
        <f>'WHRS_Project Scenario'!P52</f>
        <v>0</v>
      </c>
      <c r="P1301" s="367">
        <f>'WHRS_Project Scenario'!Q52</f>
        <v>0</v>
      </c>
      <c r="Q1301" s="367">
        <f>'WHRS_Project Scenario'!R52</f>
        <v>0</v>
      </c>
    </row>
    <row r="1302" spans="1:17" ht="14.4">
      <c r="A1302" s="364" t="s">
        <v>364</v>
      </c>
      <c r="C1302" s="367">
        <f>$G$13</f>
        <v>25</v>
      </c>
    </row>
    <row r="1303" spans="1:17" ht="14.4">
      <c r="A1303" s="369"/>
    </row>
    <row r="1304" spans="1:17" ht="14.4">
      <c r="A1304" s="364" t="s">
        <v>365</v>
      </c>
      <c r="C1304" s="367">
        <f>C1301*$C$1302/1000</f>
        <v>2202.7750000000001</v>
      </c>
      <c r="D1304" s="367">
        <f t="shared" ref="D1304:Q1304" si="797">D1301*$C$1302/1000</f>
        <v>2202.7750000000001</v>
      </c>
      <c r="E1304" s="367">
        <f t="shared" si="797"/>
        <v>2202.7750000000001</v>
      </c>
      <c r="F1304" s="367">
        <f t="shared" si="797"/>
        <v>2202.7750000000001</v>
      </c>
      <c r="G1304" s="367">
        <f t="shared" si="797"/>
        <v>2202.7750000000001</v>
      </c>
      <c r="H1304" s="367">
        <f t="shared" si="797"/>
        <v>2202.7750000000001</v>
      </c>
      <c r="I1304" s="367">
        <f t="shared" si="797"/>
        <v>2202.7750000000001</v>
      </c>
      <c r="J1304" s="367">
        <f t="shared" si="797"/>
        <v>2202.7750000000001</v>
      </c>
      <c r="K1304" s="367">
        <f t="shared" si="797"/>
        <v>2202.7750000000001</v>
      </c>
      <c r="L1304" s="367">
        <f t="shared" si="797"/>
        <v>2202.7750000000001</v>
      </c>
      <c r="M1304" s="367">
        <f t="shared" si="797"/>
        <v>0</v>
      </c>
      <c r="N1304" s="367">
        <f t="shared" si="797"/>
        <v>0</v>
      </c>
      <c r="O1304" s="367">
        <f t="shared" si="797"/>
        <v>0</v>
      </c>
      <c r="P1304" s="367">
        <f t="shared" si="797"/>
        <v>0</v>
      </c>
      <c r="Q1304" s="367">
        <f t="shared" si="797"/>
        <v>0</v>
      </c>
    </row>
    <row r="1305" spans="1:17" ht="14.4">
      <c r="A1305" s="369"/>
    </row>
    <row r="1306" spans="1:17" ht="14.4">
      <c r="A1306" s="364" t="s">
        <v>110</v>
      </c>
      <c r="B1306" s="378">
        <f>B1295</f>
        <v>-43884.879418749995</v>
      </c>
      <c r="C1306" s="367">
        <f>C1295+C1304</f>
        <v>33909.887626318996</v>
      </c>
      <c r="D1306" s="367">
        <f t="shared" ref="D1306:Q1306" si="798">D1295+D1304</f>
        <v>34677.310210914773</v>
      </c>
      <c r="E1306" s="367">
        <f t="shared" si="798"/>
        <v>35465.299720777708</v>
      </c>
      <c r="F1306" s="367">
        <f t="shared" si="798"/>
        <v>36274.407349504982</v>
      </c>
      <c r="G1306" s="367">
        <f t="shared" si="798"/>
        <v>37105.199062682121</v>
      </c>
      <c r="H1306" s="367">
        <f t="shared" si="798"/>
        <v>37958.255993772429</v>
      </c>
      <c r="I1306" s="367">
        <f t="shared" si="798"/>
        <v>38834.174850615964</v>
      </c>
      <c r="J1306" s="367">
        <f t="shared" si="798"/>
        <v>39733.568332822877</v>
      </c>
      <c r="K1306" s="367">
        <f t="shared" si="798"/>
        <v>40657.065560352959</v>
      </c>
      <c r="L1306" s="367">
        <f t="shared" si="798"/>
        <v>41605.312513580837</v>
      </c>
      <c r="M1306" s="367">
        <f t="shared" si="798"/>
        <v>37304.255925842721</v>
      </c>
      <c r="N1306" s="367">
        <f t="shared" si="798"/>
        <v>38304.009984655306</v>
      </c>
      <c r="O1306" s="367">
        <f t="shared" si="798"/>
        <v>39330.557452244073</v>
      </c>
      <c r="P1306" s="367">
        <f t="shared" si="798"/>
        <v>40384.616391964213</v>
      </c>
      <c r="Q1306" s="367">
        <f t="shared" si="798"/>
        <v>41466.924111268847</v>
      </c>
    </row>
    <row r="1307" spans="1:17" ht="15.6">
      <c r="A1307" s="364" t="s">
        <v>51</v>
      </c>
      <c r="B1307" s="132">
        <f>IRR(B1306:Q1306)</f>
        <v>0.79496441501692305</v>
      </c>
    </row>
    <row r="1308" spans="1:17" ht="15.6">
      <c r="A1308" s="364" t="s">
        <v>267</v>
      </c>
      <c r="B1308" s="303">
        <f>NPV('Initial Data'!C21/100,B1306:Q1306)</f>
        <v>187230.66138161943</v>
      </c>
    </row>
  </sheetData>
  <mergeCells count="33">
    <mergeCell ref="A1065:Q1065"/>
    <mergeCell ref="A1114:Q1114"/>
    <mergeCell ref="A1163:Q1163"/>
    <mergeCell ref="A1212:Q1212"/>
    <mergeCell ref="A1261:Q1261"/>
    <mergeCell ref="A989:Q989"/>
    <mergeCell ref="A1027:Q1027"/>
    <mergeCell ref="A799:Q799"/>
    <mergeCell ref="A837:Q837"/>
    <mergeCell ref="A875:Q875"/>
    <mergeCell ref="A913:Q913"/>
    <mergeCell ref="A951:Q951"/>
    <mergeCell ref="A647:Q647"/>
    <mergeCell ref="A685:Q685"/>
    <mergeCell ref="A723:Q723"/>
    <mergeCell ref="A761:Q761"/>
    <mergeCell ref="A457:Q457"/>
    <mergeCell ref="A495:Q495"/>
    <mergeCell ref="A533:Q533"/>
    <mergeCell ref="A571:Q571"/>
    <mergeCell ref="A609:Q609"/>
    <mergeCell ref="A3:F3"/>
    <mergeCell ref="A39:Q39"/>
    <mergeCell ref="A77:Q77"/>
    <mergeCell ref="A419:Q419"/>
    <mergeCell ref="A305:Q305"/>
    <mergeCell ref="A343:Q343"/>
    <mergeCell ref="A381:Q381"/>
    <mergeCell ref="A115:Q115"/>
    <mergeCell ref="A153:Q153"/>
    <mergeCell ref="A191:Q191"/>
    <mergeCell ref="A229:Q229"/>
    <mergeCell ref="A267:Q267"/>
  </mergeCells>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sheetPr codeName="Hoja9">
    <outlinePr summaryBelow="0" summaryRight="0"/>
  </sheetPr>
  <dimension ref="A1:AE751"/>
  <sheetViews>
    <sheetView showGridLines="0" workbookViewId="0">
      <pane xSplit="4" ySplit="16" topLeftCell="H17" activePane="bottomRight" state="frozen"/>
      <selection pane="topRight" activeCell="E1" sqref="E1"/>
      <selection pane="bottomLeft" activeCell="A17" sqref="A17"/>
      <selection pane="bottomRight"/>
    </sheetView>
  </sheetViews>
  <sheetFormatPr baseColWidth="10" defaultColWidth="11.44140625" defaultRowHeight="14.4"/>
  <cols>
    <col min="1" max="1" width="0.109375" style="216" customWidth="1"/>
    <col min="2" max="2" width="0.88671875" style="216" customWidth="1"/>
    <col min="3" max="3" width="8.33203125" style="216" customWidth="1"/>
    <col min="4" max="4" width="0.44140625" style="216" customWidth="1"/>
    <col min="5" max="5" width="9.109375" style="216" customWidth="1"/>
    <col min="6" max="6" width="0.88671875" style="216" customWidth="1"/>
    <col min="7" max="7" width="6" style="216" customWidth="1"/>
    <col min="8" max="8" width="9.109375" style="216" customWidth="1"/>
    <col min="9" max="9" width="2.5546875" style="216" customWidth="1"/>
    <col min="10" max="10" width="4.33203125" style="216" customWidth="1"/>
    <col min="11" max="11" width="9.109375" style="216" customWidth="1"/>
    <col min="12" max="12" width="7" style="216" customWidth="1"/>
    <col min="13" max="13" width="9.109375" style="216" customWidth="1"/>
    <col min="14" max="14" width="7.109375" style="216" customWidth="1"/>
    <col min="15" max="15" width="7" style="216" customWidth="1"/>
    <col min="16" max="16" width="0.44140625" style="216" customWidth="1"/>
    <col min="17" max="17" width="8" style="216" customWidth="1"/>
    <col min="18" max="18" width="7" style="216" customWidth="1"/>
    <col min="19" max="19" width="8" style="216" customWidth="1"/>
    <col min="20" max="20" width="2.5546875" style="216" customWidth="1"/>
    <col min="21" max="21" width="4.33203125" style="216" customWidth="1"/>
    <col min="22" max="22" width="7.6640625" style="216" bestFit="1" customWidth="1"/>
    <col min="23" max="23" width="0.44140625" style="216" customWidth="1"/>
    <col min="24" max="24" width="5.6640625" style="216" customWidth="1"/>
    <col min="25" max="25" width="1.33203125" style="216" customWidth="1"/>
    <col min="26" max="26" width="0.44140625" style="216" customWidth="1"/>
    <col min="27" max="27" width="11.109375" style="216" bestFit="1" customWidth="1"/>
    <col min="28" max="28" width="8.44140625" style="216" customWidth="1"/>
    <col min="29" max="29" width="0.33203125" style="216" customWidth="1"/>
    <col min="30" max="16384" width="11.44140625" style="216"/>
  </cols>
  <sheetData>
    <row r="1" spans="1:29" ht="2.25" customHeight="1">
      <c r="A1" s="215"/>
      <c r="B1" s="215"/>
      <c r="C1" s="215"/>
      <c r="D1" s="215"/>
      <c r="E1" s="215"/>
      <c r="F1" s="215"/>
      <c r="G1" s="215"/>
      <c r="H1" s="215"/>
      <c r="I1" s="215"/>
      <c r="J1" s="215"/>
      <c r="K1" s="215"/>
      <c r="L1" s="215"/>
      <c r="M1" s="215"/>
      <c r="N1" s="215"/>
      <c r="O1" s="215"/>
      <c r="P1" s="215"/>
      <c r="Q1" s="215"/>
      <c r="R1" s="215"/>
      <c r="S1" s="215"/>
      <c r="T1" s="215"/>
      <c r="U1" s="215"/>
      <c r="V1" s="215"/>
      <c r="W1" s="215"/>
      <c r="X1" s="215"/>
      <c r="Y1" s="215"/>
      <c r="Z1" s="215"/>
      <c r="AA1" s="215"/>
      <c r="AB1" s="215"/>
      <c r="AC1" s="215"/>
    </row>
    <row r="2" spans="1:29" ht="0.75" customHeight="1">
      <c r="A2" s="215"/>
      <c r="B2" s="215"/>
      <c r="C2" s="537"/>
      <c r="D2" s="537"/>
      <c r="E2" s="537"/>
      <c r="F2" s="537"/>
      <c r="G2" s="215"/>
      <c r="H2" s="215"/>
      <c r="I2" s="215"/>
      <c r="J2" s="215"/>
      <c r="K2" s="215"/>
      <c r="L2" s="215"/>
      <c r="M2" s="215"/>
      <c r="N2" s="215"/>
      <c r="O2" s="215"/>
      <c r="P2" s="215"/>
      <c r="Q2" s="215"/>
      <c r="R2" s="215"/>
      <c r="S2" s="215"/>
      <c r="T2" s="215"/>
      <c r="U2" s="215"/>
      <c r="V2" s="215"/>
      <c r="W2" s="215"/>
      <c r="X2" s="215"/>
      <c r="Y2" s="215"/>
      <c r="Z2" s="215"/>
      <c r="AA2" s="215"/>
      <c r="AB2" s="215"/>
      <c r="AC2" s="215"/>
    </row>
    <row r="3" spans="1:29" ht="2.25" customHeight="1">
      <c r="A3" s="215"/>
      <c r="B3" s="215"/>
      <c r="C3" s="537"/>
      <c r="D3" s="537"/>
      <c r="E3" s="537"/>
      <c r="F3" s="537"/>
      <c r="G3" s="215"/>
      <c r="H3" s="215"/>
      <c r="I3" s="215"/>
      <c r="J3" s="215"/>
      <c r="K3" s="215"/>
      <c r="L3" s="215"/>
      <c r="M3" s="215"/>
      <c r="N3" s="215"/>
      <c r="O3" s="215"/>
      <c r="P3" s="215"/>
      <c r="Q3" s="215"/>
      <c r="R3" s="215"/>
      <c r="S3" s="215"/>
      <c r="T3" s="215"/>
      <c r="U3" s="215"/>
      <c r="V3" s="215"/>
      <c r="W3" s="215"/>
      <c r="X3" s="215"/>
      <c r="Y3" s="537"/>
      <c r="Z3" s="537"/>
      <c r="AA3" s="537"/>
      <c r="AB3" s="537"/>
      <c r="AC3" s="215"/>
    </row>
    <row r="4" spans="1:29" ht="13.5" customHeight="1">
      <c r="A4" s="215"/>
      <c r="B4" s="215"/>
      <c r="C4" s="537"/>
      <c r="D4" s="537"/>
      <c r="E4" s="537"/>
      <c r="F4" s="537"/>
      <c r="G4" s="215"/>
      <c r="H4" s="215"/>
      <c r="I4" s="215"/>
      <c r="J4" s="538" t="s">
        <v>386</v>
      </c>
      <c r="K4" s="538"/>
      <c r="L4" s="538"/>
      <c r="M4" s="538"/>
      <c r="N4" s="538"/>
      <c r="O4" s="538"/>
      <c r="P4" s="538"/>
      <c r="Q4" s="538"/>
      <c r="R4" s="538"/>
      <c r="S4" s="538"/>
      <c r="T4" s="538"/>
      <c r="U4" s="215"/>
      <c r="V4" s="215"/>
      <c r="W4" s="215"/>
      <c r="X4" s="215"/>
      <c r="Y4" s="537"/>
      <c r="Z4" s="537"/>
      <c r="AA4" s="537"/>
      <c r="AB4" s="537"/>
      <c r="AC4" s="215"/>
    </row>
    <row r="5" spans="1:29" ht="13.5" customHeight="1">
      <c r="A5" s="215"/>
      <c r="B5" s="215"/>
      <c r="C5" s="537"/>
      <c r="D5" s="537"/>
      <c r="E5" s="537"/>
      <c r="F5" s="537"/>
      <c r="G5" s="215"/>
      <c r="H5" s="215"/>
      <c r="I5" s="215"/>
      <c r="J5" s="538" t="s">
        <v>387</v>
      </c>
      <c r="K5" s="538"/>
      <c r="L5" s="538"/>
      <c r="M5" s="538"/>
      <c r="N5" s="538"/>
      <c r="O5" s="538"/>
      <c r="P5" s="538"/>
      <c r="Q5" s="538"/>
      <c r="R5" s="538"/>
      <c r="S5" s="538"/>
      <c r="T5" s="538"/>
      <c r="U5" s="215"/>
      <c r="V5" s="215"/>
      <c r="W5" s="215"/>
      <c r="X5" s="215"/>
      <c r="Y5" s="537"/>
      <c r="Z5" s="537"/>
      <c r="AA5" s="537"/>
      <c r="AB5" s="537"/>
      <c r="AC5" s="215"/>
    </row>
    <row r="6" spans="1:29" ht="13.5" customHeight="1">
      <c r="A6" s="215"/>
      <c r="B6" s="215"/>
      <c r="C6" s="537"/>
      <c r="D6" s="537"/>
      <c r="E6" s="537"/>
      <c r="F6" s="537"/>
      <c r="G6" s="215"/>
      <c r="H6" s="215"/>
      <c r="I6" s="215"/>
      <c r="J6" s="538" t="s">
        <v>388</v>
      </c>
      <c r="K6" s="538"/>
      <c r="L6" s="538"/>
      <c r="M6" s="538"/>
      <c r="N6" s="538"/>
      <c r="O6" s="538"/>
      <c r="P6" s="538"/>
      <c r="Q6" s="538"/>
      <c r="R6" s="538"/>
      <c r="S6" s="538"/>
      <c r="T6" s="538"/>
      <c r="U6" s="215"/>
      <c r="V6" s="215"/>
      <c r="W6" s="215"/>
      <c r="X6" s="215"/>
      <c r="Y6" s="537"/>
      <c r="Z6" s="537"/>
      <c r="AA6" s="537"/>
      <c r="AB6" s="537"/>
      <c r="AC6" s="215"/>
    </row>
    <row r="7" spans="1:29" ht="9.75" customHeight="1">
      <c r="A7" s="215"/>
      <c r="B7" s="215"/>
      <c r="C7" s="537"/>
      <c r="D7" s="537"/>
      <c r="E7" s="537"/>
      <c r="F7" s="537"/>
      <c r="G7" s="215"/>
      <c r="H7" s="215"/>
      <c r="I7" s="215"/>
      <c r="J7" s="215"/>
      <c r="K7" s="215"/>
      <c r="L7" s="215"/>
      <c r="M7" s="215"/>
      <c r="N7" s="215"/>
      <c r="O7" s="215"/>
      <c r="P7" s="215"/>
      <c r="Q7" s="215"/>
      <c r="R7" s="215"/>
      <c r="S7" s="215"/>
      <c r="T7" s="215"/>
      <c r="U7" s="215"/>
      <c r="V7" s="215"/>
      <c r="W7" s="215"/>
      <c r="X7" s="215"/>
      <c r="Y7" s="537"/>
      <c r="Z7" s="537"/>
      <c r="AA7" s="537"/>
      <c r="AB7" s="537"/>
      <c r="AC7" s="215"/>
    </row>
    <row r="8" spans="1:29" ht="0.75" customHeight="1">
      <c r="A8" s="215"/>
      <c r="B8" s="215"/>
      <c r="C8" s="215"/>
      <c r="D8" s="215"/>
      <c r="E8" s="215"/>
      <c r="F8" s="215"/>
      <c r="G8" s="215"/>
      <c r="H8" s="215"/>
      <c r="I8" s="215"/>
      <c r="J8" s="215"/>
      <c r="K8" s="215"/>
      <c r="L8" s="215"/>
      <c r="M8" s="215"/>
      <c r="N8" s="215"/>
      <c r="O8" s="215"/>
      <c r="P8" s="215"/>
      <c r="Q8" s="215"/>
      <c r="R8" s="215"/>
      <c r="S8" s="215"/>
      <c r="T8" s="215"/>
      <c r="U8" s="215"/>
      <c r="V8" s="215"/>
      <c r="W8" s="215"/>
      <c r="X8" s="215"/>
      <c r="Y8" s="537"/>
      <c r="Z8" s="537"/>
      <c r="AA8" s="537"/>
      <c r="AB8" s="537"/>
      <c r="AC8" s="215"/>
    </row>
    <row r="9" spans="1:29" ht="3" customHeight="1" thickBot="1">
      <c r="A9" s="215"/>
      <c r="B9" s="215"/>
      <c r="C9" s="215"/>
      <c r="D9" s="215"/>
      <c r="E9" s="215"/>
      <c r="F9" s="215"/>
      <c r="G9" s="215"/>
      <c r="H9" s="215"/>
      <c r="I9" s="215"/>
      <c r="J9" s="215"/>
      <c r="K9" s="215"/>
      <c r="L9" s="215"/>
      <c r="M9" s="215"/>
      <c r="N9" s="215"/>
      <c r="O9" s="215"/>
      <c r="P9" s="215"/>
      <c r="Q9" s="215"/>
      <c r="R9" s="215"/>
      <c r="S9" s="215"/>
      <c r="T9" s="215"/>
      <c r="U9" s="215"/>
      <c r="V9" s="215"/>
      <c r="W9" s="215"/>
      <c r="X9" s="215"/>
      <c r="Y9" s="215"/>
      <c r="Z9" s="215"/>
      <c r="AA9" s="215"/>
      <c r="AB9" s="215"/>
      <c r="AC9" s="215"/>
    </row>
    <row r="10" spans="1:29" ht="0.75" customHeight="1">
      <c r="A10" s="546"/>
      <c r="B10" s="546"/>
      <c r="C10" s="546"/>
      <c r="D10" s="546"/>
      <c r="E10" s="546"/>
      <c r="F10" s="546"/>
      <c r="G10" s="546"/>
      <c r="H10" s="546"/>
      <c r="I10" s="546"/>
      <c r="J10" s="546"/>
      <c r="K10" s="546"/>
      <c r="L10" s="546"/>
      <c r="M10" s="546"/>
      <c r="N10" s="546"/>
      <c r="O10" s="546"/>
      <c r="P10" s="546"/>
      <c r="Q10" s="546"/>
      <c r="R10" s="546"/>
      <c r="S10" s="546"/>
      <c r="T10" s="546"/>
      <c r="U10" s="546"/>
      <c r="V10" s="546"/>
      <c r="W10" s="546"/>
      <c r="X10" s="546"/>
      <c r="Y10" s="546"/>
      <c r="Z10" s="546"/>
      <c r="AA10" s="546"/>
      <c r="AB10" s="546"/>
      <c r="AC10" s="215"/>
    </row>
    <row r="11" spans="1:29" ht="6" customHeight="1">
      <c r="A11" s="215"/>
      <c r="B11" s="215"/>
      <c r="C11" s="215"/>
      <c r="D11" s="215"/>
      <c r="E11" s="215"/>
      <c r="F11" s="215"/>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row>
    <row r="12" spans="1:29" ht="13.5" customHeight="1">
      <c r="A12" s="215"/>
      <c r="B12" s="215"/>
      <c r="C12" s="215"/>
      <c r="D12" s="215"/>
      <c r="E12" s="215"/>
      <c r="F12" s="215"/>
      <c r="G12" s="215"/>
      <c r="H12" s="215"/>
      <c r="I12" s="215"/>
      <c r="J12" s="215"/>
      <c r="K12" s="215"/>
      <c r="L12" s="215"/>
      <c r="M12" s="215"/>
      <c r="N12" s="215"/>
      <c r="O12" s="215"/>
      <c r="P12" s="215"/>
      <c r="Q12" s="215"/>
      <c r="R12" s="215"/>
      <c r="S12" s="215"/>
      <c r="T12" s="215"/>
      <c r="U12" s="215"/>
      <c r="V12" s="215"/>
      <c r="W12" s="215"/>
      <c r="X12" s="215"/>
      <c r="Y12" s="215"/>
      <c r="Z12" s="215"/>
      <c r="AA12" s="215"/>
      <c r="AB12" s="215"/>
      <c r="AC12" s="215"/>
    </row>
    <row r="13" spans="1:29" ht="19.5" customHeight="1">
      <c r="A13" s="215"/>
      <c r="B13" s="542" t="s">
        <v>212</v>
      </c>
      <c r="C13" s="542"/>
      <c r="D13" s="217" t="s">
        <v>212</v>
      </c>
      <c r="E13" s="539" t="s">
        <v>392</v>
      </c>
      <c r="F13" s="540"/>
      <c r="G13" s="540"/>
      <c r="H13" s="540"/>
      <c r="I13" s="540"/>
      <c r="J13" s="540"/>
      <c r="K13" s="540"/>
      <c r="L13" s="540"/>
      <c r="M13" s="540"/>
      <c r="N13" s="540"/>
      <c r="O13" s="540"/>
      <c r="P13" s="218" t="s">
        <v>212</v>
      </c>
      <c r="Q13" s="539" t="s">
        <v>391</v>
      </c>
      <c r="R13" s="540"/>
      <c r="S13" s="540"/>
      <c r="T13" s="540"/>
      <c r="U13" s="540"/>
      <c r="V13" s="540"/>
      <c r="W13" s="218" t="s">
        <v>212</v>
      </c>
      <c r="X13" s="541" t="s">
        <v>212</v>
      </c>
      <c r="Y13" s="541"/>
      <c r="Z13" s="218" t="s">
        <v>212</v>
      </c>
      <c r="AA13" s="539" t="s">
        <v>395</v>
      </c>
      <c r="AB13" s="540"/>
      <c r="AC13" s="215"/>
    </row>
    <row r="14" spans="1:29" ht="17.25" customHeight="1">
      <c r="A14" s="215"/>
      <c r="B14" s="523" t="s">
        <v>212</v>
      </c>
      <c r="C14" s="523"/>
      <c r="D14" s="219" t="s">
        <v>212</v>
      </c>
      <c r="E14" s="526" t="s">
        <v>136</v>
      </c>
      <c r="F14" s="526"/>
      <c r="G14" s="526"/>
      <c r="H14" s="526" t="s">
        <v>137</v>
      </c>
      <c r="I14" s="526"/>
      <c r="J14" s="526"/>
      <c r="K14" s="526" t="s">
        <v>138</v>
      </c>
      <c r="L14" s="526"/>
      <c r="M14" s="526" t="s">
        <v>139</v>
      </c>
      <c r="N14" s="526"/>
      <c r="O14" s="220" t="s">
        <v>212</v>
      </c>
      <c r="P14" s="221" t="s">
        <v>212</v>
      </c>
      <c r="Q14" s="526" t="s">
        <v>140</v>
      </c>
      <c r="R14" s="526"/>
      <c r="S14" s="526" t="s">
        <v>141</v>
      </c>
      <c r="T14" s="526"/>
      <c r="U14" s="526"/>
      <c r="V14" s="220" t="s">
        <v>212</v>
      </c>
      <c r="W14" s="221" t="s">
        <v>212</v>
      </c>
      <c r="X14" s="543" t="s">
        <v>212</v>
      </c>
      <c r="Y14" s="543"/>
      <c r="Z14" s="221" t="s">
        <v>212</v>
      </c>
      <c r="AA14" s="220" t="s">
        <v>212</v>
      </c>
      <c r="AB14" s="220" t="s">
        <v>212</v>
      </c>
      <c r="AC14" s="215"/>
    </row>
    <row r="15" spans="1:29" ht="35.25" customHeight="1">
      <c r="A15" s="215"/>
      <c r="B15" s="525" t="s">
        <v>401</v>
      </c>
      <c r="C15" s="526"/>
      <c r="D15" s="222" t="s">
        <v>212</v>
      </c>
      <c r="E15" s="415" t="s">
        <v>389</v>
      </c>
      <c r="F15" s="526" t="s">
        <v>404</v>
      </c>
      <c r="G15" s="526"/>
      <c r="H15" s="415" t="s">
        <v>389</v>
      </c>
      <c r="I15" s="526" t="s">
        <v>404</v>
      </c>
      <c r="J15" s="526"/>
      <c r="K15" s="415" t="s">
        <v>389</v>
      </c>
      <c r="L15" s="223" t="s">
        <v>404</v>
      </c>
      <c r="M15" s="415" t="s">
        <v>389</v>
      </c>
      <c r="N15" s="223" t="s">
        <v>404</v>
      </c>
      <c r="O15" s="223" t="s">
        <v>142</v>
      </c>
      <c r="P15" s="222" t="s">
        <v>212</v>
      </c>
      <c r="Q15" s="223" t="s">
        <v>390</v>
      </c>
      <c r="R15" s="223" t="s">
        <v>404</v>
      </c>
      <c r="S15" s="223" t="s">
        <v>390</v>
      </c>
      <c r="T15" s="526" t="s">
        <v>404</v>
      </c>
      <c r="U15" s="526"/>
      <c r="V15" s="223" t="s">
        <v>143</v>
      </c>
      <c r="W15" s="222" t="s">
        <v>212</v>
      </c>
      <c r="X15" s="544" t="s">
        <v>393</v>
      </c>
      <c r="Y15" s="545"/>
      <c r="Z15" s="222" t="s">
        <v>212</v>
      </c>
      <c r="AA15" s="223" t="s">
        <v>144</v>
      </c>
      <c r="AB15" s="223" t="s">
        <v>394</v>
      </c>
      <c r="AC15" s="215"/>
    </row>
    <row r="16" spans="1:29" ht="2.25" customHeight="1">
      <c r="A16" s="215"/>
      <c r="B16" s="529" t="s">
        <v>212</v>
      </c>
      <c r="C16" s="529"/>
      <c r="D16" s="219" t="s">
        <v>212</v>
      </c>
      <c r="E16" s="222" t="s">
        <v>212</v>
      </c>
      <c r="F16" s="531" t="s">
        <v>212</v>
      </c>
      <c r="G16" s="531"/>
      <c r="H16" s="222" t="s">
        <v>212</v>
      </c>
      <c r="I16" s="531" t="s">
        <v>212</v>
      </c>
      <c r="J16" s="531"/>
      <c r="K16" s="222" t="s">
        <v>212</v>
      </c>
      <c r="L16" s="222" t="s">
        <v>212</v>
      </c>
      <c r="M16" s="222" t="s">
        <v>212</v>
      </c>
      <c r="N16" s="222" t="s">
        <v>212</v>
      </c>
      <c r="O16" s="222" t="s">
        <v>212</v>
      </c>
      <c r="P16" s="222" t="s">
        <v>212</v>
      </c>
      <c r="Q16" s="222" t="s">
        <v>212</v>
      </c>
      <c r="R16" s="222" t="s">
        <v>212</v>
      </c>
      <c r="S16" s="222" t="s">
        <v>212</v>
      </c>
      <c r="T16" s="531" t="s">
        <v>212</v>
      </c>
      <c r="U16" s="531"/>
      <c r="V16" s="222" t="s">
        <v>212</v>
      </c>
      <c r="W16" s="222" t="s">
        <v>212</v>
      </c>
      <c r="X16" s="531" t="s">
        <v>212</v>
      </c>
      <c r="Y16" s="531"/>
      <c r="Z16" s="222" t="s">
        <v>212</v>
      </c>
      <c r="AA16" s="222" t="s">
        <v>212</v>
      </c>
      <c r="AB16" s="222" t="s">
        <v>212</v>
      </c>
      <c r="AC16" s="215"/>
    </row>
    <row r="17" spans="1:29" ht="13.5" customHeight="1">
      <c r="A17" s="215"/>
      <c r="B17" s="532">
        <v>38718</v>
      </c>
      <c r="C17" s="532"/>
      <c r="D17" s="219" t="s">
        <v>212</v>
      </c>
      <c r="E17" s="224">
        <v>268.5</v>
      </c>
      <c r="F17" s="533">
        <v>24</v>
      </c>
      <c r="G17" s="533"/>
      <c r="H17" s="224">
        <v>313</v>
      </c>
      <c r="I17" s="533">
        <v>24</v>
      </c>
      <c r="J17" s="533"/>
      <c r="K17" s="224">
        <v>0</v>
      </c>
      <c r="L17" s="225">
        <v>0</v>
      </c>
      <c r="M17" s="224">
        <v>0</v>
      </c>
      <c r="N17" s="225">
        <v>0</v>
      </c>
      <c r="O17" s="226">
        <v>581.5</v>
      </c>
      <c r="P17" s="222" t="s">
        <v>212</v>
      </c>
      <c r="Q17" s="224">
        <v>0</v>
      </c>
      <c r="R17" s="225">
        <v>0</v>
      </c>
      <c r="S17" s="224">
        <v>0</v>
      </c>
      <c r="T17" s="533">
        <v>0</v>
      </c>
      <c r="U17" s="533"/>
      <c r="V17" s="224">
        <v>0</v>
      </c>
      <c r="W17" s="222" t="s">
        <v>212</v>
      </c>
      <c r="X17" s="534">
        <v>581.5</v>
      </c>
      <c r="Y17" s="534"/>
      <c r="Z17" s="222" t="s">
        <v>212</v>
      </c>
      <c r="AA17" s="227">
        <v>7809700</v>
      </c>
      <c r="AB17" s="228">
        <v>5335</v>
      </c>
      <c r="AC17" s="215"/>
    </row>
    <row r="18" spans="1:29" ht="2.25" customHeight="1">
      <c r="A18" s="215"/>
      <c r="B18" s="529" t="s">
        <v>212</v>
      </c>
      <c r="C18" s="529"/>
      <c r="D18" s="219" t="s">
        <v>212</v>
      </c>
      <c r="E18" s="222" t="s">
        <v>212</v>
      </c>
      <c r="F18" s="531" t="s">
        <v>212</v>
      </c>
      <c r="G18" s="531"/>
      <c r="H18" s="222" t="s">
        <v>212</v>
      </c>
      <c r="I18" s="531" t="s">
        <v>212</v>
      </c>
      <c r="J18" s="531"/>
      <c r="K18" s="222" t="s">
        <v>212</v>
      </c>
      <c r="L18" s="222" t="s">
        <v>212</v>
      </c>
      <c r="M18" s="222" t="s">
        <v>212</v>
      </c>
      <c r="N18" s="222" t="s">
        <v>212</v>
      </c>
      <c r="O18" s="222" t="s">
        <v>212</v>
      </c>
      <c r="P18" s="222" t="s">
        <v>212</v>
      </c>
      <c r="Q18" s="222" t="s">
        <v>212</v>
      </c>
      <c r="R18" s="222" t="s">
        <v>212</v>
      </c>
      <c r="S18" s="222" t="s">
        <v>212</v>
      </c>
      <c r="T18" s="531" t="s">
        <v>212</v>
      </c>
      <c r="U18" s="531"/>
      <c r="V18" s="222" t="s">
        <v>212</v>
      </c>
      <c r="W18" s="222" t="s">
        <v>212</v>
      </c>
      <c r="X18" s="531" t="s">
        <v>212</v>
      </c>
      <c r="Y18" s="531"/>
      <c r="Z18" s="222" t="s">
        <v>212</v>
      </c>
      <c r="AA18" s="222" t="s">
        <v>212</v>
      </c>
      <c r="AB18" s="222" t="s">
        <v>212</v>
      </c>
      <c r="AC18" s="215"/>
    </row>
    <row r="19" spans="1:29" ht="13.5" customHeight="1">
      <c r="A19" s="215"/>
      <c r="B19" s="535">
        <v>38719</v>
      </c>
      <c r="C19" s="535"/>
      <c r="D19" s="219" t="s">
        <v>212</v>
      </c>
      <c r="E19" s="229">
        <v>274.60000000000002</v>
      </c>
      <c r="F19" s="536">
        <v>24</v>
      </c>
      <c r="G19" s="536"/>
      <c r="H19" s="229">
        <v>320.3</v>
      </c>
      <c r="I19" s="536">
        <v>24</v>
      </c>
      <c r="J19" s="536"/>
      <c r="K19" s="229">
        <v>0</v>
      </c>
      <c r="L19" s="230">
        <v>0</v>
      </c>
      <c r="M19" s="229">
        <v>0</v>
      </c>
      <c r="N19" s="230">
        <v>0</v>
      </c>
      <c r="O19" s="231">
        <v>594.9</v>
      </c>
      <c r="P19" s="222" t="s">
        <v>212</v>
      </c>
      <c r="Q19" s="229">
        <v>0</v>
      </c>
      <c r="R19" s="230">
        <v>0</v>
      </c>
      <c r="S19" s="229">
        <v>0</v>
      </c>
      <c r="T19" s="536">
        <v>0</v>
      </c>
      <c r="U19" s="536"/>
      <c r="V19" s="229">
        <v>0</v>
      </c>
      <c r="W19" s="222" t="s">
        <v>212</v>
      </c>
      <c r="X19" s="530">
        <v>594.9</v>
      </c>
      <c r="Y19" s="530"/>
      <c r="Z19" s="222" t="s">
        <v>212</v>
      </c>
      <c r="AA19" s="232">
        <v>7924700</v>
      </c>
      <c r="AB19" s="233">
        <v>0</v>
      </c>
      <c r="AC19" s="215"/>
    </row>
    <row r="20" spans="1:29" ht="2.25" customHeight="1">
      <c r="A20" s="215"/>
      <c r="B20" s="529" t="s">
        <v>212</v>
      </c>
      <c r="C20" s="529"/>
      <c r="D20" s="219" t="s">
        <v>212</v>
      </c>
      <c r="E20" s="222" t="s">
        <v>212</v>
      </c>
      <c r="F20" s="531" t="s">
        <v>212</v>
      </c>
      <c r="G20" s="531"/>
      <c r="H20" s="222" t="s">
        <v>212</v>
      </c>
      <c r="I20" s="531" t="s">
        <v>212</v>
      </c>
      <c r="J20" s="531"/>
      <c r="K20" s="222" t="s">
        <v>212</v>
      </c>
      <c r="L20" s="222" t="s">
        <v>212</v>
      </c>
      <c r="M20" s="222" t="s">
        <v>212</v>
      </c>
      <c r="N20" s="222" t="s">
        <v>212</v>
      </c>
      <c r="O20" s="222" t="s">
        <v>212</v>
      </c>
      <c r="P20" s="222" t="s">
        <v>212</v>
      </c>
      <c r="Q20" s="222" t="s">
        <v>212</v>
      </c>
      <c r="R20" s="222" t="s">
        <v>212</v>
      </c>
      <c r="S20" s="222" t="s">
        <v>212</v>
      </c>
      <c r="T20" s="531" t="s">
        <v>212</v>
      </c>
      <c r="U20" s="531"/>
      <c r="V20" s="222" t="s">
        <v>212</v>
      </c>
      <c r="W20" s="222" t="s">
        <v>212</v>
      </c>
      <c r="X20" s="531" t="s">
        <v>212</v>
      </c>
      <c r="Y20" s="531"/>
      <c r="Z20" s="222" t="s">
        <v>212</v>
      </c>
      <c r="AA20" s="222" t="s">
        <v>212</v>
      </c>
      <c r="AB20" s="222" t="s">
        <v>212</v>
      </c>
      <c r="AC20" s="215"/>
    </row>
    <row r="21" spans="1:29" ht="13.5" customHeight="1">
      <c r="A21" s="215"/>
      <c r="B21" s="532">
        <v>38720</v>
      </c>
      <c r="C21" s="532"/>
      <c r="D21" s="219" t="s">
        <v>212</v>
      </c>
      <c r="E21" s="224">
        <v>286.5</v>
      </c>
      <c r="F21" s="533">
        <v>24</v>
      </c>
      <c r="G21" s="533"/>
      <c r="H21" s="224">
        <v>310.10000000000002</v>
      </c>
      <c r="I21" s="533">
        <v>24</v>
      </c>
      <c r="J21" s="533"/>
      <c r="K21" s="224">
        <v>25.8</v>
      </c>
      <c r="L21" s="225">
        <v>3</v>
      </c>
      <c r="M21" s="224">
        <v>0</v>
      </c>
      <c r="N21" s="225">
        <v>0</v>
      </c>
      <c r="O21" s="226">
        <v>622.4</v>
      </c>
      <c r="P21" s="222" t="s">
        <v>212</v>
      </c>
      <c r="Q21" s="224">
        <v>0</v>
      </c>
      <c r="R21" s="225">
        <v>0</v>
      </c>
      <c r="S21" s="224">
        <v>0</v>
      </c>
      <c r="T21" s="533">
        <v>0</v>
      </c>
      <c r="U21" s="533"/>
      <c r="V21" s="224">
        <v>0</v>
      </c>
      <c r="W21" s="222" t="s">
        <v>212</v>
      </c>
      <c r="X21" s="534">
        <v>622.4</v>
      </c>
      <c r="Y21" s="534"/>
      <c r="Z21" s="222" t="s">
        <v>212</v>
      </c>
      <c r="AA21" s="227">
        <v>7954500</v>
      </c>
      <c r="AB21" s="228">
        <v>20254</v>
      </c>
      <c r="AC21" s="215"/>
    </row>
    <row r="22" spans="1:29" ht="2.25" customHeight="1">
      <c r="A22" s="215"/>
      <c r="B22" s="529" t="s">
        <v>212</v>
      </c>
      <c r="C22" s="529"/>
      <c r="D22" s="219" t="s">
        <v>212</v>
      </c>
      <c r="E22" s="222" t="s">
        <v>212</v>
      </c>
      <c r="F22" s="531" t="s">
        <v>212</v>
      </c>
      <c r="G22" s="531"/>
      <c r="H22" s="222" t="s">
        <v>212</v>
      </c>
      <c r="I22" s="531" t="s">
        <v>212</v>
      </c>
      <c r="J22" s="531"/>
      <c r="K22" s="222" t="s">
        <v>212</v>
      </c>
      <c r="L22" s="222" t="s">
        <v>212</v>
      </c>
      <c r="M22" s="222" t="s">
        <v>212</v>
      </c>
      <c r="N22" s="222" t="s">
        <v>212</v>
      </c>
      <c r="O22" s="222" t="s">
        <v>212</v>
      </c>
      <c r="P22" s="222" t="s">
        <v>212</v>
      </c>
      <c r="Q22" s="222" t="s">
        <v>212</v>
      </c>
      <c r="R22" s="222" t="s">
        <v>212</v>
      </c>
      <c r="S22" s="222" t="s">
        <v>212</v>
      </c>
      <c r="T22" s="531" t="s">
        <v>212</v>
      </c>
      <c r="U22" s="531"/>
      <c r="V22" s="222" t="s">
        <v>212</v>
      </c>
      <c r="W22" s="222" t="s">
        <v>212</v>
      </c>
      <c r="X22" s="531" t="s">
        <v>212</v>
      </c>
      <c r="Y22" s="531"/>
      <c r="Z22" s="222" t="s">
        <v>212</v>
      </c>
      <c r="AA22" s="222" t="s">
        <v>212</v>
      </c>
      <c r="AB22" s="222" t="s">
        <v>212</v>
      </c>
      <c r="AC22" s="215"/>
    </row>
    <row r="23" spans="1:29" ht="13.5" customHeight="1">
      <c r="A23" s="215"/>
      <c r="B23" s="535">
        <v>38721</v>
      </c>
      <c r="C23" s="535"/>
      <c r="D23" s="219" t="s">
        <v>212</v>
      </c>
      <c r="E23" s="229">
        <v>268.89999999999998</v>
      </c>
      <c r="F23" s="536">
        <v>24</v>
      </c>
      <c r="G23" s="536"/>
      <c r="H23" s="229">
        <v>325.10000000000002</v>
      </c>
      <c r="I23" s="536">
        <v>24</v>
      </c>
      <c r="J23" s="536"/>
      <c r="K23" s="229">
        <v>125.9</v>
      </c>
      <c r="L23" s="230">
        <v>13</v>
      </c>
      <c r="M23" s="229">
        <v>0</v>
      </c>
      <c r="N23" s="230">
        <v>0</v>
      </c>
      <c r="O23" s="231">
        <v>719.9</v>
      </c>
      <c r="P23" s="222" t="s">
        <v>212</v>
      </c>
      <c r="Q23" s="229">
        <v>0</v>
      </c>
      <c r="R23" s="230">
        <v>24</v>
      </c>
      <c r="S23" s="229">
        <v>0</v>
      </c>
      <c r="T23" s="536">
        <v>0</v>
      </c>
      <c r="U23" s="536"/>
      <c r="V23" s="229">
        <v>0</v>
      </c>
      <c r="W23" s="222" t="s">
        <v>212</v>
      </c>
      <c r="X23" s="530">
        <v>719.9</v>
      </c>
      <c r="Y23" s="530"/>
      <c r="Z23" s="222" t="s">
        <v>212</v>
      </c>
      <c r="AA23" s="232">
        <v>7927000</v>
      </c>
      <c r="AB23" s="233">
        <v>71057</v>
      </c>
      <c r="AC23" s="215"/>
    </row>
    <row r="24" spans="1:29" ht="2.25" customHeight="1">
      <c r="A24" s="215"/>
      <c r="B24" s="529" t="s">
        <v>212</v>
      </c>
      <c r="C24" s="529"/>
      <c r="D24" s="219" t="s">
        <v>212</v>
      </c>
      <c r="E24" s="222" t="s">
        <v>212</v>
      </c>
      <c r="F24" s="531" t="s">
        <v>212</v>
      </c>
      <c r="G24" s="531"/>
      <c r="H24" s="222" t="s">
        <v>212</v>
      </c>
      <c r="I24" s="531" t="s">
        <v>212</v>
      </c>
      <c r="J24" s="531"/>
      <c r="K24" s="222" t="s">
        <v>212</v>
      </c>
      <c r="L24" s="222" t="s">
        <v>212</v>
      </c>
      <c r="M24" s="222" t="s">
        <v>212</v>
      </c>
      <c r="N24" s="222" t="s">
        <v>212</v>
      </c>
      <c r="O24" s="222" t="s">
        <v>212</v>
      </c>
      <c r="P24" s="222" t="s">
        <v>212</v>
      </c>
      <c r="Q24" s="222" t="s">
        <v>212</v>
      </c>
      <c r="R24" s="222" t="s">
        <v>212</v>
      </c>
      <c r="S24" s="222" t="s">
        <v>212</v>
      </c>
      <c r="T24" s="531" t="s">
        <v>212</v>
      </c>
      <c r="U24" s="531"/>
      <c r="V24" s="222" t="s">
        <v>212</v>
      </c>
      <c r="W24" s="222" t="s">
        <v>212</v>
      </c>
      <c r="X24" s="531" t="s">
        <v>212</v>
      </c>
      <c r="Y24" s="531"/>
      <c r="Z24" s="222" t="s">
        <v>212</v>
      </c>
      <c r="AA24" s="222" t="s">
        <v>212</v>
      </c>
      <c r="AB24" s="222" t="s">
        <v>212</v>
      </c>
      <c r="AC24" s="215"/>
    </row>
    <row r="25" spans="1:29" ht="13.5" customHeight="1">
      <c r="A25" s="215"/>
      <c r="B25" s="532">
        <v>38722</v>
      </c>
      <c r="C25" s="532"/>
      <c r="D25" s="219" t="s">
        <v>212</v>
      </c>
      <c r="E25" s="224">
        <v>256.2</v>
      </c>
      <c r="F25" s="533">
        <v>24</v>
      </c>
      <c r="G25" s="533"/>
      <c r="H25" s="224">
        <v>292.60000000000002</v>
      </c>
      <c r="I25" s="533">
        <v>24</v>
      </c>
      <c r="J25" s="533"/>
      <c r="K25" s="224">
        <v>45.8</v>
      </c>
      <c r="L25" s="225">
        <v>8</v>
      </c>
      <c r="M25" s="224">
        <v>0</v>
      </c>
      <c r="N25" s="225">
        <v>0</v>
      </c>
      <c r="O25" s="226">
        <v>594.6</v>
      </c>
      <c r="P25" s="222" t="s">
        <v>212</v>
      </c>
      <c r="Q25" s="224">
        <v>0</v>
      </c>
      <c r="R25" s="225">
        <v>0</v>
      </c>
      <c r="S25" s="224">
        <v>0</v>
      </c>
      <c r="T25" s="533">
        <v>0</v>
      </c>
      <c r="U25" s="533"/>
      <c r="V25" s="224">
        <v>0</v>
      </c>
      <c r="W25" s="222" t="s">
        <v>212</v>
      </c>
      <c r="X25" s="534">
        <v>594.6</v>
      </c>
      <c r="Y25" s="534"/>
      <c r="Z25" s="222" t="s">
        <v>212</v>
      </c>
      <c r="AA25" s="227">
        <v>1704200</v>
      </c>
      <c r="AB25" s="228">
        <v>248375</v>
      </c>
      <c r="AC25" s="215"/>
    </row>
    <row r="26" spans="1:29" ht="2.25" customHeight="1">
      <c r="A26" s="215"/>
      <c r="B26" s="529" t="s">
        <v>212</v>
      </c>
      <c r="C26" s="529"/>
      <c r="D26" s="219" t="s">
        <v>212</v>
      </c>
      <c r="E26" s="222" t="s">
        <v>212</v>
      </c>
      <c r="F26" s="531" t="s">
        <v>212</v>
      </c>
      <c r="G26" s="531"/>
      <c r="H26" s="222" t="s">
        <v>212</v>
      </c>
      <c r="I26" s="531" t="s">
        <v>212</v>
      </c>
      <c r="J26" s="531"/>
      <c r="K26" s="222" t="s">
        <v>212</v>
      </c>
      <c r="L26" s="222" t="s">
        <v>212</v>
      </c>
      <c r="M26" s="222" t="s">
        <v>212</v>
      </c>
      <c r="N26" s="222" t="s">
        <v>212</v>
      </c>
      <c r="O26" s="222" t="s">
        <v>212</v>
      </c>
      <c r="P26" s="222" t="s">
        <v>212</v>
      </c>
      <c r="Q26" s="222" t="s">
        <v>212</v>
      </c>
      <c r="R26" s="222" t="s">
        <v>212</v>
      </c>
      <c r="S26" s="222" t="s">
        <v>212</v>
      </c>
      <c r="T26" s="531" t="s">
        <v>212</v>
      </c>
      <c r="U26" s="531"/>
      <c r="V26" s="222" t="s">
        <v>212</v>
      </c>
      <c r="W26" s="222" t="s">
        <v>212</v>
      </c>
      <c r="X26" s="531" t="s">
        <v>212</v>
      </c>
      <c r="Y26" s="531"/>
      <c r="Z26" s="222" t="s">
        <v>212</v>
      </c>
      <c r="AA26" s="222" t="s">
        <v>212</v>
      </c>
      <c r="AB26" s="222" t="s">
        <v>212</v>
      </c>
      <c r="AC26" s="215"/>
    </row>
    <row r="27" spans="1:29" ht="13.5" customHeight="1">
      <c r="A27" s="215"/>
      <c r="B27" s="535">
        <v>38723</v>
      </c>
      <c r="C27" s="535"/>
      <c r="D27" s="219" t="s">
        <v>212</v>
      </c>
      <c r="E27" s="229">
        <v>285.3</v>
      </c>
      <c r="F27" s="536">
        <v>24</v>
      </c>
      <c r="G27" s="536"/>
      <c r="H27" s="229">
        <v>327.9</v>
      </c>
      <c r="I27" s="536">
        <v>24</v>
      </c>
      <c r="J27" s="536"/>
      <c r="K27" s="229">
        <v>0</v>
      </c>
      <c r="L27" s="230">
        <v>0</v>
      </c>
      <c r="M27" s="229">
        <v>0</v>
      </c>
      <c r="N27" s="230">
        <v>0</v>
      </c>
      <c r="O27" s="231">
        <v>613.20000000000005</v>
      </c>
      <c r="P27" s="222" t="s">
        <v>212</v>
      </c>
      <c r="Q27" s="229">
        <v>0</v>
      </c>
      <c r="R27" s="230">
        <v>0</v>
      </c>
      <c r="S27" s="229">
        <v>0</v>
      </c>
      <c r="T27" s="536">
        <v>0</v>
      </c>
      <c r="U27" s="536"/>
      <c r="V27" s="229">
        <v>0</v>
      </c>
      <c r="W27" s="222" t="s">
        <v>212</v>
      </c>
      <c r="X27" s="530">
        <v>613.20000000000005</v>
      </c>
      <c r="Y27" s="530"/>
      <c r="Z27" s="222" t="s">
        <v>212</v>
      </c>
      <c r="AA27" s="232">
        <v>0</v>
      </c>
      <c r="AB27" s="233">
        <v>291724</v>
      </c>
      <c r="AC27" s="215"/>
    </row>
    <row r="28" spans="1:29" ht="2.25" customHeight="1">
      <c r="A28" s="215"/>
      <c r="B28" s="529" t="s">
        <v>212</v>
      </c>
      <c r="C28" s="529"/>
      <c r="D28" s="219" t="s">
        <v>212</v>
      </c>
      <c r="E28" s="222" t="s">
        <v>212</v>
      </c>
      <c r="F28" s="531" t="s">
        <v>212</v>
      </c>
      <c r="G28" s="531"/>
      <c r="H28" s="222" t="s">
        <v>212</v>
      </c>
      <c r="I28" s="531" t="s">
        <v>212</v>
      </c>
      <c r="J28" s="531"/>
      <c r="K28" s="222" t="s">
        <v>212</v>
      </c>
      <c r="L28" s="222" t="s">
        <v>212</v>
      </c>
      <c r="M28" s="222" t="s">
        <v>212</v>
      </c>
      <c r="N28" s="222" t="s">
        <v>212</v>
      </c>
      <c r="O28" s="222" t="s">
        <v>212</v>
      </c>
      <c r="P28" s="222" t="s">
        <v>212</v>
      </c>
      <c r="Q28" s="222" t="s">
        <v>212</v>
      </c>
      <c r="R28" s="222" t="s">
        <v>212</v>
      </c>
      <c r="S28" s="222" t="s">
        <v>212</v>
      </c>
      <c r="T28" s="531" t="s">
        <v>212</v>
      </c>
      <c r="U28" s="531"/>
      <c r="V28" s="222" t="s">
        <v>212</v>
      </c>
      <c r="W28" s="222" t="s">
        <v>212</v>
      </c>
      <c r="X28" s="531" t="s">
        <v>212</v>
      </c>
      <c r="Y28" s="531"/>
      <c r="Z28" s="222" t="s">
        <v>212</v>
      </c>
      <c r="AA28" s="222" t="s">
        <v>212</v>
      </c>
      <c r="AB28" s="222" t="s">
        <v>212</v>
      </c>
      <c r="AC28" s="215"/>
    </row>
    <row r="29" spans="1:29" ht="13.5" customHeight="1">
      <c r="A29" s="215"/>
      <c r="B29" s="532">
        <v>38724</v>
      </c>
      <c r="C29" s="532"/>
      <c r="D29" s="219" t="s">
        <v>212</v>
      </c>
      <c r="E29" s="224">
        <v>134.9</v>
      </c>
      <c r="F29" s="533">
        <v>13</v>
      </c>
      <c r="G29" s="533"/>
      <c r="H29" s="224">
        <v>302</v>
      </c>
      <c r="I29" s="533">
        <v>24</v>
      </c>
      <c r="J29" s="533"/>
      <c r="K29" s="224">
        <v>166</v>
      </c>
      <c r="L29" s="225">
        <v>15</v>
      </c>
      <c r="M29" s="224">
        <v>0</v>
      </c>
      <c r="N29" s="225">
        <v>0</v>
      </c>
      <c r="O29" s="226">
        <v>602.9</v>
      </c>
      <c r="P29" s="222" t="s">
        <v>212</v>
      </c>
      <c r="Q29" s="224">
        <v>0</v>
      </c>
      <c r="R29" s="225">
        <v>0</v>
      </c>
      <c r="S29" s="224">
        <v>0</v>
      </c>
      <c r="T29" s="533">
        <v>0</v>
      </c>
      <c r="U29" s="533"/>
      <c r="V29" s="224">
        <v>0</v>
      </c>
      <c r="W29" s="222" t="s">
        <v>212</v>
      </c>
      <c r="X29" s="534">
        <v>602.9</v>
      </c>
      <c r="Y29" s="534"/>
      <c r="Z29" s="222" t="s">
        <v>212</v>
      </c>
      <c r="AA29" s="227">
        <v>4298800</v>
      </c>
      <c r="AB29" s="228">
        <v>146776</v>
      </c>
      <c r="AC29" s="215"/>
    </row>
    <row r="30" spans="1:29" ht="2.25" customHeight="1">
      <c r="A30" s="215"/>
      <c r="B30" s="529" t="s">
        <v>212</v>
      </c>
      <c r="C30" s="529"/>
      <c r="D30" s="219" t="s">
        <v>212</v>
      </c>
      <c r="E30" s="222" t="s">
        <v>212</v>
      </c>
      <c r="F30" s="531" t="s">
        <v>212</v>
      </c>
      <c r="G30" s="531"/>
      <c r="H30" s="222" t="s">
        <v>212</v>
      </c>
      <c r="I30" s="531" t="s">
        <v>212</v>
      </c>
      <c r="J30" s="531"/>
      <c r="K30" s="222" t="s">
        <v>212</v>
      </c>
      <c r="L30" s="222" t="s">
        <v>212</v>
      </c>
      <c r="M30" s="222" t="s">
        <v>212</v>
      </c>
      <c r="N30" s="222" t="s">
        <v>212</v>
      </c>
      <c r="O30" s="222" t="s">
        <v>212</v>
      </c>
      <c r="P30" s="222" t="s">
        <v>212</v>
      </c>
      <c r="Q30" s="222" t="s">
        <v>212</v>
      </c>
      <c r="R30" s="222" t="s">
        <v>212</v>
      </c>
      <c r="S30" s="222" t="s">
        <v>212</v>
      </c>
      <c r="T30" s="531" t="s">
        <v>212</v>
      </c>
      <c r="U30" s="531"/>
      <c r="V30" s="222" t="s">
        <v>212</v>
      </c>
      <c r="W30" s="222" t="s">
        <v>212</v>
      </c>
      <c r="X30" s="531" t="s">
        <v>212</v>
      </c>
      <c r="Y30" s="531"/>
      <c r="Z30" s="222" t="s">
        <v>212</v>
      </c>
      <c r="AA30" s="222" t="s">
        <v>212</v>
      </c>
      <c r="AB30" s="222" t="s">
        <v>212</v>
      </c>
      <c r="AC30" s="215"/>
    </row>
    <row r="31" spans="1:29" ht="13.5" customHeight="1">
      <c r="A31" s="215"/>
      <c r="B31" s="535">
        <v>38725</v>
      </c>
      <c r="C31" s="535"/>
      <c r="D31" s="219" t="s">
        <v>212</v>
      </c>
      <c r="E31" s="229">
        <v>0</v>
      </c>
      <c r="F31" s="536">
        <v>0</v>
      </c>
      <c r="G31" s="536"/>
      <c r="H31" s="229">
        <v>350.6</v>
      </c>
      <c r="I31" s="536">
        <v>24</v>
      </c>
      <c r="J31" s="536"/>
      <c r="K31" s="229">
        <v>307.89999999999998</v>
      </c>
      <c r="L31" s="230">
        <v>24</v>
      </c>
      <c r="M31" s="229">
        <v>0</v>
      </c>
      <c r="N31" s="230">
        <v>0</v>
      </c>
      <c r="O31" s="231">
        <v>658.5</v>
      </c>
      <c r="P31" s="222" t="s">
        <v>212</v>
      </c>
      <c r="Q31" s="229">
        <v>0</v>
      </c>
      <c r="R31" s="230">
        <v>0</v>
      </c>
      <c r="S31" s="229">
        <v>0</v>
      </c>
      <c r="T31" s="536">
        <v>0</v>
      </c>
      <c r="U31" s="536"/>
      <c r="V31" s="229">
        <v>0</v>
      </c>
      <c r="W31" s="222" t="s">
        <v>212</v>
      </c>
      <c r="X31" s="530">
        <v>658.5</v>
      </c>
      <c r="Y31" s="530"/>
      <c r="Z31" s="222" t="s">
        <v>212</v>
      </c>
      <c r="AA31" s="232">
        <v>8488800</v>
      </c>
      <c r="AB31" s="233">
        <v>0</v>
      </c>
      <c r="AC31" s="215"/>
    </row>
    <row r="32" spans="1:29" ht="2.25" customHeight="1">
      <c r="A32" s="215"/>
      <c r="B32" s="529" t="s">
        <v>212</v>
      </c>
      <c r="C32" s="529"/>
      <c r="D32" s="219" t="s">
        <v>212</v>
      </c>
      <c r="E32" s="222" t="s">
        <v>212</v>
      </c>
      <c r="F32" s="531" t="s">
        <v>212</v>
      </c>
      <c r="G32" s="531"/>
      <c r="H32" s="222" t="s">
        <v>212</v>
      </c>
      <c r="I32" s="531" t="s">
        <v>212</v>
      </c>
      <c r="J32" s="531"/>
      <c r="K32" s="222" t="s">
        <v>212</v>
      </c>
      <c r="L32" s="222" t="s">
        <v>212</v>
      </c>
      <c r="M32" s="222" t="s">
        <v>212</v>
      </c>
      <c r="N32" s="222" t="s">
        <v>212</v>
      </c>
      <c r="O32" s="222" t="s">
        <v>212</v>
      </c>
      <c r="P32" s="222" t="s">
        <v>212</v>
      </c>
      <c r="Q32" s="222" t="s">
        <v>212</v>
      </c>
      <c r="R32" s="222" t="s">
        <v>212</v>
      </c>
      <c r="S32" s="222" t="s">
        <v>212</v>
      </c>
      <c r="T32" s="531" t="s">
        <v>212</v>
      </c>
      <c r="U32" s="531"/>
      <c r="V32" s="222" t="s">
        <v>212</v>
      </c>
      <c r="W32" s="222" t="s">
        <v>212</v>
      </c>
      <c r="X32" s="531" t="s">
        <v>212</v>
      </c>
      <c r="Y32" s="531"/>
      <c r="Z32" s="222" t="s">
        <v>212</v>
      </c>
      <c r="AA32" s="222" t="s">
        <v>212</v>
      </c>
      <c r="AB32" s="222" t="s">
        <v>212</v>
      </c>
      <c r="AC32" s="215"/>
    </row>
    <row r="33" spans="1:29" ht="13.5" customHeight="1">
      <c r="A33" s="215"/>
      <c r="B33" s="532">
        <v>38726</v>
      </c>
      <c r="C33" s="532"/>
      <c r="D33" s="219" t="s">
        <v>212</v>
      </c>
      <c r="E33" s="224">
        <v>36.700000000000003</v>
      </c>
      <c r="F33" s="533">
        <v>8</v>
      </c>
      <c r="G33" s="533"/>
      <c r="H33" s="224">
        <v>343.2</v>
      </c>
      <c r="I33" s="533">
        <v>24</v>
      </c>
      <c r="J33" s="533"/>
      <c r="K33" s="224">
        <v>301.7</v>
      </c>
      <c r="L33" s="225">
        <v>24</v>
      </c>
      <c r="M33" s="224">
        <v>0</v>
      </c>
      <c r="N33" s="225">
        <v>0</v>
      </c>
      <c r="O33" s="226">
        <v>681.6</v>
      </c>
      <c r="P33" s="222" t="s">
        <v>212</v>
      </c>
      <c r="Q33" s="224">
        <v>0</v>
      </c>
      <c r="R33" s="225">
        <v>0</v>
      </c>
      <c r="S33" s="224">
        <v>0</v>
      </c>
      <c r="T33" s="533">
        <v>0</v>
      </c>
      <c r="U33" s="533"/>
      <c r="V33" s="224">
        <v>0</v>
      </c>
      <c r="W33" s="222" t="s">
        <v>212</v>
      </c>
      <c r="X33" s="534">
        <v>681.6</v>
      </c>
      <c r="Y33" s="534"/>
      <c r="Z33" s="222" t="s">
        <v>212</v>
      </c>
      <c r="AA33" s="227">
        <v>9297100</v>
      </c>
      <c r="AB33" s="228">
        <v>0</v>
      </c>
      <c r="AC33" s="215"/>
    </row>
    <row r="34" spans="1:29" ht="2.25" customHeight="1">
      <c r="A34" s="215"/>
      <c r="B34" s="529" t="s">
        <v>212</v>
      </c>
      <c r="C34" s="529"/>
      <c r="D34" s="219" t="s">
        <v>212</v>
      </c>
      <c r="E34" s="222" t="s">
        <v>212</v>
      </c>
      <c r="F34" s="531" t="s">
        <v>212</v>
      </c>
      <c r="G34" s="531"/>
      <c r="H34" s="222" t="s">
        <v>212</v>
      </c>
      <c r="I34" s="531" t="s">
        <v>212</v>
      </c>
      <c r="J34" s="531"/>
      <c r="K34" s="222" t="s">
        <v>212</v>
      </c>
      <c r="L34" s="222" t="s">
        <v>212</v>
      </c>
      <c r="M34" s="222" t="s">
        <v>212</v>
      </c>
      <c r="N34" s="222" t="s">
        <v>212</v>
      </c>
      <c r="O34" s="222" t="s">
        <v>212</v>
      </c>
      <c r="P34" s="222" t="s">
        <v>212</v>
      </c>
      <c r="Q34" s="222" t="s">
        <v>212</v>
      </c>
      <c r="R34" s="222" t="s">
        <v>212</v>
      </c>
      <c r="S34" s="222" t="s">
        <v>212</v>
      </c>
      <c r="T34" s="531" t="s">
        <v>212</v>
      </c>
      <c r="U34" s="531"/>
      <c r="V34" s="222" t="s">
        <v>212</v>
      </c>
      <c r="W34" s="222" t="s">
        <v>212</v>
      </c>
      <c r="X34" s="531" t="s">
        <v>212</v>
      </c>
      <c r="Y34" s="531"/>
      <c r="Z34" s="222" t="s">
        <v>212</v>
      </c>
      <c r="AA34" s="222" t="s">
        <v>212</v>
      </c>
      <c r="AB34" s="222" t="s">
        <v>212</v>
      </c>
      <c r="AC34" s="215"/>
    </row>
    <row r="35" spans="1:29" ht="13.5" customHeight="1">
      <c r="A35" s="215"/>
      <c r="B35" s="535">
        <v>38727</v>
      </c>
      <c r="C35" s="535"/>
      <c r="D35" s="219" t="s">
        <v>212</v>
      </c>
      <c r="E35" s="229">
        <v>84.1</v>
      </c>
      <c r="F35" s="536">
        <v>10</v>
      </c>
      <c r="G35" s="536"/>
      <c r="H35" s="229">
        <v>306</v>
      </c>
      <c r="I35" s="536">
        <v>24</v>
      </c>
      <c r="J35" s="536"/>
      <c r="K35" s="229">
        <v>265.39999999999998</v>
      </c>
      <c r="L35" s="230">
        <v>24</v>
      </c>
      <c r="M35" s="229">
        <v>0</v>
      </c>
      <c r="N35" s="230">
        <v>0</v>
      </c>
      <c r="O35" s="231">
        <v>655.5</v>
      </c>
      <c r="P35" s="222" t="s">
        <v>212</v>
      </c>
      <c r="Q35" s="229">
        <v>0</v>
      </c>
      <c r="R35" s="230">
        <v>0</v>
      </c>
      <c r="S35" s="229">
        <v>0</v>
      </c>
      <c r="T35" s="536">
        <v>0</v>
      </c>
      <c r="U35" s="536"/>
      <c r="V35" s="229">
        <v>0</v>
      </c>
      <c r="W35" s="222" t="s">
        <v>212</v>
      </c>
      <c r="X35" s="530">
        <v>655.5</v>
      </c>
      <c r="Y35" s="530"/>
      <c r="Z35" s="222" t="s">
        <v>212</v>
      </c>
      <c r="AA35" s="232">
        <v>9120300</v>
      </c>
      <c r="AB35" s="233">
        <v>0</v>
      </c>
      <c r="AC35" s="215"/>
    </row>
    <row r="36" spans="1:29" ht="2.25" customHeight="1">
      <c r="A36" s="215"/>
      <c r="B36" s="529" t="s">
        <v>212</v>
      </c>
      <c r="C36" s="529"/>
      <c r="D36" s="219" t="s">
        <v>212</v>
      </c>
      <c r="E36" s="222" t="s">
        <v>212</v>
      </c>
      <c r="F36" s="531" t="s">
        <v>212</v>
      </c>
      <c r="G36" s="531"/>
      <c r="H36" s="222" t="s">
        <v>212</v>
      </c>
      <c r="I36" s="531" t="s">
        <v>212</v>
      </c>
      <c r="J36" s="531"/>
      <c r="K36" s="222" t="s">
        <v>212</v>
      </c>
      <c r="L36" s="222" t="s">
        <v>212</v>
      </c>
      <c r="M36" s="222" t="s">
        <v>212</v>
      </c>
      <c r="N36" s="222" t="s">
        <v>212</v>
      </c>
      <c r="O36" s="222" t="s">
        <v>212</v>
      </c>
      <c r="P36" s="222" t="s">
        <v>212</v>
      </c>
      <c r="Q36" s="222" t="s">
        <v>212</v>
      </c>
      <c r="R36" s="222" t="s">
        <v>212</v>
      </c>
      <c r="S36" s="222" t="s">
        <v>212</v>
      </c>
      <c r="T36" s="531" t="s">
        <v>212</v>
      </c>
      <c r="U36" s="531"/>
      <c r="V36" s="222" t="s">
        <v>212</v>
      </c>
      <c r="W36" s="222" t="s">
        <v>212</v>
      </c>
      <c r="X36" s="531" t="s">
        <v>212</v>
      </c>
      <c r="Y36" s="531"/>
      <c r="Z36" s="222" t="s">
        <v>212</v>
      </c>
      <c r="AA36" s="222" t="s">
        <v>212</v>
      </c>
      <c r="AB36" s="222" t="s">
        <v>212</v>
      </c>
      <c r="AC36" s="215"/>
    </row>
    <row r="37" spans="1:29" ht="13.5" customHeight="1">
      <c r="A37" s="215"/>
      <c r="B37" s="532">
        <v>38728</v>
      </c>
      <c r="C37" s="532"/>
      <c r="D37" s="219" t="s">
        <v>212</v>
      </c>
      <c r="E37" s="224">
        <v>93.3</v>
      </c>
      <c r="F37" s="533">
        <v>11</v>
      </c>
      <c r="G37" s="533"/>
      <c r="H37" s="224">
        <v>347.2</v>
      </c>
      <c r="I37" s="533">
        <v>24</v>
      </c>
      <c r="J37" s="533"/>
      <c r="K37" s="224">
        <v>295.5</v>
      </c>
      <c r="L37" s="225">
        <v>24</v>
      </c>
      <c r="M37" s="224">
        <v>0</v>
      </c>
      <c r="N37" s="225">
        <v>0</v>
      </c>
      <c r="O37" s="226">
        <v>736</v>
      </c>
      <c r="P37" s="222" t="s">
        <v>212</v>
      </c>
      <c r="Q37" s="224">
        <v>0</v>
      </c>
      <c r="R37" s="225">
        <v>24</v>
      </c>
      <c r="S37" s="224">
        <v>0</v>
      </c>
      <c r="T37" s="533">
        <v>0</v>
      </c>
      <c r="U37" s="533"/>
      <c r="V37" s="224">
        <v>0</v>
      </c>
      <c r="W37" s="222" t="s">
        <v>212</v>
      </c>
      <c r="X37" s="534">
        <v>736</v>
      </c>
      <c r="Y37" s="534"/>
      <c r="Z37" s="222" t="s">
        <v>212</v>
      </c>
      <c r="AA37" s="227">
        <v>9856300</v>
      </c>
      <c r="AB37" s="228">
        <v>0</v>
      </c>
      <c r="AC37" s="215"/>
    </row>
    <row r="38" spans="1:29" ht="2.25" customHeight="1">
      <c r="A38" s="215"/>
      <c r="B38" s="529" t="s">
        <v>212</v>
      </c>
      <c r="C38" s="529"/>
      <c r="D38" s="219" t="s">
        <v>212</v>
      </c>
      <c r="E38" s="222" t="s">
        <v>212</v>
      </c>
      <c r="F38" s="531" t="s">
        <v>212</v>
      </c>
      <c r="G38" s="531"/>
      <c r="H38" s="222" t="s">
        <v>212</v>
      </c>
      <c r="I38" s="531" t="s">
        <v>212</v>
      </c>
      <c r="J38" s="531"/>
      <c r="K38" s="222" t="s">
        <v>212</v>
      </c>
      <c r="L38" s="222" t="s">
        <v>212</v>
      </c>
      <c r="M38" s="222" t="s">
        <v>212</v>
      </c>
      <c r="N38" s="222" t="s">
        <v>212</v>
      </c>
      <c r="O38" s="222" t="s">
        <v>212</v>
      </c>
      <c r="P38" s="222" t="s">
        <v>212</v>
      </c>
      <c r="Q38" s="222" t="s">
        <v>212</v>
      </c>
      <c r="R38" s="222" t="s">
        <v>212</v>
      </c>
      <c r="S38" s="222" t="s">
        <v>212</v>
      </c>
      <c r="T38" s="531" t="s">
        <v>212</v>
      </c>
      <c r="U38" s="531"/>
      <c r="V38" s="222" t="s">
        <v>212</v>
      </c>
      <c r="W38" s="222" t="s">
        <v>212</v>
      </c>
      <c r="X38" s="531" t="s">
        <v>212</v>
      </c>
      <c r="Y38" s="531"/>
      <c r="Z38" s="222" t="s">
        <v>212</v>
      </c>
      <c r="AA38" s="222" t="s">
        <v>212</v>
      </c>
      <c r="AB38" s="222" t="s">
        <v>212</v>
      </c>
      <c r="AC38" s="215"/>
    </row>
    <row r="39" spans="1:29" ht="13.5" customHeight="1">
      <c r="A39" s="215"/>
      <c r="B39" s="535">
        <v>38729</v>
      </c>
      <c r="C39" s="535"/>
      <c r="D39" s="219" t="s">
        <v>212</v>
      </c>
      <c r="E39" s="229">
        <v>19.2</v>
      </c>
      <c r="F39" s="536">
        <v>2</v>
      </c>
      <c r="G39" s="536"/>
      <c r="H39" s="229">
        <v>343.7</v>
      </c>
      <c r="I39" s="536">
        <v>24</v>
      </c>
      <c r="J39" s="536"/>
      <c r="K39" s="229">
        <v>281</v>
      </c>
      <c r="L39" s="230">
        <v>24</v>
      </c>
      <c r="M39" s="229">
        <v>0</v>
      </c>
      <c r="N39" s="230">
        <v>0</v>
      </c>
      <c r="O39" s="231">
        <v>643.9</v>
      </c>
      <c r="P39" s="222" t="s">
        <v>212</v>
      </c>
      <c r="Q39" s="229">
        <v>0</v>
      </c>
      <c r="R39" s="230">
        <v>0</v>
      </c>
      <c r="S39" s="229">
        <v>0</v>
      </c>
      <c r="T39" s="536">
        <v>0</v>
      </c>
      <c r="U39" s="536"/>
      <c r="V39" s="229">
        <v>0</v>
      </c>
      <c r="W39" s="222" t="s">
        <v>212</v>
      </c>
      <c r="X39" s="530">
        <v>643.9</v>
      </c>
      <c r="Y39" s="530"/>
      <c r="Z39" s="222" t="s">
        <v>212</v>
      </c>
      <c r="AA39" s="232">
        <v>8526600</v>
      </c>
      <c r="AB39" s="233">
        <v>0</v>
      </c>
      <c r="AC39" s="215"/>
    </row>
    <row r="40" spans="1:29" ht="2.25" customHeight="1">
      <c r="A40" s="215"/>
      <c r="B40" s="529" t="s">
        <v>212</v>
      </c>
      <c r="C40" s="529"/>
      <c r="D40" s="219" t="s">
        <v>212</v>
      </c>
      <c r="E40" s="222" t="s">
        <v>212</v>
      </c>
      <c r="F40" s="531" t="s">
        <v>212</v>
      </c>
      <c r="G40" s="531"/>
      <c r="H40" s="222" t="s">
        <v>212</v>
      </c>
      <c r="I40" s="531" t="s">
        <v>212</v>
      </c>
      <c r="J40" s="531"/>
      <c r="K40" s="222" t="s">
        <v>212</v>
      </c>
      <c r="L40" s="222" t="s">
        <v>212</v>
      </c>
      <c r="M40" s="222" t="s">
        <v>212</v>
      </c>
      <c r="N40" s="222" t="s">
        <v>212</v>
      </c>
      <c r="O40" s="222" t="s">
        <v>212</v>
      </c>
      <c r="P40" s="222" t="s">
        <v>212</v>
      </c>
      <c r="Q40" s="222" t="s">
        <v>212</v>
      </c>
      <c r="R40" s="222" t="s">
        <v>212</v>
      </c>
      <c r="S40" s="222" t="s">
        <v>212</v>
      </c>
      <c r="T40" s="531" t="s">
        <v>212</v>
      </c>
      <c r="U40" s="531"/>
      <c r="V40" s="222" t="s">
        <v>212</v>
      </c>
      <c r="W40" s="222" t="s">
        <v>212</v>
      </c>
      <c r="X40" s="531" t="s">
        <v>212</v>
      </c>
      <c r="Y40" s="531"/>
      <c r="Z40" s="222" t="s">
        <v>212</v>
      </c>
      <c r="AA40" s="222" t="s">
        <v>212</v>
      </c>
      <c r="AB40" s="222" t="s">
        <v>212</v>
      </c>
      <c r="AC40" s="215"/>
    </row>
    <row r="41" spans="1:29" ht="13.5" customHeight="1">
      <c r="A41" s="215"/>
      <c r="B41" s="532">
        <v>38730</v>
      </c>
      <c r="C41" s="532"/>
      <c r="D41" s="219" t="s">
        <v>212</v>
      </c>
      <c r="E41" s="224">
        <v>95.8</v>
      </c>
      <c r="F41" s="533">
        <v>12</v>
      </c>
      <c r="G41" s="533"/>
      <c r="H41" s="224">
        <v>344.9</v>
      </c>
      <c r="I41" s="533">
        <v>24</v>
      </c>
      <c r="J41" s="533"/>
      <c r="K41" s="224">
        <v>285.3</v>
      </c>
      <c r="L41" s="225">
        <v>24</v>
      </c>
      <c r="M41" s="224">
        <v>0</v>
      </c>
      <c r="N41" s="225">
        <v>0</v>
      </c>
      <c r="O41" s="226">
        <v>726</v>
      </c>
      <c r="P41" s="222" t="s">
        <v>212</v>
      </c>
      <c r="Q41" s="224">
        <v>0</v>
      </c>
      <c r="R41" s="225">
        <v>0</v>
      </c>
      <c r="S41" s="224">
        <v>0</v>
      </c>
      <c r="T41" s="533">
        <v>0</v>
      </c>
      <c r="U41" s="533"/>
      <c r="V41" s="224">
        <v>0</v>
      </c>
      <c r="W41" s="222" t="s">
        <v>212</v>
      </c>
      <c r="X41" s="534">
        <v>726</v>
      </c>
      <c r="Y41" s="534"/>
      <c r="Z41" s="222" t="s">
        <v>212</v>
      </c>
      <c r="AA41" s="227">
        <v>9922800</v>
      </c>
      <c r="AB41" s="228">
        <v>0</v>
      </c>
      <c r="AC41" s="215"/>
    </row>
    <row r="42" spans="1:29" ht="2.25" customHeight="1">
      <c r="A42" s="215"/>
      <c r="B42" s="529" t="s">
        <v>212</v>
      </c>
      <c r="C42" s="529"/>
      <c r="D42" s="219" t="s">
        <v>212</v>
      </c>
      <c r="E42" s="222" t="s">
        <v>212</v>
      </c>
      <c r="F42" s="531" t="s">
        <v>212</v>
      </c>
      <c r="G42" s="531"/>
      <c r="H42" s="222" t="s">
        <v>212</v>
      </c>
      <c r="I42" s="531" t="s">
        <v>212</v>
      </c>
      <c r="J42" s="531"/>
      <c r="K42" s="222" t="s">
        <v>212</v>
      </c>
      <c r="L42" s="222" t="s">
        <v>212</v>
      </c>
      <c r="M42" s="222" t="s">
        <v>212</v>
      </c>
      <c r="N42" s="222" t="s">
        <v>212</v>
      </c>
      <c r="O42" s="222" t="s">
        <v>212</v>
      </c>
      <c r="P42" s="222" t="s">
        <v>212</v>
      </c>
      <c r="Q42" s="222" t="s">
        <v>212</v>
      </c>
      <c r="R42" s="222" t="s">
        <v>212</v>
      </c>
      <c r="S42" s="222" t="s">
        <v>212</v>
      </c>
      <c r="T42" s="531" t="s">
        <v>212</v>
      </c>
      <c r="U42" s="531"/>
      <c r="V42" s="222" t="s">
        <v>212</v>
      </c>
      <c r="W42" s="222" t="s">
        <v>212</v>
      </c>
      <c r="X42" s="531" t="s">
        <v>212</v>
      </c>
      <c r="Y42" s="531"/>
      <c r="Z42" s="222" t="s">
        <v>212</v>
      </c>
      <c r="AA42" s="222" t="s">
        <v>212</v>
      </c>
      <c r="AB42" s="222" t="s">
        <v>212</v>
      </c>
      <c r="AC42" s="215"/>
    </row>
    <row r="43" spans="1:29" ht="13.5" customHeight="1">
      <c r="A43" s="215"/>
      <c r="B43" s="535">
        <v>38731</v>
      </c>
      <c r="C43" s="535"/>
      <c r="D43" s="219" t="s">
        <v>212</v>
      </c>
      <c r="E43" s="229">
        <v>44.7</v>
      </c>
      <c r="F43" s="536">
        <v>6</v>
      </c>
      <c r="G43" s="536"/>
      <c r="H43" s="229">
        <v>332.4</v>
      </c>
      <c r="I43" s="536">
        <v>24</v>
      </c>
      <c r="J43" s="536"/>
      <c r="K43" s="229">
        <v>264.7</v>
      </c>
      <c r="L43" s="230">
        <v>24</v>
      </c>
      <c r="M43" s="229">
        <v>0</v>
      </c>
      <c r="N43" s="230">
        <v>0</v>
      </c>
      <c r="O43" s="231">
        <v>641.79999999999995</v>
      </c>
      <c r="P43" s="222" t="s">
        <v>212</v>
      </c>
      <c r="Q43" s="229">
        <v>0</v>
      </c>
      <c r="R43" s="230">
        <v>0</v>
      </c>
      <c r="S43" s="229">
        <v>0</v>
      </c>
      <c r="T43" s="536">
        <v>0</v>
      </c>
      <c r="U43" s="536"/>
      <c r="V43" s="229">
        <v>0</v>
      </c>
      <c r="W43" s="222" t="s">
        <v>212</v>
      </c>
      <c r="X43" s="530">
        <v>641.79999999999995</v>
      </c>
      <c r="Y43" s="530"/>
      <c r="Z43" s="222" t="s">
        <v>212</v>
      </c>
      <c r="AA43" s="232">
        <v>8770800</v>
      </c>
      <c r="AB43" s="233">
        <v>0</v>
      </c>
      <c r="AC43" s="215"/>
    </row>
    <row r="44" spans="1:29" ht="2.25" customHeight="1">
      <c r="A44" s="215"/>
      <c r="B44" s="529" t="s">
        <v>212</v>
      </c>
      <c r="C44" s="529"/>
      <c r="D44" s="219" t="s">
        <v>212</v>
      </c>
      <c r="E44" s="222" t="s">
        <v>212</v>
      </c>
      <c r="F44" s="531" t="s">
        <v>212</v>
      </c>
      <c r="G44" s="531"/>
      <c r="H44" s="222" t="s">
        <v>212</v>
      </c>
      <c r="I44" s="531" t="s">
        <v>212</v>
      </c>
      <c r="J44" s="531"/>
      <c r="K44" s="222" t="s">
        <v>212</v>
      </c>
      <c r="L44" s="222" t="s">
        <v>212</v>
      </c>
      <c r="M44" s="222" t="s">
        <v>212</v>
      </c>
      <c r="N44" s="222" t="s">
        <v>212</v>
      </c>
      <c r="O44" s="222" t="s">
        <v>212</v>
      </c>
      <c r="P44" s="222" t="s">
        <v>212</v>
      </c>
      <c r="Q44" s="222" t="s">
        <v>212</v>
      </c>
      <c r="R44" s="222" t="s">
        <v>212</v>
      </c>
      <c r="S44" s="222" t="s">
        <v>212</v>
      </c>
      <c r="T44" s="531" t="s">
        <v>212</v>
      </c>
      <c r="U44" s="531"/>
      <c r="V44" s="222" t="s">
        <v>212</v>
      </c>
      <c r="W44" s="222" t="s">
        <v>212</v>
      </c>
      <c r="X44" s="531" t="s">
        <v>212</v>
      </c>
      <c r="Y44" s="531"/>
      <c r="Z44" s="222" t="s">
        <v>212</v>
      </c>
      <c r="AA44" s="222" t="s">
        <v>212</v>
      </c>
      <c r="AB44" s="222" t="s">
        <v>212</v>
      </c>
      <c r="AC44" s="215"/>
    </row>
    <row r="45" spans="1:29" ht="13.5" customHeight="1">
      <c r="A45" s="215"/>
      <c r="B45" s="532">
        <v>38732</v>
      </c>
      <c r="C45" s="532"/>
      <c r="D45" s="219" t="s">
        <v>212</v>
      </c>
      <c r="E45" s="224">
        <v>0</v>
      </c>
      <c r="F45" s="533">
        <v>0</v>
      </c>
      <c r="G45" s="533"/>
      <c r="H45" s="224">
        <v>322.39999999999998</v>
      </c>
      <c r="I45" s="533">
        <v>24</v>
      </c>
      <c r="J45" s="533"/>
      <c r="K45" s="224">
        <v>246.7</v>
      </c>
      <c r="L45" s="225">
        <v>24</v>
      </c>
      <c r="M45" s="224">
        <v>0</v>
      </c>
      <c r="N45" s="225">
        <v>0</v>
      </c>
      <c r="O45" s="226">
        <v>569.1</v>
      </c>
      <c r="P45" s="222" t="s">
        <v>212</v>
      </c>
      <c r="Q45" s="224">
        <v>0</v>
      </c>
      <c r="R45" s="225">
        <v>0</v>
      </c>
      <c r="S45" s="224">
        <v>0</v>
      </c>
      <c r="T45" s="533">
        <v>0</v>
      </c>
      <c r="U45" s="533"/>
      <c r="V45" s="224">
        <v>0</v>
      </c>
      <c r="W45" s="222" t="s">
        <v>212</v>
      </c>
      <c r="X45" s="534">
        <v>569.1</v>
      </c>
      <c r="Y45" s="534"/>
      <c r="Z45" s="222" t="s">
        <v>212</v>
      </c>
      <c r="AA45" s="227">
        <v>7760200</v>
      </c>
      <c r="AB45" s="228">
        <v>0</v>
      </c>
      <c r="AC45" s="215"/>
    </row>
    <row r="46" spans="1:29" ht="2.25" customHeight="1">
      <c r="A46" s="215"/>
      <c r="B46" s="529" t="s">
        <v>212</v>
      </c>
      <c r="C46" s="529"/>
      <c r="D46" s="219" t="s">
        <v>212</v>
      </c>
      <c r="E46" s="222" t="s">
        <v>212</v>
      </c>
      <c r="F46" s="531" t="s">
        <v>212</v>
      </c>
      <c r="G46" s="531"/>
      <c r="H46" s="222" t="s">
        <v>212</v>
      </c>
      <c r="I46" s="531" t="s">
        <v>212</v>
      </c>
      <c r="J46" s="531"/>
      <c r="K46" s="222" t="s">
        <v>212</v>
      </c>
      <c r="L46" s="222" t="s">
        <v>212</v>
      </c>
      <c r="M46" s="222" t="s">
        <v>212</v>
      </c>
      <c r="N46" s="222" t="s">
        <v>212</v>
      </c>
      <c r="O46" s="222" t="s">
        <v>212</v>
      </c>
      <c r="P46" s="222" t="s">
        <v>212</v>
      </c>
      <c r="Q46" s="222" t="s">
        <v>212</v>
      </c>
      <c r="R46" s="222" t="s">
        <v>212</v>
      </c>
      <c r="S46" s="222" t="s">
        <v>212</v>
      </c>
      <c r="T46" s="531" t="s">
        <v>212</v>
      </c>
      <c r="U46" s="531"/>
      <c r="V46" s="222" t="s">
        <v>212</v>
      </c>
      <c r="W46" s="222" t="s">
        <v>212</v>
      </c>
      <c r="X46" s="531" t="s">
        <v>212</v>
      </c>
      <c r="Y46" s="531"/>
      <c r="Z46" s="222" t="s">
        <v>212</v>
      </c>
      <c r="AA46" s="222" t="s">
        <v>212</v>
      </c>
      <c r="AB46" s="222" t="s">
        <v>212</v>
      </c>
      <c r="AC46" s="215"/>
    </row>
    <row r="47" spans="1:29" ht="13.5" customHeight="1">
      <c r="A47" s="215"/>
      <c r="B47" s="535">
        <v>38733</v>
      </c>
      <c r="C47" s="535"/>
      <c r="D47" s="219" t="s">
        <v>212</v>
      </c>
      <c r="E47" s="229">
        <v>0</v>
      </c>
      <c r="F47" s="536">
        <v>0</v>
      </c>
      <c r="G47" s="536"/>
      <c r="H47" s="229">
        <v>261.60000000000002</v>
      </c>
      <c r="I47" s="536">
        <v>24</v>
      </c>
      <c r="J47" s="536"/>
      <c r="K47" s="229">
        <v>232.1</v>
      </c>
      <c r="L47" s="230">
        <v>24</v>
      </c>
      <c r="M47" s="229">
        <v>0</v>
      </c>
      <c r="N47" s="230">
        <v>0</v>
      </c>
      <c r="O47" s="231">
        <v>493.7</v>
      </c>
      <c r="P47" s="222" t="s">
        <v>212</v>
      </c>
      <c r="Q47" s="229">
        <v>0</v>
      </c>
      <c r="R47" s="230">
        <v>0</v>
      </c>
      <c r="S47" s="229">
        <v>0</v>
      </c>
      <c r="T47" s="536">
        <v>0</v>
      </c>
      <c r="U47" s="536"/>
      <c r="V47" s="229">
        <v>0</v>
      </c>
      <c r="W47" s="222" t="s">
        <v>212</v>
      </c>
      <c r="X47" s="530">
        <v>493.7</v>
      </c>
      <c r="Y47" s="530"/>
      <c r="Z47" s="222" t="s">
        <v>212</v>
      </c>
      <c r="AA47" s="232">
        <v>7175900</v>
      </c>
      <c r="AB47" s="233">
        <v>0</v>
      </c>
      <c r="AC47" s="215"/>
    </row>
    <row r="48" spans="1:29" ht="2.25" customHeight="1">
      <c r="A48" s="215"/>
      <c r="B48" s="529" t="s">
        <v>212</v>
      </c>
      <c r="C48" s="529"/>
      <c r="D48" s="219" t="s">
        <v>212</v>
      </c>
      <c r="E48" s="222" t="s">
        <v>212</v>
      </c>
      <c r="F48" s="531" t="s">
        <v>212</v>
      </c>
      <c r="G48" s="531"/>
      <c r="H48" s="222" t="s">
        <v>212</v>
      </c>
      <c r="I48" s="531" t="s">
        <v>212</v>
      </c>
      <c r="J48" s="531"/>
      <c r="K48" s="222" t="s">
        <v>212</v>
      </c>
      <c r="L48" s="222" t="s">
        <v>212</v>
      </c>
      <c r="M48" s="222" t="s">
        <v>212</v>
      </c>
      <c r="N48" s="222" t="s">
        <v>212</v>
      </c>
      <c r="O48" s="222" t="s">
        <v>212</v>
      </c>
      <c r="P48" s="222" t="s">
        <v>212</v>
      </c>
      <c r="Q48" s="222" t="s">
        <v>212</v>
      </c>
      <c r="R48" s="222" t="s">
        <v>212</v>
      </c>
      <c r="S48" s="222" t="s">
        <v>212</v>
      </c>
      <c r="T48" s="531" t="s">
        <v>212</v>
      </c>
      <c r="U48" s="531"/>
      <c r="V48" s="222" t="s">
        <v>212</v>
      </c>
      <c r="W48" s="222" t="s">
        <v>212</v>
      </c>
      <c r="X48" s="531" t="s">
        <v>212</v>
      </c>
      <c r="Y48" s="531"/>
      <c r="Z48" s="222" t="s">
        <v>212</v>
      </c>
      <c r="AA48" s="222" t="s">
        <v>212</v>
      </c>
      <c r="AB48" s="222" t="s">
        <v>212</v>
      </c>
      <c r="AC48" s="215"/>
    </row>
    <row r="49" spans="1:29" ht="13.5" customHeight="1">
      <c r="A49" s="215"/>
      <c r="B49" s="532">
        <v>38734</v>
      </c>
      <c r="C49" s="532"/>
      <c r="D49" s="219" t="s">
        <v>212</v>
      </c>
      <c r="E49" s="224">
        <v>0</v>
      </c>
      <c r="F49" s="533">
        <v>0</v>
      </c>
      <c r="G49" s="533"/>
      <c r="H49" s="224">
        <v>227.6</v>
      </c>
      <c r="I49" s="533">
        <v>24</v>
      </c>
      <c r="J49" s="533"/>
      <c r="K49" s="224">
        <v>217.6</v>
      </c>
      <c r="L49" s="225">
        <v>24</v>
      </c>
      <c r="M49" s="224">
        <v>0</v>
      </c>
      <c r="N49" s="225">
        <v>0</v>
      </c>
      <c r="O49" s="226">
        <v>445.2</v>
      </c>
      <c r="P49" s="222" t="s">
        <v>212</v>
      </c>
      <c r="Q49" s="224">
        <v>0</v>
      </c>
      <c r="R49" s="225">
        <v>0</v>
      </c>
      <c r="S49" s="224">
        <v>0</v>
      </c>
      <c r="T49" s="533">
        <v>0</v>
      </c>
      <c r="U49" s="533"/>
      <c r="V49" s="224">
        <v>0</v>
      </c>
      <c r="W49" s="222" t="s">
        <v>212</v>
      </c>
      <c r="X49" s="534">
        <v>445.2</v>
      </c>
      <c r="Y49" s="534"/>
      <c r="Z49" s="222" t="s">
        <v>212</v>
      </c>
      <c r="AA49" s="227">
        <v>6800700</v>
      </c>
      <c r="AB49" s="228">
        <v>2450</v>
      </c>
      <c r="AC49" s="215"/>
    </row>
    <row r="50" spans="1:29" ht="2.25" customHeight="1">
      <c r="A50" s="215"/>
      <c r="B50" s="529" t="s">
        <v>212</v>
      </c>
      <c r="C50" s="529"/>
      <c r="D50" s="219" t="s">
        <v>212</v>
      </c>
      <c r="E50" s="222" t="s">
        <v>212</v>
      </c>
      <c r="F50" s="531" t="s">
        <v>212</v>
      </c>
      <c r="G50" s="531"/>
      <c r="H50" s="222" t="s">
        <v>212</v>
      </c>
      <c r="I50" s="531" t="s">
        <v>212</v>
      </c>
      <c r="J50" s="531"/>
      <c r="K50" s="222" t="s">
        <v>212</v>
      </c>
      <c r="L50" s="222" t="s">
        <v>212</v>
      </c>
      <c r="M50" s="222" t="s">
        <v>212</v>
      </c>
      <c r="N50" s="222" t="s">
        <v>212</v>
      </c>
      <c r="O50" s="222" t="s">
        <v>212</v>
      </c>
      <c r="P50" s="222" t="s">
        <v>212</v>
      </c>
      <c r="Q50" s="222" t="s">
        <v>212</v>
      </c>
      <c r="R50" s="222" t="s">
        <v>212</v>
      </c>
      <c r="S50" s="222" t="s">
        <v>212</v>
      </c>
      <c r="T50" s="531" t="s">
        <v>212</v>
      </c>
      <c r="U50" s="531"/>
      <c r="V50" s="222" t="s">
        <v>212</v>
      </c>
      <c r="W50" s="222" t="s">
        <v>212</v>
      </c>
      <c r="X50" s="531" t="s">
        <v>212</v>
      </c>
      <c r="Y50" s="531"/>
      <c r="Z50" s="222" t="s">
        <v>212</v>
      </c>
      <c r="AA50" s="222" t="s">
        <v>212</v>
      </c>
      <c r="AB50" s="222" t="s">
        <v>212</v>
      </c>
      <c r="AC50" s="215"/>
    </row>
    <row r="51" spans="1:29" ht="13.5" customHeight="1">
      <c r="A51" s="215"/>
      <c r="B51" s="535">
        <v>38735</v>
      </c>
      <c r="C51" s="535"/>
      <c r="D51" s="219" t="s">
        <v>212</v>
      </c>
      <c r="E51" s="229">
        <v>0</v>
      </c>
      <c r="F51" s="536">
        <v>0</v>
      </c>
      <c r="G51" s="536"/>
      <c r="H51" s="229">
        <v>254.1</v>
      </c>
      <c r="I51" s="536">
        <v>24</v>
      </c>
      <c r="J51" s="536"/>
      <c r="K51" s="229">
        <v>242.3</v>
      </c>
      <c r="L51" s="230">
        <v>24</v>
      </c>
      <c r="M51" s="229">
        <v>0</v>
      </c>
      <c r="N51" s="230">
        <v>0</v>
      </c>
      <c r="O51" s="231">
        <v>496.4</v>
      </c>
      <c r="P51" s="222" t="s">
        <v>212</v>
      </c>
      <c r="Q51" s="229">
        <v>0</v>
      </c>
      <c r="R51" s="230">
        <v>24</v>
      </c>
      <c r="S51" s="229">
        <v>0</v>
      </c>
      <c r="T51" s="536">
        <v>0</v>
      </c>
      <c r="U51" s="536"/>
      <c r="V51" s="229">
        <v>0</v>
      </c>
      <c r="W51" s="222" t="s">
        <v>212</v>
      </c>
      <c r="X51" s="530">
        <v>496.4</v>
      </c>
      <c r="Y51" s="530"/>
      <c r="Z51" s="222" t="s">
        <v>212</v>
      </c>
      <c r="AA51" s="232">
        <v>7219000</v>
      </c>
      <c r="AB51" s="233">
        <v>233</v>
      </c>
      <c r="AC51" s="215"/>
    </row>
    <row r="52" spans="1:29" ht="2.25" customHeight="1">
      <c r="A52" s="215"/>
      <c r="B52" s="529" t="s">
        <v>212</v>
      </c>
      <c r="C52" s="529"/>
      <c r="D52" s="219" t="s">
        <v>212</v>
      </c>
      <c r="E52" s="222" t="s">
        <v>212</v>
      </c>
      <c r="F52" s="531" t="s">
        <v>212</v>
      </c>
      <c r="G52" s="531"/>
      <c r="H52" s="222" t="s">
        <v>212</v>
      </c>
      <c r="I52" s="531" t="s">
        <v>212</v>
      </c>
      <c r="J52" s="531"/>
      <c r="K52" s="222" t="s">
        <v>212</v>
      </c>
      <c r="L52" s="222" t="s">
        <v>212</v>
      </c>
      <c r="M52" s="222" t="s">
        <v>212</v>
      </c>
      <c r="N52" s="222" t="s">
        <v>212</v>
      </c>
      <c r="O52" s="222" t="s">
        <v>212</v>
      </c>
      <c r="P52" s="222" t="s">
        <v>212</v>
      </c>
      <c r="Q52" s="222" t="s">
        <v>212</v>
      </c>
      <c r="R52" s="222" t="s">
        <v>212</v>
      </c>
      <c r="S52" s="222" t="s">
        <v>212</v>
      </c>
      <c r="T52" s="531" t="s">
        <v>212</v>
      </c>
      <c r="U52" s="531"/>
      <c r="V52" s="222" t="s">
        <v>212</v>
      </c>
      <c r="W52" s="222" t="s">
        <v>212</v>
      </c>
      <c r="X52" s="531" t="s">
        <v>212</v>
      </c>
      <c r="Y52" s="531"/>
      <c r="Z52" s="222" t="s">
        <v>212</v>
      </c>
      <c r="AA52" s="222" t="s">
        <v>212</v>
      </c>
      <c r="AB52" s="222" t="s">
        <v>212</v>
      </c>
      <c r="AC52" s="215"/>
    </row>
    <row r="53" spans="1:29" ht="13.5" customHeight="1">
      <c r="A53" s="215"/>
      <c r="B53" s="532">
        <v>38736</v>
      </c>
      <c r="C53" s="532"/>
      <c r="D53" s="219" t="s">
        <v>212</v>
      </c>
      <c r="E53" s="224">
        <v>13.7</v>
      </c>
      <c r="F53" s="533">
        <v>2</v>
      </c>
      <c r="G53" s="533"/>
      <c r="H53" s="224">
        <v>268.8</v>
      </c>
      <c r="I53" s="533">
        <v>24</v>
      </c>
      <c r="J53" s="533"/>
      <c r="K53" s="224">
        <v>207.6</v>
      </c>
      <c r="L53" s="225">
        <v>24</v>
      </c>
      <c r="M53" s="224">
        <v>0</v>
      </c>
      <c r="N53" s="225">
        <v>0</v>
      </c>
      <c r="O53" s="226">
        <v>490.1</v>
      </c>
      <c r="P53" s="222" t="s">
        <v>212</v>
      </c>
      <c r="Q53" s="224">
        <v>0</v>
      </c>
      <c r="R53" s="225">
        <v>0</v>
      </c>
      <c r="S53" s="224">
        <v>0</v>
      </c>
      <c r="T53" s="533">
        <v>0</v>
      </c>
      <c r="U53" s="533"/>
      <c r="V53" s="224">
        <v>0</v>
      </c>
      <c r="W53" s="222" t="s">
        <v>212</v>
      </c>
      <c r="X53" s="534">
        <v>490.1</v>
      </c>
      <c r="Y53" s="534"/>
      <c r="Z53" s="222" t="s">
        <v>212</v>
      </c>
      <c r="AA53" s="227">
        <v>6552000</v>
      </c>
      <c r="AB53" s="228">
        <v>18698</v>
      </c>
      <c r="AC53" s="215"/>
    </row>
    <row r="54" spans="1:29" ht="2.25" customHeight="1">
      <c r="A54" s="215"/>
      <c r="B54" s="529" t="s">
        <v>212</v>
      </c>
      <c r="C54" s="529"/>
      <c r="D54" s="219" t="s">
        <v>212</v>
      </c>
      <c r="E54" s="222" t="s">
        <v>212</v>
      </c>
      <c r="F54" s="531" t="s">
        <v>212</v>
      </c>
      <c r="G54" s="531"/>
      <c r="H54" s="222" t="s">
        <v>212</v>
      </c>
      <c r="I54" s="531" t="s">
        <v>212</v>
      </c>
      <c r="J54" s="531"/>
      <c r="K54" s="222" t="s">
        <v>212</v>
      </c>
      <c r="L54" s="222" t="s">
        <v>212</v>
      </c>
      <c r="M54" s="222" t="s">
        <v>212</v>
      </c>
      <c r="N54" s="222" t="s">
        <v>212</v>
      </c>
      <c r="O54" s="222" t="s">
        <v>212</v>
      </c>
      <c r="P54" s="222" t="s">
        <v>212</v>
      </c>
      <c r="Q54" s="222" t="s">
        <v>212</v>
      </c>
      <c r="R54" s="222" t="s">
        <v>212</v>
      </c>
      <c r="S54" s="222" t="s">
        <v>212</v>
      </c>
      <c r="T54" s="531" t="s">
        <v>212</v>
      </c>
      <c r="U54" s="531"/>
      <c r="V54" s="222" t="s">
        <v>212</v>
      </c>
      <c r="W54" s="222" t="s">
        <v>212</v>
      </c>
      <c r="X54" s="531" t="s">
        <v>212</v>
      </c>
      <c r="Y54" s="531"/>
      <c r="Z54" s="222" t="s">
        <v>212</v>
      </c>
      <c r="AA54" s="222" t="s">
        <v>212</v>
      </c>
      <c r="AB54" s="222" t="s">
        <v>212</v>
      </c>
      <c r="AC54" s="215"/>
    </row>
    <row r="55" spans="1:29" ht="13.5" customHeight="1">
      <c r="A55" s="215"/>
      <c r="B55" s="535">
        <v>38737</v>
      </c>
      <c r="C55" s="535"/>
      <c r="D55" s="219" t="s">
        <v>212</v>
      </c>
      <c r="E55" s="229">
        <v>12.2</v>
      </c>
      <c r="F55" s="536">
        <v>2</v>
      </c>
      <c r="G55" s="536"/>
      <c r="H55" s="229">
        <v>269.39999999999998</v>
      </c>
      <c r="I55" s="536">
        <v>24</v>
      </c>
      <c r="J55" s="536"/>
      <c r="K55" s="229">
        <v>201.7</v>
      </c>
      <c r="L55" s="230">
        <v>24</v>
      </c>
      <c r="M55" s="229">
        <v>0</v>
      </c>
      <c r="N55" s="230">
        <v>0</v>
      </c>
      <c r="O55" s="231">
        <v>483.3</v>
      </c>
      <c r="P55" s="222" t="s">
        <v>212</v>
      </c>
      <c r="Q55" s="229">
        <v>0</v>
      </c>
      <c r="R55" s="230">
        <v>0</v>
      </c>
      <c r="S55" s="229">
        <v>0</v>
      </c>
      <c r="T55" s="536">
        <v>0</v>
      </c>
      <c r="U55" s="536"/>
      <c r="V55" s="229">
        <v>0</v>
      </c>
      <c r="W55" s="222" t="s">
        <v>212</v>
      </c>
      <c r="X55" s="530">
        <v>483.3</v>
      </c>
      <c r="Y55" s="530"/>
      <c r="Z55" s="222" t="s">
        <v>212</v>
      </c>
      <c r="AA55" s="232">
        <v>6697444</v>
      </c>
      <c r="AB55" s="233">
        <v>13650</v>
      </c>
      <c r="AC55" s="215"/>
    </row>
    <row r="56" spans="1:29" ht="2.25" customHeight="1">
      <c r="A56" s="215"/>
      <c r="B56" s="529" t="s">
        <v>212</v>
      </c>
      <c r="C56" s="529"/>
      <c r="D56" s="219" t="s">
        <v>212</v>
      </c>
      <c r="E56" s="222" t="s">
        <v>212</v>
      </c>
      <c r="F56" s="531" t="s">
        <v>212</v>
      </c>
      <c r="G56" s="531"/>
      <c r="H56" s="222" t="s">
        <v>212</v>
      </c>
      <c r="I56" s="531" t="s">
        <v>212</v>
      </c>
      <c r="J56" s="531"/>
      <c r="K56" s="222" t="s">
        <v>212</v>
      </c>
      <c r="L56" s="222" t="s">
        <v>212</v>
      </c>
      <c r="M56" s="222" t="s">
        <v>212</v>
      </c>
      <c r="N56" s="222" t="s">
        <v>212</v>
      </c>
      <c r="O56" s="222" t="s">
        <v>212</v>
      </c>
      <c r="P56" s="222" t="s">
        <v>212</v>
      </c>
      <c r="Q56" s="222" t="s">
        <v>212</v>
      </c>
      <c r="R56" s="222" t="s">
        <v>212</v>
      </c>
      <c r="S56" s="222" t="s">
        <v>212</v>
      </c>
      <c r="T56" s="531" t="s">
        <v>212</v>
      </c>
      <c r="U56" s="531"/>
      <c r="V56" s="222" t="s">
        <v>212</v>
      </c>
      <c r="W56" s="222" t="s">
        <v>212</v>
      </c>
      <c r="X56" s="531" t="s">
        <v>212</v>
      </c>
      <c r="Y56" s="531"/>
      <c r="Z56" s="222" t="s">
        <v>212</v>
      </c>
      <c r="AA56" s="222" t="s">
        <v>212</v>
      </c>
      <c r="AB56" s="222" t="s">
        <v>212</v>
      </c>
      <c r="AC56" s="215"/>
    </row>
    <row r="57" spans="1:29" ht="13.5" customHeight="1">
      <c r="A57" s="215"/>
      <c r="B57" s="532">
        <v>38738</v>
      </c>
      <c r="C57" s="532"/>
      <c r="D57" s="219" t="s">
        <v>212</v>
      </c>
      <c r="E57" s="224">
        <v>62</v>
      </c>
      <c r="F57" s="533">
        <v>10</v>
      </c>
      <c r="G57" s="533"/>
      <c r="H57" s="224">
        <v>320.5</v>
      </c>
      <c r="I57" s="533">
        <v>24</v>
      </c>
      <c r="J57" s="533"/>
      <c r="K57" s="224">
        <v>191.2</v>
      </c>
      <c r="L57" s="225">
        <v>20</v>
      </c>
      <c r="M57" s="224">
        <v>0</v>
      </c>
      <c r="N57" s="225">
        <v>0</v>
      </c>
      <c r="O57" s="226">
        <v>573.70000000000005</v>
      </c>
      <c r="P57" s="222" t="s">
        <v>212</v>
      </c>
      <c r="Q57" s="224">
        <v>0</v>
      </c>
      <c r="R57" s="225">
        <v>0</v>
      </c>
      <c r="S57" s="224">
        <v>0</v>
      </c>
      <c r="T57" s="533">
        <v>0</v>
      </c>
      <c r="U57" s="533"/>
      <c r="V57" s="224">
        <v>0</v>
      </c>
      <c r="W57" s="222" t="s">
        <v>212</v>
      </c>
      <c r="X57" s="534">
        <v>573.70000000000005</v>
      </c>
      <c r="Y57" s="534"/>
      <c r="Z57" s="222" t="s">
        <v>212</v>
      </c>
      <c r="AA57" s="227">
        <v>8160900</v>
      </c>
      <c r="AB57" s="228">
        <v>0</v>
      </c>
      <c r="AC57" s="215"/>
    </row>
    <row r="58" spans="1:29" ht="2.25" customHeight="1">
      <c r="A58" s="215"/>
      <c r="B58" s="529" t="s">
        <v>212</v>
      </c>
      <c r="C58" s="529"/>
      <c r="D58" s="219" t="s">
        <v>212</v>
      </c>
      <c r="E58" s="222" t="s">
        <v>212</v>
      </c>
      <c r="F58" s="531" t="s">
        <v>212</v>
      </c>
      <c r="G58" s="531"/>
      <c r="H58" s="222" t="s">
        <v>212</v>
      </c>
      <c r="I58" s="531" t="s">
        <v>212</v>
      </c>
      <c r="J58" s="531"/>
      <c r="K58" s="222" t="s">
        <v>212</v>
      </c>
      <c r="L58" s="222" t="s">
        <v>212</v>
      </c>
      <c r="M58" s="222" t="s">
        <v>212</v>
      </c>
      <c r="N58" s="222" t="s">
        <v>212</v>
      </c>
      <c r="O58" s="222" t="s">
        <v>212</v>
      </c>
      <c r="P58" s="222" t="s">
        <v>212</v>
      </c>
      <c r="Q58" s="222" t="s">
        <v>212</v>
      </c>
      <c r="R58" s="222" t="s">
        <v>212</v>
      </c>
      <c r="S58" s="222" t="s">
        <v>212</v>
      </c>
      <c r="T58" s="531" t="s">
        <v>212</v>
      </c>
      <c r="U58" s="531"/>
      <c r="V58" s="222" t="s">
        <v>212</v>
      </c>
      <c r="W58" s="222" t="s">
        <v>212</v>
      </c>
      <c r="X58" s="531" t="s">
        <v>212</v>
      </c>
      <c r="Y58" s="531"/>
      <c r="Z58" s="222" t="s">
        <v>212</v>
      </c>
      <c r="AA58" s="222" t="s">
        <v>212</v>
      </c>
      <c r="AB58" s="222" t="s">
        <v>212</v>
      </c>
      <c r="AC58" s="215"/>
    </row>
    <row r="59" spans="1:29" ht="13.5" customHeight="1">
      <c r="A59" s="215"/>
      <c r="B59" s="535">
        <v>38739</v>
      </c>
      <c r="C59" s="535"/>
      <c r="D59" s="219" t="s">
        <v>212</v>
      </c>
      <c r="E59" s="229">
        <v>0</v>
      </c>
      <c r="F59" s="536">
        <v>0</v>
      </c>
      <c r="G59" s="536"/>
      <c r="H59" s="229">
        <v>295.3</v>
      </c>
      <c r="I59" s="536">
        <v>24</v>
      </c>
      <c r="J59" s="536"/>
      <c r="K59" s="229">
        <v>244.8</v>
      </c>
      <c r="L59" s="230">
        <v>24</v>
      </c>
      <c r="M59" s="229">
        <v>0</v>
      </c>
      <c r="N59" s="230">
        <v>0</v>
      </c>
      <c r="O59" s="231">
        <v>540.1</v>
      </c>
      <c r="P59" s="222" t="s">
        <v>212</v>
      </c>
      <c r="Q59" s="229">
        <v>0</v>
      </c>
      <c r="R59" s="230">
        <v>0</v>
      </c>
      <c r="S59" s="229">
        <v>0</v>
      </c>
      <c r="T59" s="536">
        <v>0</v>
      </c>
      <c r="U59" s="536"/>
      <c r="V59" s="229">
        <v>0</v>
      </c>
      <c r="W59" s="222" t="s">
        <v>212</v>
      </c>
      <c r="X59" s="530">
        <v>540.1</v>
      </c>
      <c r="Y59" s="530"/>
      <c r="Z59" s="222" t="s">
        <v>212</v>
      </c>
      <c r="AA59" s="232">
        <v>7545200</v>
      </c>
      <c r="AB59" s="233">
        <v>0</v>
      </c>
      <c r="AC59" s="215"/>
    </row>
    <row r="60" spans="1:29" ht="2.25" customHeight="1">
      <c r="A60" s="215"/>
      <c r="B60" s="529" t="s">
        <v>212</v>
      </c>
      <c r="C60" s="529"/>
      <c r="D60" s="219" t="s">
        <v>212</v>
      </c>
      <c r="E60" s="222" t="s">
        <v>212</v>
      </c>
      <c r="F60" s="531" t="s">
        <v>212</v>
      </c>
      <c r="G60" s="531"/>
      <c r="H60" s="222" t="s">
        <v>212</v>
      </c>
      <c r="I60" s="531" t="s">
        <v>212</v>
      </c>
      <c r="J60" s="531"/>
      <c r="K60" s="222" t="s">
        <v>212</v>
      </c>
      <c r="L60" s="222" t="s">
        <v>212</v>
      </c>
      <c r="M60" s="222" t="s">
        <v>212</v>
      </c>
      <c r="N60" s="222" t="s">
        <v>212</v>
      </c>
      <c r="O60" s="222" t="s">
        <v>212</v>
      </c>
      <c r="P60" s="222" t="s">
        <v>212</v>
      </c>
      <c r="Q60" s="222" t="s">
        <v>212</v>
      </c>
      <c r="R60" s="222" t="s">
        <v>212</v>
      </c>
      <c r="S60" s="222" t="s">
        <v>212</v>
      </c>
      <c r="T60" s="531" t="s">
        <v>212</v>
      </c>
      <c r="U60" s="531"/>
      <c r="V60" s="222" t="s">
        <v>212</v>
      </c>
      <c r="W60" s="222" t="s">
        <v>212</v>
      </c>
      <c r="X60" s="531" t="s">
        <v>212</v>
      </c>
      <c r="Y60" s="531"/>
      <c r="Z60" s="222" t="s">
        <v>212</v>
      </c>
      <c r="AA60" s="222" t="s">
        <v>212</v>
      </c>
      <c r="AB60" s="222" t="s">
        <v>212</v>
      </c>
      <c r="AC60" s="215"/>
    </row>
    <row r="61" spans="1:29" ht="13.5" customHeight="1">
      <c r="A61" s="215"/>
      <c r="B61" s="532">
        <v>38740</v>
      </c>
      <c r="C61" s="532"/>
      <c r="D61" s="219" t="s">
        <v>212</v>
      </c>
      <c r="E61" s="224">
        <v>0</v>
      </c>
      <c r="F61" s="533">
        <v>0</v>
      </c>
      <c r="G61" s="533"/>
      <c r="H61" s="224">
        <v>310.60000000000002</v>
      </c>
      <c r="I61" s="533">
        <v>24</v>
      </c>
      <c r="J61" s="533"/>
      <c r="K61" s="224">
        <v>255</v>
      </c>
      <c r="L61" s="225">
        <v>24</v>
      </c>
      <c r="M61" s="224">
        <v>0</v>
      </c>
      <c r="N61" s="225">
        <v>0</v>
      </c>
      <c r="O61" s="226">
        <v>565.6</v>
      </c>
      <c r="P61" s="222" t="s">
        <v>212</v>
      </c>
      <c r="Q61" s="224">
        <v>0</v>
      </c>
      <c r="R61" s="225">
        <v>0</v>
      </c>
      <c r="S61" s="224">
        <v>0</v>
      </c>
      <c r="T61" s="533">
        <v>0</v>
      </c>
      <c r="U61" s="533"/>
      <c r="V61" s="224">
        <v>0</v>
      </c>
      <c r="W61" s="222" t="s">
        <v>212</v>
      </c>
      <c r="X61" s="534">
        <v>565.6</v>
      </c>
      <c r="Y61" s="534"/>
      <c r="Z61" s="222" t="s">
        <v>212</v>
      </c>
      <c r="AA61" s="227">
        <v>7658600</v>
      </c>
      <c r="AB61" s="228">
        <v>0</v>
      </c>
      <c r="AC61" s="215"/>
    </row>
    <row r="62" spans="1:29" ht="2.25" customHeight="1">
      <c r="A62" s="215"/>
      <c r="B62" s="529" t="s">
        <v>212</v>
      </c>
      <c r="C62" s="529"/>
      <c r="D62" s="219" t="s">
        <v>212</v>
      </c>
      <c r="E62" s="222" t="s">
        <v>212</v>
      </c>
      <c r="F62" s="531" t="s">
        <v>212</v>
      </c>
      <c r="G62" s="531"/>
      <c r="H62" s="222" t="s">
        <v>212</v>
      </c>
      <c r="I62" s="531" t="s">
        <v>212</v>
      </c>
      <c r="J62" s="531"/>
      <c r="K62" s="222" t="s">
        <v>212</v>
      </c>
      <c r="L62" s="222" t="s">
        <v>212</v>
      </c>
      <c r="M62" s="222" t="s">
        <v>212</v>
      </c>
      <c r="N62" s="222" t="s">
        <v>212</v>
      </c>
      <c r="O62" s="222" t="s">
        <v>212</v>
      </c>
      <c r="P62" s="222" t="s">
        <v>212</v>
      </c>
      <c r="Q62" s="222" t="s">
        <v>212</v>
      </c>
      <c r="R62" s="222" t="s">
        <v>212</v>
      </c>
      <c r="S62" s="222" t="s">
        <v>212</v>
      </c>
      <c r="T62" s="531" t="s">
        <v>212</v>
      </c>
      <c r="U62" s="531"/>
      <c r="V62" s="222" t="s">
        <v>212</v>
      </c>
      <c r="W62" s="222" t="s">
        <v>212</v>
      </c>
      <c r="X62" s="531" t="s">
        <v>212</v>
      </c>
      <c r="Y62" s="531"/>
      <c r="Z62" s="222" t="s">
        <v>212</v>
      </c>
      <c r="AA62" s="222" t="s">
        <v>212</v>
      </c>
      <c r="AB62" s="222" t="s">
        <v>212</v>
      </c>
      <c r="AC62" s="215"/>
    </row>
    <row r="63" spans="1:29" ht="13.5" customHeight="1">
      <c r="A63" s="215"/>
      <c r="B63" s="535">
        <v>38741</v>
      </c>
      <c r="C63" s="535"/>
      <c r="D63" s="219" t="s">
        <v>212</v>
      </c>
      <c r="E63" s="229">
        <v>0</v>
      </c>
      <c r="F63" s="536">
        <v>0</v>
      </c>
      <c r="G63" s="536"/>
      <c r="H63" s="229">
        <v>327.3</v>
      </c>
      <c r="I63" s="536">
        <v>24</v>
      </c>
      <c r="J63" s="536"/>
      <c r="K63" s="229">
        <v>270.60000000000002</v>
      </c>
      <c r="L63" s="230">
        <v>24</v>
      </c>
      <c r="M63" s="229">
        <v>0</v>
      </c>
      <c r="N63" s="230">
        <v>0</v>
      </c>
      <c r="O63" s="231">
        <v>597.9</v>
      </c>
      <c r="P63" s="222" t="s">
        <v>212</v>
      </c>
      <c r="Q63" s="229">
        <v>0</v>
      </c>
      <c r="R63" s="230">
        <v>24</v>
      </c>
      <c r="S63" s="229">
        <v>0</v>
      </c>
      <c r="T63" s="536">
        <v>0</v>
      </c>
      <c r="U63" s="536"/>
      <c r="V63" s="229">
        <v>0</v>
      </c>
      <c r="W63" s="222" t="s">
        <v>212</v>
      </c>
      <c r="X63" s="530">
        <v>597.9</v>
      </c>
      <c r="Y63" s="530"/>
      <c r="Z63" s="222" t="s">
        <v>212</v>
      </c>
      <c r="AA63" s="232">
        <v>4107300</v>
      </c>
      <c r="AB63" s="233">
        <v>3875500</v>
      </c>
      <c r="AC63" s="215"/>
    </row>
    <row r="64" spans="1:29" ht="2.25" customHeight="1">
      <c r="A64" s="215"/>
      <c r="B64" s="529" t="s">
        <v>212</v>
      </c>
      <c r="C64" s="529"/>
      <c r="D64" s="219" t="s">
        <v>212</v>
      </c>
      <c r="E64" s="222" t="s">
        <v>212</v>
      </c>
      <c r="F64" s="531" t="s">
        <v>212</v>
      </c>
      <c r="G64" s="531"/>
      <c r="H64" s="222" t="s">
        <v>212</v>
      </c>
      <c r="I64" s="531" t="s">
        <v>212</v>
      </c>
      <c r="J64" s="531"/>
      <c r="K64" s="222" t="s">
        <v>212</v>
      </c>
      <c r="L64" s="222" t="s">
        <v>212</v>
      </c>
      <c r="M64" s="222" t="s">
        <v>212</v>
      </c>
      <c r="N64" s="222" t="s">
        <v>212</v>
      </c>
      <c r="O64" s="222" t="s">
        <v>212</v>
      </c>
      <c r="P64" s="222" t="s">
        <v>212</v>
      </c>
      <c r="Q64" s="222" t="s">
        <v>212</v>
      </c>
      <c r="R64" s="222" t="s">
        <v>212</v>
      </c>
      <c r="S64" s="222" t="s">
        <v>212</v>
      </c>
      <c r="T64" s="531" t="s">
        <v>212</v>
      </c>
      <c r="U64" s="531"/>
      <c r="V64" s="222" t="s">
        <v>212</v>
      </c>
      <c r="W64" s="222" t="s">
        <v>212</v>
      </c>
      <c r="X64" s="531" t="s">
        <v>212</v>
      </c>
      <c r="Y64" s="531"/>
      <c r="Z64" s="222" t="s">
        <v>212</v>
      </c>
      <c r="AA64" s="222" t="s">
        <v>212</v>
      </c>
      <c r="AB64" s="222" t="s">
        <v>212</v>
      </c>
      <c r="AC64" s="215"/>
    </row>
    <row r="65" spans="1:29" ht="13.5" customHeight="1">
      <c r="A65" s="215"/>
      <c r="B65" s="532">
        <v>38742</v>
      </c>
      <c r="C65" s="532"/>
      <c r="D65" s="219" t="s">
        <v>212</v>
      </c>
      <c r="E65" s="224">
        <v>7.9</v>
      </c>
      <c r="F65" s="533">
        <v>1</v>
      </c>
      <c r="G65" s="533"/>
      <c r="H65" s="224">
        <v>277.8</v>
      </c>
      <c r="I65" s="533">
        <v>24</v>
      </c>
      <c r="J65" s="533"/>
      <c r="K65" s="224">
        <v>250.4</v>
      </c>
      <c r="L65" s="225">
        <v>24</v>
      </c>
      <c r="M65" s="224">
        <v>0</v>
      </c>
      <c r="N65" s="225">
        <v>0</v>
      </c>
      <c r="O65" s="226">
        <v>536.1</v>
      </c>
      <c r="P65" s="222" t="s">
        <v>212</v>
      </c>
      <c r="Q65" s="224">
        <v>0</v>
      </c>
      <c r="R65" s="225">
        <v>0</v>
      </c>
      <c r="S65" s="224">
        <v>0</v>
      </c>
      <c r="T65" s="533">
        <v>0</v>
      </c>
      <c r="U65" s="533"/>
      <c r="V65" s="224">
        <v>0</v>
      </c>
      <c r="W65" s="222" t="s">
        <v>212</v>
      </c>
      <c r="X65" s="534">
        <v>536.1</v>
      </c>
      <c r="Y65" s="534"/>
      <c r="Z65" s="222" t="s">
        <v>212</v>
      </c>
      <c r="AA65" s="227">
        <v>7282600</v>
      </c>
      <c r="AB65" s="228">
        <v>0</v>
      </c>
      <c r="AC65" s="215"/>
    </row>
    <row r="66" spans="1:29" ht="2.25" customHeight="1">
      <c r="A66" s="215"/>
      <c r="B66" s="529" t="s">
        <v>212</v>
      </c>
      <c r="C66" s="529"/>
      <c r="D66" s="219" t="s">
        <v>212</v>
      </c>
      <c r="E66" s="222" t="s">
        <v>212</v>
      </c>
      <c r="F66" s="531" t="s">
        <v>212</v>
      </c>
      <c r="G66" s="531"/>
      <c r="H66" s="222" t="s">
        <v>212</v>
      </c>
      <c r="I66" s="531" t="s">
        <v>212</v>
      </c>
      <c r="J66" s="531"/>
      <c r="K66" s="222" t="s">
        <v>212</v>
      </c>
      <c r="L66" s="222" t="s">
        <v>212</v>
      </c>
      <c r="M66" s="222" t="s">
        <v>212</v>
      </c>
      <c r="N66" s="222" t="s">
        <v>212</v>
      </c>
      <c r="O66" s="222" t="s">
        <v>212</v>
      </c>
      <c r="P66" s="222" t="s">
        <v>212</v>
      </c>
      <c r="Q66" s="222" t="s">
        <v>212</v>
      </c>
      <c r="R66" s="222" t="s">
        <v>212</v>
      </c>
      <c r="S66" s="222" t="s">
        <v>212</v>
      </c>
      <c r="T66" s="531" t="s">
        <v>212</v>
      </c>
      <c r="U66" s="531"/>
      <c r="V66" s="222" t="s">
        <v>212</v>
      </c>
      <c r="W66" s="222" t="s">
        <v>212</v>
      </c>
      <c r="X66" s="531" t="s">
        <v>212</v>
      </c>
      <c r="Y66" s="531"/>
      <c r="Z66" s="222" t="s">
        <v>212</v>
      </c>
      <c r="AA66" s="222" t="s">
        <v>212</v>
      </c>
      <c r="AB66" s="222" t="s">
        <v>212</v>
      </c>
      <c r="AC66" s="215"/>
    </row>
    <row r="67" spans="1:29" ht="13.5" customHeight="1">
      <c r="A67" s="215"/>
      <c r="B67" s="535">
        <v>38743</v>
      </c>
      <c r="C67" s="535"/>
      <c r="D67" s="219" t="s">
        <v>212</v>
      </c>
      <c r="E67" s="229">
        <v>0</v>
      </c>
      <c r="F67" s="536">
        <v>0</v>
      </c>
      <c r="G67" s="536"/>
      <c r="H67" s="229">
        <v>315</v>
      </c>
      <c r="I67" s="536">
        <v>24</v>
      </c>
      <c r="J67" s="536"/>
      <c r="K67" s="229">
        <v>284.5</v>
      </c>
      <c r="L67" s="230">
        <v>24</v>
      </c>
      <c r="M67" s="229">
        <v>0</v>
      </c>
      <c r="N67" s="230">
        <v>0</v>
      </c>
      <c r="O67" s="231">
        <v>599.5</v>
      </c>
      <c r="P67" s="222" t="s">
        <v>212</v>
      </c>
      <c r="Q67" s="229">
        <v>0</v>
      </c>
      <c r="R67" s="230">
        <v>0</v>
      </c>
      <c r="S67" s="229">
        <v>0</v>
      </c>
      <c r="T67" s="536">
        <v>0</v>
      </c>
      <c r="U67" s="536"/>
      <c r="V67" s="229">
        <v>0</v>
      </c>
      <c r="W67" s="222" t="s">
        <v>212</v>
      </c>
      <c r="X67" s="530">
        <v>599.5</v>
      </c>
      <c r="Y67" s="530"/>
      <c r="Z67" s="222" t="s">
        <v>212</v>
      </c>
      <c r="AA67" s="232">
        <v>7669684</v>
      </c>
      <c r="AB67" s="233">
        <v>0</v>
      </c>
      <c r="AC67" s="215"/>
    </row>
    <row r="68" spans="1:29" ht="2.25" customHeight="1">
      <c r="A68" s="215"/>
      <c r="B68" s="529" t="s">
        <v>212</v>
      </c>
      <c r="C68" s="529"/>
      <c r="D68" s="219" t="s">
        <v>212</v>
      </c>
      <c r="E68" s="222" t="s">
        <v>212</v>
      </c>
      <c r="F68" s="531" t="s">
        <v>212</v>
      </c>
      <c r="G68" s="531"/>
      <c r="H68" s="222" t="s">
        <v>212</v>
      </c>
      <c r="I68" s="531" t="s">
        <v>212</v>
      </c>
      <c r="J68" s="531"/>
      <c r="K68" s="222" t="s">
        <v>212</v>
      </c>
      <c r="L68" s="222" t="s">
        <v>212</v>
      </c>
      <c r="M68" s="222" t="s">
        <v>212</v>
      </c>
      <c r="N68" s="222" t="s">
        <v>212</v>
      </c>
      <c r="O68" s="222" t="s">
        <v>212</v>
      </c>
      <c r="P68" s="222" t="s">
        <v>212</v>
      </c>
      <c r="Q68" s="222" t="s">
        <v>212</v>
      </c>
      <c r="R68" s="222" t="s">
        <v>212</v>
      </c>
      <c r="S68" s="222" t="s">
        <v>212</v>
      </c>
      <c r="T68" s="531" t="s">
        <v>212</v>
      </c>
      <c r="U68" s="531"/>
      <c r="V68" s="222" t="s">
        <v>212</v>
      </c>
      <c r="W68" s="222" t="s">
        <v>212</v>
      </c>
      <c r="X68" s="531" t="s">
        <v>212</v>
      </c>
      <c r="Y68" s="531"/>
      <c r="Z68" s="222" t="s">
        <v>212</v>
      </c>
      <c r="AA68" s="222" t="s">
        <v>212</v>
      </c>
      <c r="AB68" s="222" t="s">
        <v>212</v>
      </c>
      <c r="AC68" s="215"/>
    </row>
    <row r="69" spans="1:29" ht="13.5" customHeight="1">
      <c r="A69" s="215"/>
      <c r="B69" s="532">
        <v>38744</v>
      </c>
      <c r="C69" s="532"/>
      <c r="D69" s="219" t="s">
        <v>212</v>
      </c>
      <c r="E69" s="224">
        <v>0</v>
      </c>
      <c r="F69" s="533">
        <v>0</v>
      </c>
      <c r="G69" s="533"/>
      <c r="H69" s="224">
        <v>291</v>
      </c>
      <c r="I69" s="533">
        <v>24</v>
      </c>
      <c r="J69" s="533"/>
      <c r="K69" s="224">
        <v>235.5</v>
      </c>
      <c r="L69" s="225">
        <v>24</v>
      </c>
      <c r="M69" s="224">
        <v>0</v>
      </c>
      <c r="N69" s="225">
        <v>0</v>
      </c>
      <c r="O69" s="226">
        <v>526.5</v>
      </c>
      <c r="P69" s="222" t="s">
        <v>212</v>
      </c>
      <c r="Q69" s="224">
        <v>0</v>
      </c>
      <c r="R69" s="225">
        <v>0</v>
      </c>
      <c r="S69" s="224">
        <v>0</v>
      </c>
      <c r="T69" s="533">
        <v>0</v>
      </c>
      <c r="U69" s="533"/>
      <c r="V69" s="224">
        <v>0</v>
      </c>
      <c r="W69" s="222" t="s">
        <v>212</v>
      </c>
      <c r="X69" s="534">
        <v>526.5</v>
      </c>
      <c r="Y69" s="534"/>
      <c r="Z69" s="222" t="s">
        <v>212</v>
      </c>
      <c r="AA69" s="227">
        <v>7061300</v>
      </c>
      <c r="AB69" s="228">
        <v>0</v>
      </c>
      <c r="AC69" s="215"/>
    </row>
    <row r="70" spans="1:29" ht="2.25" customHeight="1">
      <c r="A70" s="215"/>
      <c r="B70" s="529" t="s">
        <v>212</v>
      </c>
      <c r="C70" s="529"/>
      <c r="D70" s="219" t="s">
        <v>212</v>
      </c>
      <c r="E70" s="222" t="s">
        <v>212</v>
      </c>
      <c r="F70" s="531" t="s">
        <v>212</v>
      </c>
      <c r="G70" s="531"/>
      <c r="H70" s="222" t="s">
        <v>212</v>
      </c>
      <c r="I70" s="531" t="s">
        <v>212</v>
      </c>
      <c r="J70" s="531"/>
      <c r="K70" s="222" t="s">
        <v>212</v>
      </c>
      <c r="L70" s="222" t="s">
        <v>212</v>
      </c>
      <c r="M70" s="222" t="s">
        <v>212</v>
      </c>
      <c r="N70" s="222" t="s">
        <v>212</v>
      </c>
      <c r="O70" s="222" t="s">
        <v>212</v>
      </c>
      <c r="P70" s="222" t="s">
        <v>212</v>
      </c>
      <c r="Q70" s="222" t="s">
        <v>212</v>
      </c>
      <c r="R70" s="222" t="s">
        <v>212</v>
      </c>
      <c r="S70" s="222" t="s">
        <v>212</v>
      </c>
      <c r="T70" s="531" t="s">
        <v>212</v>
      </c>
      <c r="U70" s="531"/>
      <c r="V70" s="222" t="s">
        <v>212</v>
      </c>
      <c r="W70" s="222" t="s">
        <v>212</v>
      </c>
      <c r="X70" s="531" t="s">
        <v>212</v>
      </c>
      <c r="Y70" s="531"/>
      <c r="Z70" s="222" t="s">
        <v>212</v>
      </c>
      <c r="AA70" s="222" t="s">
        <v>212</v>
      </c>
      <c r="AB70" s="222" t="s">
        <v>212</v>
      </c>
      <c r="AC70" s="215"/>
    </row>
    <row r="71" spans="1:29" ht="13.5" customHeight="1">
      <c r="A71" s="215"/>
      <c r="B71" s="535">
        <v>38745</v>
      </c>
      <c r="C71" s="535"/>
      <c r="D71" s="219" t="s">
        <v>212</v>
      </c>
      <c r="E71" s="229">
        <v>0</v>
      </c>
      <c r="F71" s="536">
        <v>0</v>
      </c>
      <c r="G71" s="536"/>
      <c r="H71" s="229">
        <v>299.2</v>
      </c>
      <c r="I71" s="536">
        <v>24</v>
      </c>
      <c r="J71" s="536"/>
      <c r="K71" s="229">
        <v>236.4</v>
      </c>
      <c r="L71" s="230">
        <v>24</v>
      </c>
      <c r="M71" s="229">
        <v>0</v>
      </c>
      <c r="N71" s="230">
        <v>0</v>
      </c>
      <c r="O71" s="231">
        <v>535.6</v>
      </c>
      <c r="P71" s="222" t="s">
        <v>212</v>
      </c>
      <c r="Q71" s="229">
        <v>0</v>
      </c>
      <c r="R71" s="230">
        <v>0</v>
      </c>
      <c r="S71" s="229">
        <v>0</v>
      </c>
      <c r="T71" s="536">
        <v>0</v>
      </c>
      <c r="U71" s="536"/>
      <c r="V71" s="229">
        <v>0</v>
      </c>
      <c r="W71" s="222" t="s">
        <v>212</v>
      </c>
      <c r="X71" s="530">
        <v>535.6</v>
      </c>
      <c r="Y71" s="530"/>
      <c r="Z71" s="222" t="s">
        <v>212</v>
      </c>
      <c r="AA71" s="232">
        <v>7517500</v>
      </c>
      <c r="AB71" s="233">
        <v>0</v>
      </c>
      <c r="AC71" s="215"/>
    </row>
    <row r="72" spans="1:29" ht="2.25" customHeight="1">
      <c r="A72" s="215"/>
      <c r="B72" s="529" t="s">
        <v>212</v>
      </c>
      <c r="C72" s="529"/>
      <c r="D72" s="219" t="s">
        <v>212</v>
      </c>
      <c r="E72" s="222" t="s">
        <v>212</v>
      </c>
      <c r="F72" s="531" t="s">
        <v>212</v>
      </c>
      <c r="G72" s="531"/>
      <c r="H72" s="222" t="s">
        <v>212</v>
      </c>
      <c r="I72" s="531" t="s">
        <v>212</v>
      </c>
      <c r="J72" s="531"/>
      <c r="K72" s="222" t="s">
        <v>212</v>
      </c>
      <c r="L72" s="222" t="s">
        <v>212</v>
      </c>
      <c r="M72" s="222" t="s">
        <v>212</v>
      </c>
      <c r="N72" s="222" t="s">
        <v>212</v>
      </c>
      <c r="O72" s="222" t="s">
        <v>212</v>
      </c>
      <c r="P72" s="222" t="s">
        <v>212</v>
      </c>
      <c r="Q72" s="222" t="s">
        <v>212</v>
      </c>
      <c r="R72" s="222" t="s">
        <v>212</v>
      </c>
      <c r="S72" s="222" t="s">
        <v>212</v>
      </c>
      <c r="T72" s="531" t="s">
        <v>212</v>
      </c>
      <c r="U72" s="531"/>
      <c r="V72" s="222" t="s">
        <v>212</v>
      </c>
      <c r="W72" s="222" t="s">
        <v>212</v>
      </c>
      <c r="X72" s="531" t="s">
        <v>212</v>
      </c>
      <c r="Y72" s="531"/>
      <c r="Z72" s="222" t="s">
        <v>212</v>
      </c>
      <c r="AA72" s="222" t="s">
        <v>212</v>
      </c>
      <c r="AB72" s="222" t="s">
        <v>212</v>
      </c>
      <c r="AC72" s="215"/>
    </row>
    <row r="73" spans="1:29" ht="13.5" customHeight="1">
      <c r="A73" s="215"/>
      <c r="B73" s="532">
        <v>38746</v>
      </c>
      <c r="C73" s="532"/>
      <c r="D73" s="219" t="s">
        <v>212</v>
      </c>
      <c r="E73" s="224">
        <v>0</v>
      </c>
      <c r="F73" s="533">
        <v>0</v>
      </c>
      <c r="G73" s="533"/>
      <c r="H73" s="224">
        <v>315.60000000000002</v>
      </c>
      <c r="I73" s="533">
        <v>24</v>
      </c>
      <c r="J73" s="533"/>
      <c r="K73" s="224">
        <v>255.4</v>
      </c>
      <c r="L73" s="225">
        <v>24</v>
      </c>
      <c r="M73" s="224">
        <v>0</v>
      </c>
      <c r="N73" s="225">
        <v>0</v>
      </c>
      <c r="O73" s="226">
        <v>571</v>
      </c>
      <c r="P73" s="222" t="s">
        <v>212</v>
      </c>
      <c r="Q73" s="224">
        <v>0</v>
      </c>
      <c r="R73" s="225">
        <v>0</v>
      </c>
      <c r="S73" s="224">
        <v>0</v>
      </c>
      <c r="T73" s="533">
        <v>0</v>
      </c>
      <c r="U73" s="533"/>
      <c r="V73" s="224">
        <v>0</v>
      </c>
      <c r="W73" s="222" t="s">
        <v>212</v>
      </c>
      <c r="X73" s="534">
        <v>571</v>
      </c>
      <c r="Y73" s="534"/>
      <c r="Z73" s="222" t="s">
        <v>212</v>
      </c>
      <c r="AA73" s="227">
        <v>7802300</v>
      </c>
      <c r="AB73" s="228">
        <v>0</v>
      </c>
      <c r="AC73" s="215"/>
    </row>
    <row r="74" spans="1:29" ht="2.25" customHeight="1">
      <c r="A74" s="215"/>
      <c r="B74" s="529" t="s">
        <v>212</v>
      </c>
      <c r="C74" s="529"/>
      <c r="D74" s="219" t="s">
        <v>212</v>
      </c>
      <c r="E74" s="222" t="s">
        <v>212</v>
      </c>
      <c r="F74" s="531" t="s">
        <v>212</v>
      </c>
      <c r="G74" s="531"/>
      <c r="H74" s="222" t="s">
        <v>212</v>
      </c>
      <c r="I74" s="531" t="s">
        <v>212</v>
      </c>
      <c r="J74" s="531"/>
      <c r="K74" s="222" t="s">
        <v>212</v>
      </c>
      <c r="L74" s="222" t="s">
        <v>212</v>
      </c>
      <c r="M74" s="222" t="s">
        <v>212</v>
      </c>
      <c r="N74" s="222" t="s">
        <v>212</v>
      </c>
      <c r="O74" s="222" t="s">
        <v>212</v>
      </c>
      <c r="P74" s="222" t="s">
        <v>212</v>
      </c>
      <c r="Q74" s="222" t="s">
        <v>212</v>
      </c>
      <c r="R74" s="222" t="s">
        <v>212</v>
      </c>
      <c r="S74" s="222" t="s">
        <v>212</v>
      </c>
      <c r="T74" s="531" t="s">
        <v>212</v>
      </c>
      <c r="U74" s="531"/>
      <c r="V74" s="222" t="s">
        <v>212</v>
      </c>
      <c r="W74" s="222" t="s">
        <v>212</v>
      </c>
      <c r="X74" s="531" t="s">
        <v>212</v>
      </c>
      <c r="Y74" s="531"/>
      <c r="Z74" s="222" t="s">
        <v>212</v>
      </c>
      <c r="AA74" s="222" t="s">
        <v>212</v>
      </c>
      <c r="AB74" s="222" t="s">
        <v>212</v>
      </c>
      <c r="AC74" s="215"/>
    </row>
    <row r="75" spans="1:29" ht="13.5" customHeight="1">
      <c r="A75" s="215"/>
      <c r="B75" s="535">
        <v>38747</v>
      </c>
      <c r="C75" s="535"/>
      <c r="D75" s="219" t="s">
        <v>212</v>
      </c>
      <c r="E75" s="229">
        <v>0</v>
      </c>
      <c r="F75" s="536">
        <v>0</v>
      </c>
      <c r="G75" s="536"/>
      <c r="H75" s="229">
        <v>296.5</v>
      </c>
      <c r="I75" s="536">
        <v>24</v>
      </c>
      <c r="J75" s="536"/>
      <c r="K75" s="229">
        <v>244.7</v>
      </c>
      <c r="L75" s="230">
        <v>24</v>
      </c>
      <c r="M75" s="229">
        <v>0</v>
      </c>
      <c r="N75" s="230">
        <v>0</v>
      </c>
      <c r="O75" s="231">
        <v>541.20000000000005</v>
      </c>
      <c r="P75" s="222" t="s">
        <v>212</v>
      </c>
      <c r="Q75" s="229">
        <v>0</v>
      </c>
      <c r="R75" s="230">
        <v>0</v>
      </c>
      <c r="S75" s="229">
        <v>0</v>
      </c>
      <c r="T75" s="536">
        <v>0</v>
      </c>
      <c r="U75" s="536"/>
      <c r="V75" s="229">
        <v>0</v>
      </c>
      <c r="W75" s="222" t="s">
        <v>212</v>
      </c>
      <c r="X75" s="530">
        <v>541.20000000000005</v>
      </c>
      <c r="Y75" s="530"/>
      <c r="Z75" s="222" t="s">
        <v>212</v>
      </c>
      <c r="AA75" s="232">
        <v>7502200</v>
      </c>
      <c r="AB75" s="233">
        <v>0</v>
      </c>
      <c r="AC75" s="215"/>
    </row>
    <row r="76" spans="1:29" ht="2.25" customHeight="1">
      <c r="A76" s="215"/>
      <c r="B76" s="529" t="s">
        <v>212</v>
      </c>
      <c r="C76" s="529"/>
      <c r="D76" s="219" t="s">
        <v>212</v>
      </c>
      <c r="E76" s="222" t="s">
        <v>212</v>
      </c>
      <c r="F76" s="531" t="s">
        <v>212</v>
      </c>
      <c r="G76" s="531"/>
      <c r="H76" s="222" t="s">
        <v>212</v>
      </c>
      <c r="I76" s="531" t="s">
        <v>212</v>
      </c>
      <c r="J76" s="531"/>
      <c r="K76" s="222" t="s">
        <v>212</v>
      </c>
      <c r="L76" s="222" t="s">
        <v>212</v>
      </c>
      <c r="M76" s="222" t="s">
        <v>212</v>
      </c>
      <c r="N76" s="222" t="s">
        <v>212</v>
      </c>
      <c r="O76" s="222" t="s">
        <v>212</v>
      </c>
      <c r="P76" s="222" t="s">
        <v>212</v>
      </c>
      <c r="Q76" s="222" t="s">
        <v>212</v>
      </c>
      <c r="R76" s="222" t="s">
        <v>212</v>
      </c>
      <c r="S76" s="222" t="s">
        <v>212</v>
      </c>
      <c r="T76" s="531" t="s">
        <v>212</v>
      </c>
      <c r="U76" s="531"/>
      <c r="V76" s="222" t="s">
        <v>212</v>
      </c>
      <c r="W76" s="222" t="s">
        <v>212</v>
      </c>
      <c r="X76" s="531" t="s">
        <v>212</v>
      </c>
      <c r="Y76" s="531"/>
      <c r="Z76" s="222" t="s">
        <v>212</v>
      </c>
      <c r="AA76" s="222" t="s">
        <v>212</v>
      </c>
      <c r="AB76" s="222" t="s">
        <v>212</v>
      </c>
      <c r="AC76" s="215"/>
    </row>
    <row r="77" spans="1:29" ht="13.5" customHeight="1">
      <c r="A77" s="215"/>
      <c r="B77" s="532">
        <v>38748</v>
      </c>
      <c r="C77" s="532"/>
      <c r="D77" s="219" t="s">
        <v>212</v>
      </c>
      <c r="E77" s="224">
        <v>0</v>
      </c>
      <c r="F77" s="533">
        <v>0</v>
      </c>
      <c r="G77" s="533"/>
      <c r="H77" s="224">
        <v>301.8</v>
      </c>
      <c r="I77" s="533">
        <v>24</v>
      </c>
      <c r="J77" s="533"/>
      <c r="K77" s="224">
        <v>250</v>
      </c>
      <c r="L77" s="225">
        <v>24</v>
      </c>
      <c r="M77" s="224">
        <v>0</v>
      </c>
      <c r="N77" s="225">
        <v>0</v>
      </c>
      <c r="O77" s="226">
        <v>551.79999999999995</v>
      </c>
      <c r="P77" s="222" t="s">
        <v>212</v>
      </c>
      <c r="Q77" s="224">
        <v>0</v>
      </c>
      <c r="R77" s="225">
        <v>24</v>
      </c>
      <c r="S77" s="224">
        <v>0</v>
      </c>
      <c r="T77" s="533">
        <v>0</v>
      </c>
      <c r="U77" s="533"/>
      <c r="V77" s="224">
        <v>0</v>
      </c>
      <c r="W77" s="222" t="s">
        <v>212</v>
      </c>
      <c r="X77" s="534">
        <v>551.79999999999995</v>
      </c>
      <c r="Y77" s="534"/>
      <c r="Z77" s="222" t="s">
        <v>212</v>
      </c>
      <c r="AA77" s="227">
        <v>7368300</v>
      </c>
      <c r="AB77" s="228">
        <v>0</v>
      </c>
      <c r="AC77" s="215"/>
    </row>
    <row r="78" spans="1:29" ht="2.25" customHeight="1">
      <c r="A78" s="215"/>
      <c r="B78" s="529" t="s">
        <v>212</v>
      </c>
      <c r="C78" s="529"/>
      <c r="D78" s="219" t="s">
        <v>212</v>
      </c>
      <c r="E78" s="222" t="s">
        <v>212</v>
      </c>
      <c r="F78" s="531" t="s">
        <v>212</v>
      </c>
      <c r="G78" s="531"/>
      <c r="H78" s="222" t="s">
        <v>212</v>
      </c>
      <c r="I78" s="531" t="s">
        <v>212</v>
      </c>
      <c r="J78" s="531"/>
      <c r="K78" s="222" t="s">
        <v>212</v>
      </c>
      <c r="L78" s="222" t="s">
        <v>212</v>
      </c>
      <c r="M78" s="222" t="s">
        <v>212</v>
      </c>
      <c r="N78" s="222" t="s">
        <v>212</v>
      </c>
      <c r="O78" s="222" t="s">
        <v>212</v>
      </c>
      <c r="P78" s="222" t="s">
        <v>212</v>
      </c>
      <c r="Q78" s="222" t="s">
        <v>212</v>
      </c>
      <c r="R78" s="222" t="s">
        <v>212</v>
      </c>
      <c r="S78" s="222" t="s">
        <v>212</v>
      </c>
      <c r="T78" s="531" t="s">
        <v>212</v>
      </c>
      <c r="U78" s="531"/>
      <c r="V78" s="222" t="s">
        <v>212</v>
      </c>
      <c r="W78" s="222" t="s">
        <v>212</v>
      </c>
      <c r="X78" s="531" t="s">
        <v>212</v>
      </c>
      <c r="Y78" s="531"/>
      <c r="Z78" s="222" t="s">
        <v>212</v>
      </c>
      <c r="AA78" s="222" t="s">
        <v>212</v>
      </c>
      <c r="AB78" s="222" t="s">
        <v>212</v>
      </c>
      <c r="AC78" s="215"/>
    </row>
    <row r="79" spans="1:29" ht="13.5" customHeight="1">
      <c r="A79" s="215"/>
      <c r="B79" s="535">
        <v>38749</v>
      </c>
      <c r="C79" s="535"/>
      <c r="D79" s="219" t="s">
        <v>212</v>
      </c>
      <c r="E79" s="229">
        <v>82.7</v>
      </c>
      <c r="F79" s="536">
        <v>10</v>
      </c>
      <c r="G79" s="536"/>
      <c r="H79" s="229">
        <v>274.7</v>
      </c>
      <c r="I79" s="536">
        <v>24</v>
      </c>
      <c r="J79" s="536"/>
      <c r="K79" s="229">
        <v>190.3</v>
      </c>
      <c r="L79" s="230">
        <v>21</v>
      </c>
      <c r="M79" s="229">
        <v>0</v>
      </c>
      <c r="N79" s="230">
        <v>0</v>
      </c>
      <c r="O79" s="231">
        <v>547.70000000000005</v>
      </c>
      <c r="P79" s="222" t="s">
        <v>212</v>
      </c>
      <c r="Q79" s="229">
        <v>0</v>
      </c>
      <c r="R79" s="230">
        <v>0</v>
      </c>
      <c r="S79" s="229">
        <v>0</v>
      </c>
      <c r="T79" s="536">
        <v>0</v>
      </c>
      <c r="U79" s="536"/>
      <c r="V79" s="229">
        <v>0</v>
      </c>
      <c r="W79" s="222" t="s">
        <v>212</v>
      </c>
      <c r="X79" s="530">
        <v>547.70000000000005</v>
      </c>
      <c r="Y79" s="530"/>
      <c r="Z79" s="222" t="s">
        <v>212</v>
      </c>
      <c r="AA79" s="232">
        <v>8110000</v>
      </c>
      <c r="AB79" s="233">
        <v>0</v>
      </c>
      <c r="AC79" s="215"/>
    </row>
    <row r="80" spans="1:29" ht="2.25" customHeight="1">
      <c r="A80" s="215"/>
      <c r="B80" s="529" t="s">
        <v>212</v>
      </c>
      <c r="C80" s="529"/>
      <c r="D80" s="219" t="s">
        <v>212</v>
      </c>
      <c r="E80" s="222" t="s">
        <v>212</v>
      </c>
      <c r="F80" s="531" t="s">
        <v>212</v>
      </c>
      <c r="G80" s="531"/>
      <c r="H80" s="222" t="s">
        <v>212</v>
      </c>
      <c r="I80" s="531" t="s">
        <v>212</v>
      </c>
      <c r="J80" s="531"/>
      <c r="K80" s="222" t="s">
        <v>212</v>
      </c>
      <c r="L80" s="222" t="s">
        <v>212</v>
      </c>
      <c r="M80" s="222" t="s">
        <v>212</v>
      </c>
      <c r="N80" s="222" t="s">
        <v>212</v>
      </c>
      <c r="O80" s="222" t="s">
        <v>212</v>
      </c>
      <c r="P80" s="222" t="s">
        <v>212</v>
      </c>
      <c r="Q80" s="222" t="s">
        <v>212</v>
      </c>
      <c r="R80" s="222" t="s">
        <v>212</v>
      </c>
      <c r="S80" s="222" t="s">
        <v>212</v>
      </c>
      <c r="T80" s="531" t="s">
        <v>212</v>
      </c>
      <c r="U80" s="531"/>
      <c r="V80" s="222" t="s">
        <v>212</v>
      </c>
      <c r="W80" s="222" t="s">
        <v>212</v>
      </c>
      <c r="X80" s="531" t="s">
        <v>212</v>
      </c>
      <c r="Y80" s="531"/>
      <c r="Z80" s="222" t="s">
        <v>212</v>
      </c>
      <c r="AA80" s="222" t="s">
        <v>212</v>
      </c>
      <c r="AB80" s="222" t="s">
        <v>212</v>
      </c>
      <c r="AC80" s="215"/>
    </row>
    <row r="81" spans="1:29" ht="13.5" customHeight="1">
      <c r="A81" s="215"/>
      <c r="B81" s="532">
        <v>38750</v>
      </c>
      <c r="C81" s="532"/>
      <c r="D81" s="219" t="s">
        <v>212</v>
      </c>
      <c r="E81" s="224">
        <v>189.1</v>
      </c>
      <c r="F81" s="533">
        <v>17</v>
      </c>
      <c r="G81" s="533"/>
      <c r="H81" s="224">
        <v>225.2</v>
      </c>
      <c r="I81" s="533">
        <v>24</v>
      </c>
      <c r="J81" s="533"/>
      <c r="K81" s="224">
        <v>71.7</v>
      </c>
      <c r="L81" s="225">
        <v>11</v>
      </c>
      <c r="M81" s="224">
        <v>0</v>
      </c>
      <c r="N81" s="225">
        <v>0</v>
      </c>
      <c r="O81" s="226">
        <v>486</v>
      </c>
      <c r="P81" s="222" t="s">
        <v>212</v>
      </c>
      <c r="Q81" s="224">
        <v>0</v>
      </c>
      <c r="R81" s="225">
        <v>0</v>
      </c>
      <c r="S81" s="224">
        <v>0</v>
      </c>
      <c r="T81" s="533">
        <v>0</v>
      </c>
      <c r="U81" s="533"/>
      <c r="V81" s="224">
        <v>0</v>
      </c>
      <c r="W81" s="222" t="s">
        <v>212</v>
      </c>
      <c r="X81" s="534">
        <v>486</v>
      </c>
      <c r="Y81" s="534"/>
      <c r="Z81" s="222" t="s">
        <v>212</v>
      </c>
      <c r="AA81" s="227">
        <v>6656500</v>
      </c>
      <c r="AB81" s="228">
        <v>28175</v>
      </c>
      <c r="AC81" s="215"/>
    </row>
    <row r="82" spans="1:29" ht="2.25" customHeight="1">
      <c r="A82" s="215"/>
      <c r="B82" s="529" t="s">
        <v>212</v>
      </c>
      <c r="C82" s="529"/>
      <c r="D82" s="219" t="s">
        <v>212</v>
      </c>
      <c r="E82" s="222" t="s">
        <v>212</v>
      </c>
      <c r="F82" s="531" t="s">
        <v>212</v>
      </c>
      <c r="G82" s="531"/>
      <c r="H82" s="222" t="s">
        <v>212</v>
      </c>
      <c r="I82" s="531" t="s">
        <v>212</v>
      </c>
      <c r="J82" s="531"/>
      <c r="K82" s="222" t="s">
        <v>212</v>
      </c>
      <c r="L82" s="222" t="s">
        <v>212</v>
      </c>
      <c r="M82" s="222" t="s">
        <v>212</v>
      </c>
      <c r="N82" s="222" t="s">
        <v>212</v>
      </c>
      <c r="O82" s="222" t="s">
        <v>212</v>
      </c>
      <c r="P82" s="222" t="s">
        <v>212</v>
      </c>
      <c r="Q82" s="222" t="s">
        <v>212</v>
      </c>
      <c r="R82" s="222" t="s">
        <v>212</v>
      </c>
      <c r="S82" s="222" t="s">
        <v>212</v>
      </c>
      <c r="T82" s="531" t="s">
        <v>212</v>
      </c>
      <c r="U82" s="531"/>
      <c r="V82" s="222" t="s">
        <v>212</v>
      </c>
      <c r="W82" s="222" t="s">
        <v>212</v>
      </c>
      <c r="X82" s="531" t="s">
        <v>212</v>
      </c>
      <c r="Y82" s="531"/>
      <c r="Z82" s="222" t="s">
        <v>212</v>
      </c>
      <c r="AA82" s="222" t="s">
        <v>212</v>
      </c>
      <c r="AB82" s="222" t="s">
        <v>212</v>
      </c>
      <c r="AC82" s="215"/>
    </row>
    <row r="83" spans="1:29" ht="13.5" customHeight="1">
      <c r="A83" s="215"/>
      <c r="B83" s="535">
        <v>38751</v>
      </c>
      <c r="C83" s="535"/>
      <c r="D83" s="219" t="s">
        <v>212</v>
      </c>
      <c r="E83" s="229">
        <v>111.9</v>
      </c>
      <c r="F83" s="536">
        <v>13</v>
      </c>
      <c r="G83" s="536"/>
      <c r="H83" s="229">
        <v>254.3</v>
      </c>
      <c r="I83" s="536">
        <v>24</v>
      </c>
      <c r="J83" s="536"/>
      <c r="K83" s="229">
        <v>80.400000000000006</v>
      </c>
      <c r="L83" s="230">
        <v>11</v>
      </c>
      <c r="M83" s="229">
        <v>0</v>
      </c>
      <c r="N83" s="230">
        <v>0</v>
      </c>
      <c r="O83" s="231">
        <v>446.6</v>
      </c>
      <c r="P83" s="222" t="s">
        <v>212</v>
      </c>
      <c r="Q83" s="229">
        <v>0</v>
      </c>
      <c r="R83" s="230">
        <v>0</v>
      </c>
      <c r="S83" s="229">
        <v>0</v>
      </c>
      <c r="T83" s="536">
        <v>0</v>
      </c>
      <c r="U83" s="536"/>
      <c r="V83" s="229">
        <v>0</v>
      </c>
      <c r="W83" s="222" t="s">
        <v>212</v>
      </c>
      <c r="X83" s="530">
        <v>446.6</v>
      </c>
      <c r="Y83" s="530"/>
      <c r="Z83" s="222" t="s">
        <v>212</v>
      </c>
      <c r="AA83" s="232">
        <v>7289500</v>
      </c>
      <c r="AB83" s="233">
        <v>0</v>
      </c>
      <c r="AC83" s="215"/>
    </row>
    <row r="84" spans="1:29" ht="2.25" customHeight="1">
      <c r="A84" s="215"/>
      <c r="B84" s="529" t="s">
        <v>212</v>
      </c>
      <c r="C84" s="529"/>
      <c r="D84" s="219" t="s">
        <v>212</v>
      </c>
      <c r="E84" s="222" t="s">
        <v>212</v>
      </c>
      <c r="F84" s="531" t="s">
        <v>212</v>
      </c>
      <c r="G84" s="531"/>
      <c r="H84" s="222" t="s">
        <v>212</v>
      </c>
      <c r="I84" s="531" t="s">
        <v>212</v>
      </c>
      <c r="J84" s="531"/>
      <c r="K84" s="222" t="s">
        <v>212</v>
      </c>
      <c r="L84" s="222" t="s">
        <v>212</v>
      </c>
      <c r="M84" s="222" t="s">
        <v>212</v>
      </c>
      <c r="N84" s="222" t="s">
        <v>212</v>
      </c>
      <c r="O84" s="222" t="s">
        <v>212</v>
      </c>
      <c r="P84" s="222" t="s">
        <v>212</v>
      </c>
      <c r="Q84" s="222" t="s">
        <v>212</v>
      </c>
      <c r="R84" s="222" t="s">
        <v>212</v>
      </c>
      <c r="S84" s="222" t="s">
        <v>212</v>
      </c>
      <c r="T84" s="531" t="s">
        <v>212</v>
      </c>
      <c r="U84" s="531"/>
      <c r="V84" s="222" t="s">
        <v>212</v>
      </c>
      <c r="W84" s="222" t="s">
        <v>212</v>
      </c>
      <c r="X84" s="531" t="s">
        <v>212</v>
      </c>
      <c r="Y84" s="531"/>
      <c r="Z84" s="222" t="s">
        <v>212</v>
      </c>
      <c r="AA84" s="222" t="s">
        <v>212</v>
      </c>
      <c r="AB84" s="222" t="s">
        <v>212</v>
      </c>
      <c r="AC84" s="215"/>
    </row>
    <row r="85" spans="1:29" ht="13.5" customHeight="1">
      <c r="A85" s="215"/>
      <c r="B85" s="532">
        <v>38752</v>
      </c>
      <c r="C85" s="532"/>
      <c r="D85" s="219" t="s">
        <v>212</v>
      </c>
      <c r="E85" s="224">
        <v>221</v>
      </c>
      <c r="F85" s="533">
        <v>24</v>
      </c>
      <c r="G85" s="533"/>
      <c r="H85" s="224">
        <v>279.10000000000002</v>
      </c>
      <c r="I85" s="533">
        <v>24</v>
      </c>
      <c r="J85" s="533"/>
      <c r="K85" s="224">
        <v>0</v>
      </c>
      <c r="L85" s="225">
        <v>0</v>
      </c>
      <c r="M85" s="224">
        <v>0</v>
      </c>
      <c r="N85" s="225">
        <v>0</v>
      </c>
      <c r="O85" s="226">
        <v>500.1</v>
      </c>
      <c r="P85" s="222" t="s">
        <v>212</v>
      </c>
      <c r="Q85" s="224">
        <v>0</v>
      </c>
      <c r="R85" s="225">
        <v>0</v>
      </c>
      <c r="S85" s="224">
        <v>0</v>
      </c>
      <c r="T85" s="533">
        <v>0</v>
      </c>
      <c r="U85" s="533"/>
      <c r="V85" s="224">
        <v>0</v>
      </c>
      <c r="W85" s="222" t="s">
        <v>212</v>
      </c>
      <c r="X85" s="534">
        <v>500.1</v>
      </c>
      <c r="Y85" s="534"/>
      <c r="Z85" s="222" t="s">
        <v>212</v>
      </c>
      <c r="AA85" s="227">
        <v>7140700</v>
      </c>
      <c r="AB85" s="228">
        <v>0</v>
      </c>
      <c r="AC85" s="215"/>
    </row>
    <row r="86" spans="1:29" ht="2.25" customHeight="1">
      <c r="A86" s="215"/>
      <c r="B86" s="529" t="s">
        <v>212</v>
      </c>
      <c r="C86" s="529"/>
      <c r="D86" s="219" t="s">
        <v>212</v>
      </c>
      <c r="E86" s="222" t="s">
        <v>212</v>
      </c>
      <c r="F86" s="531" t="s">
        <v>212</v>
      </c>
      <c r="G86" s="531"/>
      <c r="H86" s="222" t="s">
        <v>212</v>
      </c>
      <c r="I86" s="531" t="s">
        <v>212</v>
      </c>
      <c r="J86" s="531"/>
      <c r="K86" s="222" t="s">
        <v>212</v>
      </c>
      <c r="L86" s="222" t="s">
        <v>212</v>
      </c>
      <c r="M86" s="222" t="s">
        <v>212</v>
      </c>
      <c r="N86" s="222" t="s">
        <v>212</v>
      </c>
      <c r="O86" s="222" t="s">
        <v>212</v>
      </c>
      <c r="P86" s="222" t="s">
        <v>212</v>
      </c>
      <c r="Q86" s="222" t="s">
        <v>212</v>
      </c>
      <c r="R86" s="222" t="s">
        <v>212</v>
      </c>
      <c r="S86" s="222" t="s">
        <v>212</v>
      </c>
      <c r="T86" s="531" t="s">
        <v>212</v>
      </c>
      <c r="U86" s="531"/>
      <c r="V86" s="222" t="s">
        <v>212</v>
      </c>
      <c r="W86" s="222" t="s">
        <v>212</v>
      </c>
      <c r="X86" s="531" t="s">
        <v>212</v>
      </c>
      <c r="Y86" s="531"/>
      <c r="Z86" s="222" t="s">
        <v>212</v>
      </c>
      <c r="AA86" s="222" t="s">
        <v>212</v>
      </c>
      <c r="AB86" s="222" t="s">
        <v>212</v>
      </c>
      <c r="AC86" s="215"/>
    </row>
    <row r="87" spans="1:29" ht="13.5" customHeight="1">
      <c r="A87" s="215"/>
      <c r="B87" s="535">
        <v>38753</v>
      </c>
      <c r="C87" s="535"/>
      <c r="D87" s="219" t="s">
        <v>212</v>
      </c>
      <c r="E87" s="229">
        <v>247.8</v>
      </c>
      <c r="F87" s="536">
        <v>24</v>
      </c>
      <c r="G87" s="536"/>
      <c r="H87" s="229">
        <v>283</v>
      </c>
      <c r="I87" s="536">
        <v>24</v>
      </c>
      <c r="J87" s="536"/>
      <c r="K87" s="229">
        <v>0</v>
      </c>
      <c r="L87" s="230">
        <v>0</v>
      </c>
      <c r="M87" s="229">
        <v>0</v>
      </c>
      <c r="N87" s="230">
        <v>0</v>
      </c>
      <c r="O87" s="231">
        <v>530.79999999999995</v>
      </c>
      <c r="P87" s="222" t="s">
        <v>212</v>
      </c>
      <c r="Q87" s="229">
        <v>0</v>
      </c>
      <c r="R87" s="230">
        <v>0</v>
      </c>
      <c r="S87" s="229">
        <v>0</v>
      </c>
      <c r="T87" s="536">
        <v>0</v>
      </c>
      <c r="U87" s="536"/>
      <c r="V87" s="229">
        <v>0</v>
      </c>
      <c r="W87" s="222" t="s">
        <v>212</v>
      </c>
      <c r="X87" s="530">
        <v>530.79999999999995</v>
      </c>
      <c r="Y87" s="530"/>
      <c r="Z87" s="222" t="s">
        <v>212</v>
      </c>
      <c r="AA87" s="232">
        <v>7427400</v>
      </c>
      <c r="AB87" s="233">
        <v>0</v>
      </c>
      <c r="AC87" s="215"/>
    </row>
    <row r="88" spans="1:29" ht="2.25" customHeight="1">
      <c r="A88" s="215"/>
      <c r="B88" s="529" t="s">
        <v>212</v>
      </c>
      <c r="C88" s="529"/>
      <c r="D88" s="219" t="s">
        <v>212</v>
      </c>
      <c r="E88" s="222" t="s">
        <v>212</v>
      </c>
      <c r="F88" s="531" t="s">
        <v>212</v>
      </c>
      <c r="G88" s="531"/>
      <c r="H88" s="222" t="s">
        <v>212</v>
      </c>
      <c r="I88" s="531" t="s">
        <v>212</v>
      </c>
      <c r="J88" s="531"/>
      <c r="K88" s="222" t="s">
        <v>212</v>
      </c>
      <c r="L88" s="222" t="s">
        <v>212</v>
      </c>
      <c r="M88" s="222" t="s">
        <v>212</v>
      </c>
      <c r="N88" s="222" t="s">
        <v>212</v>
      </c>
      <c r="O88" s="222" t="s">
        <v>212</v>
      </c>
      <c r="P88" s="222" t="s">
        <v>212</v>
      </c>
      <c r="Q88" s="222" t="s">
        <v>212</v>
      </c>
      <c r="R88" s="222" t="s">
        <v>212</v>
      </c>
      <c r="S88" s="222" t="s">
        <v>212</v>
      </c>
      <c r="T88" s="531" t="s">
        <v>212</v>
      </c>
      <c r="U88" s="531"/>
      <c r="V88" s="222" t="s">
        <v>212</v>
      </c>
      <c r="W88" s="222" t="s">
        <v>212</v>
      </c>
      <c r="X88" s="531" t="s">
        <v>212</v>
      </c>
      <c r="Y88" s="531"/>
      <c r="Z88" s="222" t="s">
        <v>212</v>
      </c>
      <c r="AA88" s="222" t="s">
        <v>212</v>
      </c>
      <c r="AB88" s="222" t="s">
        <v>212</v>
      </c>
      <c r="AC88" s="215"/>
    </row>
    <row r="89" spans="1:29" ht="13.5" customHeight="1">
      <c r="A89" s="215"/>
      <c r="B89" s="532">
        <v>38754</v>
      </c>
      <c r="C89" s="532"/>
      <c r="D89" s="219" t="s">
        <v>212</v>
      </c>
      <c r="E89" s="224">
        <v>286.89999999999998</v>
      </c>
      <c r="F89" s="533">
        <v>24</v>
      </c>
      <c r="G89" s="533"/>
      <c r="H89" s="224">
        <v>317</v>
      </c>
      <c r="I89" s="533">
        <v>24</v>
      </c>
      <c r="J89" s="533"/>
      <c r="K89" s="224">
        <v>29.2</v>
      </c>
      <c r="L89" s="225">
        <v>4</v>
      </c>
      <c r="M89" s="224">
        <v>0</v>
      </c>
      <c r="N89" s="225">
        <v>0</v>
      </c>
      <c r="O89" s="226">
        <v>633.1</v>
      </c>
      <c r="P89" s="222" t="s">
        <v>212</v>
      </c>
      <c r="Q89" s="224">
        <v>0</v>
      </c>
      <c r="R89" s="225">
        <v>0</v>
      </c>
      <c r="S89" s="224">
        <v>0</v>
      </c>
      <c r="T89" s="533">
        <v>0</v>
      </c>
      <c r="U89" s="533"/>
      <c r="V89" s="224">
        <v>0</v>
      </c>
      <c r="W89" s="222" t="s">
        <v>212</v>
      </c>
      <c r="X89" s="534">
        <v>633.1</v>
      </c>
      <c r="Y89" s="534"/>
      <c r="Z89" s="222" t="s">
        <v>212</v>
      </c>
      <c r="AA89" s="227">
        <v>7968200</v>
      </c>
      <c r="AB89" s="228">
        <v>18190</v>
      </c>
      <c r="AC89" s="215"/>
    </row>
    <row r="90" spans="1:29" ht="2.25" customHeight="1">
      <c r="A90" s="215"/>
      <c r="B90" s="529" t="s">
        <v>212</v>
      </c>
      <c r="C90" s="529"/>
      <c r="D90" s="219" t="s">
        <v>212</v>
      </c>
      <c r="E90" s="222" t="s">
        <v>212</v>
      </c>
      <c r="F90" s="531" t="s">
        <v>212</v>
      </c>
      <c r="G90" s="531"/>
      <c r="H90" s="222" t="s">
        <v>212</v>
      </c>
      <c r="I90" s="531" t="s">
        <v>212</v>
      </c>
      <c r="J90" s="531"/>
      <c r="K90" s="222" t="s">
        <v>212</v>
      </c>
      <c r="L90" s="222" t="s">
        <v>212</v>
      </c>
      <c r="M90" s="222" t="s">
        <v>212</v>
      </c>
      <c r="N90" s="222" t="s">
        <v>212</v>
      </c>
      <c r="O90" s="222" t="s">
        <v>212</v>
      </c>
      <c r="P90" s="222" t="s">
        <v>212</v>
      </c>
      <c r="Q90" s="222" t="s">
        <v>212</v>
      </c>
      <c r="R90" s="222" t="s">
        <v>212</v>
      </c>
      <c r="S90" s="222" t="s">
        <v>212</v>
      </c>
      <c r="T90" s="531" t="s">
        <v>212</v>
      </c>
      <c r="U90" s="531"/>
      <c r="V90" s="222" t="s">
        <v>212</v>
      </c>
      <c r="W90" s="222" t="s">
        <v>212</v>
      </c>
      <c r="X90" s="531" t="s">
        <v>212</v>
      </c>
      <c r="Y90" s="531"/>
      <c r="Z90" s="222" t="s">
        <v>212</v>
      </c>
      <c r="AA90" s="222" t="s">
        <v>212</v>
      </c>
      <c r="AB90" s="222" t="s">
        <v>212</v>
      </c>
      <c r="AC90" s="215"/>
    </row>
    <row r="91" spans="1:29" ht="13.5" customHeight="1">
      <c r="A91" s="215"/>
      <c r="B91" s="535">
        <v>38755</v>
      </c>
      <c r="C91" s="535"/>
      <c r="D91" s="219" t="s">
        <v>212</v>
      </c>
      <c r="E91" s="229">
        <v>276.10000000000002</v>
      </c>
      <c r="F91" s="536">
        <v>24</v>
      </c>
      <c r="G91" s="536"/>
      <c r="H91" s="229">
        <v>316.10000000000002</v>
      </c>
      <c r="I91" s="536">
        <v>24</v>
      </c>
      <c r="J91" s="536"/>
      <c r="K91" s="229">
        <v>98.9</v>
      </c>
      <c r="L91" s="230">
        <v>14</v>
      </c>
      <c r="M91" s="229">
        <v>0</v>
      </c>
      <c r="N91" s="230">
        <v>0</v>
      </c>
      <c r="O91" s="231">
        <v>691.1</v>
      </c>
      <c r="P91" s="222" t="s">
        <v>212</v>
      </c>
      <c r="Q91" s="229">
        <v>0</v>
      </c>
      <c r="R91" s="230">
        <v>24</v>
      </c>
      <c r="S91" s="229">
        <v>0</v>
      </c>
      <c r="T91" s="536">
        <v>0</v>
      </c>
      <c r="U91" s="536"/>
      <c r="V91" s="229">
        <v>0</v>
      </c>
      <c r="W91" s="222" t="s">
        <v>212</v>
      </c>
      <c r="X91" s="530">
        <v>691.1</v>
      </c>
      <c r="Y91" s="530"/>
      <c r="Z91" s="222" t="s">
        <v>212</v>
      </c>
      <c r="AA91" s="232">
        <v>7866100</v>
      </c>
      <c r="AB91" s="233">
        <v>64380</v>
      </c>
      <c r="AC91" s="215"/>
    </row>
    <row r="92" spans="1:29" ht="2.25" customHeight="1">
      <c r="A92" s="215"/>
      <c r="B92" s="529" t="s">
        <v>212</v>
      </c>
      <c r="C92" s="529"/>
      <c r="D92" s="219" t="s">
        <v>212</v>
      </c>
      <c r="E92" s="222" t="s">
        <v>212</v>
      </c>
      <c r="F92" s="531" t="s">
        <v>212</v>
      </c>
      <c r="G92" s="531"/>
      <c r="H92" s="222" t="s">
        <v>212</v>
      </c>
      <c r="I92" s="531" t="s">
        <v>212</v>
      </c>
      <c r="J92" s="531"/>
      <c r="K92" s="222" t="s">
        <v>212</v>
      </c>
      <c r="L92" s="222" t="s">
        <v>212</v>
      </c>
      <c r="M92" s="222" t="s">
        <v>212</v>
      </c>
      <c r="N92" s="222" t="s">
        <v>212</v>
      </c>
      <c r="O92" s="222" t="s">
        <v>212</v>
      </c>
      <c r="P92" s="222" t="s">
        <v>212</v>
      </c>
      <c r="Q92" s="222" t="s">
        <v>212</v>
      </c>
      <c r="R92" s="222" t="s">
        <v>212</v>
      </c>
      <c r="S92" s="222" t="s">
        <v>212</v>
      </c>
      <c r="T92" s="531" t="s">
        <v>212</v>
      </c>
      <c r="U92" s="531"/>
      <c r="V92" s="222" t="s">
        <v>212</v>
      </c>
      <c r="W92" s="222" t="s">
        <v>212</v>
      </c>
      <c r="X92" s="531" t="s">
        <v>212</v>
      </c>
      <c r="Y92" s="531"/>
      <c r="Z92" s="222" t="s">
        <v>212</v>
      </c>
      <c r="AA92" s="222" t="s">
        <v>212</v>
      </c>
      <c r="AB92" s="222" t="s">
        <v>212</v>
      </c>
      <c r="AC92" s="215"/>
    </row>
    <row r="93" spans="1:29" ht="13.5" customHeight="1">
      <c r="A93" s="215"/>
      <c r="B93" s="532">
        <v>38756</v>
      </c>
      <c r="C93" s="532"/>
      <c r="D93" s="219" t="s">
        <v>212</v>
      </c>
      <c r="E93" s="224">
        <v>286</v>
      </c>
      <c r="F93" s="533">
        <v>24</v>
      </c>
      <c r="G93" s="533"/>
      <c r="H93" s="224">
        <v>259.89999999999998</v>
      </c>
      <c r="I93" s="533">
        <v>24</v>
      </c>
      <c r="J93" s="533"/>
      <c r="K93" s="224">
        <v>18.2</v>
      </c>
      <c r="L93" s="225">
        <v>3</v>
      </c>
      <c r="M93" s="224">
        <v>0</v>
      </c>
      <c r="N93" s="225">
        <v>0</v>
      </c>
      <c r="O93" s="226">
        <v>564.1</v>
      </c>
      <c r="P93" s="222" t="s">
        <v>212</v>
      </c>
      <c r="Q93" s="224">
        <v>0</v>
      </c>
      <c r="R93" s="225">
        <v>0</v>
      </c>
      <c r="S93" s="224">
        <v>0</v>
      </c>
      <c r="T93" s="533">
        <v>0</v>
      </c>
      <c r="U93" s="533"/>
      <c r="V93" s="224">
        <v>0</v>
      </c>
      <c r="W93" s="222" t="s">
        <v>212</v>
      </c>
      <c r="X93" s="534">
        <v>564.1</v>
      </c>
      <c r="Y93" s="534"/>
      <c r="Z93" s="222" t="s">
        <v>212</v>
      </c>
      <c r="AA93" s="227">
        <v>7559800</v>
      </c>
      <c r="AB93" s="228">
        <v>13060</v>
      </c>
      <c r="AC93" s="215"/>
    </row>
    <row r="94" spans="1:29" ht="2.25" customHeight="1">
      <c r="A94" s="215"/>
      <c r="B94" s="529" t="s">
        <v>212</v>
      </c>
      <c r="C94" s="529"/>
      <c r="D94" s="219" t="s">
        <v>212</v>
      </c>
      <c r="E94" s="222" t="s">
        <v>212</v>
      </c>
      <c r="F94" s="531" t="s">
        <v>212</v>
      </c>
      <c r="G94" s="531"/>
      <c r="H94" s="222" t="s">
        <v>212</v>
      </c>
      <c r="I94" s="531" t="s">
        <v>212</v>
      </c>
      <c r="J94" s="531"/>
      <c r="K94" s="222" t="s">
        <v>212</v>
      </c>
      <c r="L94" s="222" t="s">
        <v>212</v>
      </c>
      <c r="M94" s="222" t="s">
        <v>212</v>
      </c>
      <c r="N94" s="222" t="s">
        <v>212</v>
      </c>
      <c r="O94" s="222" t="s">
        <v>212</v>
      </c>
      <c r="P94" s="222" t="s">
        <v>212</v>
      </c>
      <c r="Q94" s="222" t="s">
        <v>212</v>
      </c>
      <c r="R94" s="222" t="s">
        <v>212</v>
      </c>
      <c r="S94" s="222" t="s">
        <v>212</v>
      </c>
      <c r="T94" s="531" t="s">
        <v>212</v>
      </c>
      <c r="U94" s="531"/>
      <c r="V94" s="222" t="s">
        <v>212</v>
      </c>
      <c r="W94" s="222" t="s">
        <v>212</v>
      </c>
      <c r="X94" s="531" t="s">
        <v>212</v>
      </c>
      <c r="Y94" s="531"/>
      <c r="Z94" s="222" t="s">
        <v>212</v>
      </c>
      <c r="AA94" s="222" t="s">
        <v>212</v>
      </c>
      <c r="AB94" s="222" t="s">
        <v>212</v>
      </c>
      <c r="AC94" s="215"/>
    </row>
    <row r="95" spans="1:29" ht="13.5" customHeight="1">
      <c r="A95" s="215"/>
      <c r="B95" s="535">
        <v>38757</v>
      </c>
      <c r="C95" s="535"/>
      <c r="D95" s="219" t="s">
        <v>212</v>
      </c>
      <c r="E95" s="229">
        <v>260</v>
      </c>
      <c r="F95" s="536">
        <v>24</v>
      </c>
      <c r="G95" s="536"/>
      <c r="H95" s="229">
        <v>257.60000000000002</v>
      </c>
      <c r="I95" s="536">
        <v>24</v>
      </c>
      <c r="J95" s="536"/>
      <c r="K95" s="229">
        <v>0</v>
      </c>
      <c r="L95" s="230">
        <v>0</v>
      </c>
      <c r="M95" s="229">
        <v>0</v>
      </c>
      <c r="N95" s="230">
        <v>0</v>
      </c>
      <c r="O95" s="231">
        <v>517.6</v>
      </c>
      <c r="P95" s="222" t="s">
        <v>212</v>
      </c>
      <c r="Q95" s="229">
        <v>0</v>
      </c>
      <c r="R95" s="230">
        <v>0</v>
      </c>
      <c r="S95" s="229">
        <v>0</v>
      </c>
      <c r="T95" s="536">
        <v>0</v>
      </c>
      <c r="U95" s="536"/>
      <c r="V95" s="229">
        <v>0</v>
      </c>
      <c r="W95" s="222" t="s">
        <v>212</v>
      </c>
      <c r="X95" s="530">
        <v>517.6</v>
      </c>
      <c r="Y95" s="530"/>
      <c r="Z95" s="222" t="s">
        <v>212</v>
      </c>
      <c r="AA95" s="232">
        <v>7323400</v>
      </c>
      <c r="AB95" s="233">
        <v>0</v>
      </c>
      <c r="AC95" s="215"/>
    </row>
    <row r="96" spans="1:29" ht="2.25" customHeight="1">
      <c r="A96" s="215"/>
      <c r="B96" s="529" t="s">
        <v>212</v>
      </c>
      <c r="C96" s="529"/>
      <c r="D96" s="219" t="s">
        <v>212</v>
      </c>
      <c r="E96" s="222" t="s">
        <v>212</v>
      </c>
      <c r="F96" s="531" t="s">
        <v>212</v>
      </c>
      <c r="G96" s="531"/>
      <c r="H96" s="222" t="s">
        <v>212</v>
      </c>
      <c r="I96" s="531" t="s">
        <v>212</v>
      </c>
      <c r="J96" s="531"/>
      <c r="K96" s="222" t="s">
        <v>212</v>
      </c>
      <c r="L96" s="222" t="s">
        <v>212</v>
      </c>
      <c r="M96" s="222" t="s">
        <v>212</v>
      </c>
      <c r="N96" s="222" t="s">
        <v>212</v>
      </c>
      <c r="O96" s="222" t="s">
        <v>212</v>
      </c>
      <c r="P96" s="222" t="s">
        <v>212</v>
      </c>
      <c r="Q96" s="222" t="s">
        <v>212</v>
      </c>
      <c r="R96" s="222" t="s">
        <v>212</v>
      </c>
      <c r="S96" s="222" t="s">
        <v>212</v>
      </c>
      <c r="T96" s="531" t="s">
        <v>212</v>
      </c>
      <c r="U96" s="531"/>
      <c r="V96" s="222" t="s">
        <v>212</v>
      </c>
      <c r="W96" s="222" t="s">
        <v>212</v>
      </c>
      <c r="X96" s="531" t="s">
        <v>212</v>
      </c>
      <c r="Y96" s="531"/>
      <c r="Z96" s="222" t="s">
        <v>212</v>
      </c>
      <c r="AA96" s="222" t="s">
        <v>212</v>
      </c>
      <c r="AB96" s="222" t="s">
        <v>212</v>
      </c>
      <c r="AC96" s="215"/>
    </row>
    <row r="97" spans="1:29" ht="13.5" customHeight="1">
      <c r="A97" s="215"/>
      <c r="B97" s="532">
        <v>38758</v>
      </c>
      <c r="C97" s="532"/>
      <c r="D97" s="219" t="s">
        <v>212</v>
      </c>
      <c r="E97" s="224">
        <v>279.8</v>
      </c>
      <c r="F97" s="533">
        <v>24</v>
      </c>
      <c r="G97" s="533"/>
      <c r="H97" s="224">
        <v>322.8</v>
      </c>
      <c r="I97" s="533">
        <v>24</v>
      </c>
      <c r="J97" s="533"/>
      <c r="K97" s="224">
        <v>0</v>
      </c>
      <c r="L97" s="225">
        <v>0</v>
      </c>
      <c r="M97" s="224">
        <v>0</v>
      </c>
      <c r="N97" s="225">
        <v>0</v>
      </c>
      <c r="O97" s="226">
        <v>602.6</v>
      </c>
      <c r="P97" s="222" t="s">
        <v>212</v>
      </c>
      <c r="Q97" s="224">
        <v>0</v>
      </c>
      <c r="R97" s="225">
        <v>0</v>
      </c>
      <c r="S97" s="224">
        <v>0</v>
      </c>
      <c r="T97" s="533">
        <v>0</v>
      </c>
      <c r="U97" s="533"/>
      <c r="V97" s="224">
        <v>0</v>
      </c>
      <c r="W97" s="222" t="s">
        <v>212</v>
      </c>
      <c r="X97" s="534">
        <v>602.6</v>
      </c>
      <c r="Y97" s="534"/>
      <c r="Z97" s="222" t="s">
        <v>212</v>
      </c>
      <c r="AA97" s="227">
        <v>7945100</v>
      </c>
      <c r="AB97" s="228">
        <v>0</v>
      </c>
      <c r="AC97" s="215"/>
    </row>
    <row r="98" spans="1:29" ht="2.25" customHeight="1">
      <c r="A98" s="215"/>
      <c r="B98" s="529" t="s">
        <v>212</v>
      </c>
      <c r="C98" s="529"/>
      <c r="D98" s="219" t="s">
        <v>212</v>
      </c>
      <c r="E98" s="222" t="s">
        <v>212</v>
      </c>
      <c r="F98" s="531" t="s">
        <v>212</v>
      </c>
      <c r="G98" s="531"/>
      <c r="H98" s="222" t="s">
        <v>212</v>
      </c>
      <c r="I98" s="531" t="s">
        <v>212</v>
      </c>
      <c r="J98" s="531"/>
      <c r="K98" s="222" t="s">
        <v>212</v>
      </c>
      <c r="L98" s="222" t="s">
        <v>212</v>
      </c>
      <c r="M98" s="222" t="s">
        <v>212</v>
      </c>
      <c r="N98" s="222" t="s">
        <v>212</v>
      </c>
      <c r="O98" s="222" t="s">
        <v>212</v>
      </c>
      <c r="P98" s="222" t="s">
        <v>212</v>
      </c>
      <c r="Q98" s="222" t="s">
        <v>212</v>
      </c>
      <c r="R98" s="222" t="s">
        <v>212</v>
      </c>
      <c r="S98" s="222" t="s">
        <v>212</v>
      </c>
      <c r="T98" s="531" t="s">
        <v>212</v>
      </c>
      <c r="U98" s="531"/>
      <c r="V98" s="222" t="s">
        <v>212</v>
      </c>
      <c r="W98" s="222" t="s">
        <v>212</v>
      </c>
      <c r="X98" s="531" t="s">
        <v>212</v>
      </c>
      <c r="Y98" s="531"/>
      <c r="Z98" s="222" t="s">
        <v>212</v>
      </c>
      <c r="AA98" s="222" t="s">
        <v>212</v>
      </c>
      <c r="AB98" s="222" t="s">
        <v>212</v>
      </c>
      <c r="AC98" s="215"/>
    </row>
    <row r="99" spans="1:29" ht="13.5" customHeight="1">
      <c r="A99" s="215"/>
      <c r="B99" s="535">
        <v>38759</v>
      </c>
      <c r="C99" s="535"/>
      <c r="D99" s="219" t="s">
        <v>212</v>
      </c>
      <c r="E99" s="229">
        <v>263.60000000000002</v>
      </c>
      <c r="F99" s="536">
        <v>24</v>
      </c>
      <c r="G99" s="536"/>
      <c r="H99" s="229">
        <v>294.7</v>
      </c>
      <c r="I99" s="536">
        <v>24</v>
      </c>
      <c r="J99" s="536"/>
      <c r="K99" s="229">
        <v>37.1</v>
      </c>
      <c r="L99" s="230">
        <v>4</v>
      </c>
      <c r="M99" s="229">
        <v>0</v>
      </c>
      <c r="N99" s="230">
        <v>0</v>
      </c>
      <c r="O99" s="231">
        <v>595.4</v>
      </c>
      <c r="P99" s="222" t="s">
        <v>212</v>
      </c>
      <c r="Q99" s="229">
        <v>0</v>
      </c>
      <c r="R99" s="230">
        <v>0</v>
      </c>
      <c r="S99" s="229">
        <v>0</v>
      </c>
      <c r="T99" s="536">
        <v>0</v>
      </c>
      <c r="U99" s="536"/>
      <c r="V99" s="229">
        <v>0</v>
      </c>
      <c r="W99" s="222" t="s">
        <v>212</v>
      </c>
      <c r="X99" s="530">
        <v>595.4</v>
      </c>
      <c r="Y99" s="530"/>
      <c r="Z99" s="222" t="s">
        <v>212</v>
      </c>
      <c r="AA99" s="232">
        <v>7609300</v>
      </c>
      <c r="AB99" s="233">
        <v>22662</v>
      </c>
      <c r="AC99" s="215"/>
    </row>
    <row r="100" spans="1:29" ht="2.25" customHeight="1">
      <c r="A100" s="215"/>
      <c r="B100" s="529" t="s">
        <v>212</v>
      </c>
      <c r="C100" s="529"/>
      <c r="D100" s="219" t="s">
        <v>212</v>
      </c>
      <c r="E100" s="222" t="s">
        <v>212</v>
      </c>
      <c r="F100" s="531" t="s">
        <v>212</v>
      </c>
      <c r="G100" s="531"/>
      <c r="H100" s="222" t="s">
        <v>212</v>
      </c>
      <c r="I100" s="531" t="s">
        <v>212</v>
      </c>
      <c r="J100" s="531"/>
      <c r="K100" s="222" t="s">
        <v>212</v>
      </c>
      <c r="L100" s="222" t="s">
        <v>212</v>
      </c>
      <c r="M100" s="222" t="s">
        <v>212</v>
      </c>
      <c r="N100" s="222" t="s">
        <v>212</v>
      </c>
      <c r="O100" s="222" t="s">
        <v>212</v>
      </c>
      <c r="P100" s="222" t="s">
        <v>212</v>
      </c>
      <c r="Q100" s="222" t="s">
        <v>212</v>
      </c>
      <c r="R100" s="222" t="s">
        <v>212</v>
      </c>
      <c r="S100" s="222" t="s">
        <v>212</v>
      </c>
      <c r="T100" s="531" t="s">
        <v>212</v>
      </c>
      <c r="U100" s="531"/>
      <c r="V100" s="222" t="s">
        <v>212</v>
      </c>
      <c r="W100" s="222" t="s">
        <v>212</v>
      </c>
      <c r="X100" s="531" t="s">
        <v>212</v>
      </c>
      <c r="Y100" s="531"/>
      <c r="Z100" s="222" t="s">
        <v>212</v>
      </c>
      <c r="AA100" s="222" t="s">
        <v>212</v>
      </c>
      <c r="AB100" s="222" t="s">
        <v>212</v>
      </c>
      <c r="AC100" s="215"/>
    </row>
    <row r="101" spans="1:29" ht="13.5" customHeight="1">
      <c r="A101" s="215"/>
      <c r="B101" s="532">
        <v>38760</v>
      </c>
      <c r="C101" s="532"/>
      <c r="D101" s="219" t="s">
        <v>212</v>
      </c>
      <c r="E101" s="224">
        <v>277.60000000000002</v>
      </c>
      <c r="F101" s="533">
        <v>24</v>
      </c>
      <c r="G101" s="533"/>
      <c r="H101" s="224">
        <v>310.89999999999998</v>
      </c>
      <c r="I101" s="533">
        <v>24</v>
      </c>
      <c r="J101" s="533"/>
      <c r="K101" s="224">
        <v>90.4</v>
      </c>
      <c r="L101" s="225">
        <v>11</v>
      </c>
      <c r="M101" s="224">
        <v>0</v>
      </c>
      <c r="N101" s="225">
        <v>0</v>
      </c>
      <c r="O101" s="226">
        <v>678.9</v>
      </c>
      <c r="P101" s="222" t="s">
        <v>212</v>
      </c>
      <c r="Q101" s="224">
        <v>0</v>
      </c>
      <c r="R101" s="225">
        <v>0</v>
      </c>
      <c r="S101" s="224">
        <v>0</v>
      </c>
      <c r="T101" s="533">
        <v>0</v>
      </c>
      <c r="U101" s="533"/>
      <c r="V101" s="224">
        <v>0</v>
      </c>
      <c r="W101" s="222" t="s">
        <v>212</v>
      </c>
      <c r="X101" s="534">
        <v>678.9</v>
      </c>
      <c r="Y101" s="534"/>
      <c r="Z101" s="222" t="s">
        <v>212</v>
      </c>
      <c r="AA101" s="227">
        <v>7843100</v>
      </c>
      <c r="AB101" s="228">
        <v>54843</v>
      </c>
      <c r="AC101" s="215"/>
    </row>
    <row r="102" spans="1:29" ht="2.25" customHeight="1">
      <c r="A102" s="215"/>
      <c r="B102" s="529" t="s">
        <v>212</v>
      </c>
      <c r="C102" s="529"/>
      <c r="D102" s="219" t="s">
        <v>212</v>
      </c>
      <c r="E102" s="222" t="s">
        <v>212</v>
      </c>
      <c r="F102" s="531" t="s">
        <v>212</v>
      </c>
      <c r="G102" s="531"/>
      <c r="H102" s="222" t="s">
        <v>212</v>
      </c>
      <c r="I102" s="531" t="s">
        <v>212</v>
      </c>
      <c r="J102" s="531"/>
      <c r="K102" s="222" t="s">
        <v>212</v>
      </c>
      <c r="L102" s="222" t="s">
        <v>212</v>
      </c>
      <c r="M102" s="222" t="s">
        <v>212</v>
      </c>
      <c r="N102" s="222" t="s">
        <v>212</v>
      </c>
      <c r="O102" s="222" t="s">
        <v>212</v>
      </c>
      <c r="P102" s="222" t="s">
        <v>212</v>
      </c>
      <c r="Q102" s="222" t="s">
        <v>212</v>
      </c>
      <c r="R102" s="222" t="s">
        <v>212</v>
      </c>
      <c r="S102" s="222" t="s">
        <v>212</v>
      </c>
      <c r="T102" s="531" t="s">
        <v>212</v>
      </c>
      <c r="U102" s="531"/>
      <c r="V102" s="222" t="s">
        <v>212</v>
      </c>
      <c r="W102" s="222" t="s">
        <v>212</v>
      </c>
      <c r="X102" s="531" t="s">
        <v>212</v>
      </c>
      <c r="Y102" s="531"/>
      <c r="Z102" s="222" t="s">
        <v>212</v>
      </c>
      <c r="AA102" s="222" t="s">
        <v>212</v>
      </c>
      <c r="AB102" s="222" t="s">
        <v>212</v>
      </c>
      <c r="AC102" s="215"/>
    </row>
    <row r="103" spans="1:29" ht="13.5" customHeight="1">
      <c r="A103" s="215"/>
      <c r="B103" s="535">
        <v>38761</v>
      </c>
      <c r="C103" s="535"/>
      <c r="D103" s="219" t="s">
        <v>212</v>
      </c>
      <c r="E103" s="229">
        <v>286</v>
      </c>
      <c r="F103" s="536">
        <v>24</v>
      </c>
      <c r="G103" s="536"/>
      <c r="H103" s="229">
        <v>313.5</v>
      </c>
      <c r="I103" s="536">
        <v>24</v>
      </c>
      <c r="J103" s="536"/>
      <c r="K103" s="229">
        <v>0</v>
      </c>
      <c r="L103" s="230">
        <v>0</v>
      </c>
      <c r="M103" s="229">
        <v>0</v>
      </c>
      <c r="N103" s="230">
        <v>0</v>
      </c>
      <c r="O103" s="231">
        <v>599.5</v>
      </c>
      <c r="P103" s="222" t="s">
        <v>212</v>
      </c>
      <c r="Q103" s="229">
        <v>0</v>
      </c>
      <c r="R103" s="230">
        <v>0</v>
      </c>
      <c r="S103" s="229">
        <v>0</v>
      </c>
      <c r="T103" s="536">
        <v>0</v>
      </c>
      <c r="U103" s="536"/>
      <c r="V103" s="229">
        <v>0</v>
      </c>
      <c r="W103" s="222" t="s">
        <v>212</v>
      </c>
      <c r="X103" s="530">
        <v>599.5</v>
      </c>
      <c r="Y103" s="530"/>
      <c r="Z103" s="222" t="s">
        <v>212</v>
      </c>
      <c r="AA103" s="232">
        <v>7878000</v>
      </c>
      <c r="AB103" s="233">
        <v>0</v>
      </c>
      <c r="AC103" s="215"/>
    </row>
    <row r="104" spans="1:29" ht="2.25" customHeight="1">
      <c r="A104" s="215"/>
      <c r="B104" s="529" t="s">
        <v>212</v>
      </c>
      <c r="C104" s="529"/>
      <c r="D104" s="219" t="s">
        <v>212</v>
      </c>
      <c r="E104" s="222" t="s">
        <v>212</v>
      </c>
      <c r="F104" s="531" t="s">
        <v>212</v>
      </c>
      <c r="G104" s="531"/>
      <c r="H104" s="222" t="s">
        <v>212</v>
      </c>
      <c r="I104" s="531" t="s">
        <v>212</v>
      </c>
      <c r="J104" s="531"/>
      <c r="K104" s="222" t="s">
        <v>212</v>
      </c>
      <c r="L104" s="222" t="s">
        <v>212</v>
      </c>
      <c r="M104" s="222" t="s">
        <v>212</v>
      </c>
      <c r="N104" s="222" t="s">
        <v>212</v>
      </c>
      <c r="O104" s="222" t="s">
        <v>212</v>
      </c>
      <c r="P104" s="222" t="s">
        <v>212</v>
      </c>
      <c r="Q104" s="222" t="s">
        <v>212</v>
      </c>
      <c r="R104" s="222" t="s">
        <v>212</v>
      </c>
      <c r="S104" s="222" t="s">
        <v>212</v>
      </c>
      <c r="T104" s="531" t="s">
        <v>212</v>
      </c>
      <c r="U104" s="531"/>
      <c r="V104" s="222" t="s">
        <v>212</v>
      </c>
      <c r="W104" s="222" t="s">
        <v>212</v>
      </c>
      <c r="X104" s="531" t="s">
        <v>212</v>
      </c>
      <c r="Y104" s="531"/>
      <c r="Z104" s="222" t="s">
        <v>212</v>
      </c>
      <c r="AA104" s="222" t="s">
        <v>212</v>
      </c>
      <c r="AB104" s="222" t="s">
        <v>212</v>
      </c>
      <c r="AC104" s="215"/>
    </row>
    <row r="105" spans="1:29" ht="13.5" customHeight="1">
      <c r="A105" s="215"/>
      <c r="B105" s="532">
        <v>38762</v>
      </c>
      <c r="C105" s="532"/>
      <c r="D105" s="219" t="s">
        <v>212</v>
      </c>
      <c r="E105" s="224">
        <v>285.89999999999998</v>
      </c>
      <c r="F105" s="533">
        <v>24</v>
      </c>
      <c r="G105" s="533"/>
      <c r="H105" s="224">
        <v>326.89999999999998</v>
      </c>
      <c r="I105" s="533">
        <v>24</v>
      </c>
      <c r="J105" s="533"/>
      <c r="K105" s="224">
        <v>0</v>
      </c>
      <c r="L105" s="225">
        <v>0</v>
      </c>
      <c r="M105" s="224">
        <v>0</v>
      </c>
      <c r="N105" s="225">
        <v>0</v>
      </c>
      <c r="O105" s="226">
        <v>612.79999999999995</v>
      </c>
      <c r="P105" s="222" t="s">
        <v>212</v>
      </c>
      <c r="Q105" s="224">
        <v>0</v>
      </c>
      <c r="R105" s="225">
        <v>24</v>
      </c>
      <c r="S105" s="224">
        <v>0</v>
      </c>
      <c r="T105" s="533">
        <v>0</v>
      </c>
      <c r="U105" s="533"/>
      <c r="V105" s="224">
        <v>0</v>
      </c>
      <c r="W105" s="222" t="s">
        <v>212</v>
      </c>
      <c r="X105" s="534">
        <v>612.79999999999995</v>
      </c>
      <c r="Y105" s="534"/>
      <c r="Z105" s="222" t="s">
        <v>212</v>
      </c>
      <c r="AA105" s="227">
        <v>7989400</v>
      </c>
      <c r="AB105" s="228">
        <v>0</v>
      </c>
      <c r="AC105" s="215"/>
    </row>
    <row r="106" spans="1:29" ht="2.25" customHeight="1">
      <c r="A106" s="215"/>
      <c r="B106" s="529" t="s">
        <v>212</v>
      </c>
      <c r="C106" s="529"/>
      <c r="D106" s="219" t="s">
        <v>212</v>
      </c>
      <c r="E106" s="222" t="s">
        <v>212</v>
      </c>
      <c r="F106" s="531" t="s">
        <v>212</v>
      </c>
      <c r="G106" s="531"/>
      <c r="H106" s="222" t="s">
        <v>212</v>
      </c>
      <c r="I106" s="531" t="s">
        <v>212</v>
      </c>
      <c r="J106" s="531"/>
      <c r="K106" s="222" t="s">
        <v>212</v>
      </c>
      <c r="L106" s="222" t="s">
        <v>212</v>
      </c>
      <c r="M106" s="222" t="s">
        <v>212</v>
      </c>
      <c r="N106" s="222" t="s">
        <v>212</v>
      </c>
      <c r="O106" s="222" t="s">
        <v>212</v>
      </c>
      <c r="P106" s="222" t="s">
        <v>212</v>
      </c>
      <c r="Q106" s="222" t="s">
        <v>212</v>
      </c>
      <c r="R106" s="222" t="s">
        <v>212</v>
      </c>
      <c r="S106" s="222" t="s">
        <v>212</v>
      </c>
      <c r="T106" s="531" t="s">
        <v>212</v>
      </c>
      <c r="U106" s="531"/>
      <c r="V106" s="222" t="s">
        <v>212</v>
      </c>
      <c r="W106" s="222" t="s">
        <v>212</v>
      </c>
      <c r="X106" s="531" t="s">
        <v>212</v>
      </c>
      <c r="Y106" s="531"/>
      <c r="Z106" s="222" t="s">
        <v>212</v>
      </c>
      <c r="AA106" s="222" t="s">
        <v>212</v>
      </c>
      <c r="AB106" s="222" t="s">
        <v>212</v>
      </c>
      <c r="AC106" s="215"/>
    </row>
    <row r="107" spans="1:29" ht="13.5" customHeight="1">
      <c r="A107" s="215"/>
      <c r="B107" s="535">
        <v>38763</v>
      </c>
      <c r="C107" s="535"/>
      <c r="D107" s="219" t="s">
        <v>212</v>
      </c>
      <c r="E107" s="229">
        <v>303</v>
      </c>
      <c r="F107" s="536">
        <v>24</v>
      </c>
      <c r="G107" s="536"/>
      <c r="H107" s="229">
        <v>275.89999999999998</v>
      </c>
      <c r="I107" s="536">
        <v>24</v>
      </c>
      <c r="J107" s="536"/>
      <c r="K107" s="229">
        <v>72.8</v>
      </c>
      <c r="L107" s="230">
        <v>11</v>
      </c>
      <c r="M107" s="229">
        <v>0</v>
      </c>
      <c r="N107" s="230">
        <v>0</v>
      </c>
      <c r="O107" s="231">
        <v>651.70000000000005</v>
      </c>
      <c r="P107" s="222" t="s">
        <v>212</v>
      </c>
      <c r="Q107" s="229">
        <v>0</v>
      </c>
      <c r="R107" s="230">
        <v>0</v>
      </c>
      <c r="S107" s="229">
        <v>0</v>
      </c>
      <c r="T107" s="536">
        <v>0</v>
      </c>
      <c r="U107" s="536"/>
      <c r="V107" s="229">
        <v>0</v>
      </c>
      <c r="W107" s="222" t="s">
        <v>212</v>
      </c>
      <c r="X107" s="530">
        <v>651.70000000000005</v>
      </c>
      <c r="Y107" s="530"/>
      <c r="Z107" s="222" t="s">
        <v>212</v>
      </c>
      <c r="AA107" s="232">
        <v>7277733</v>
      </c>
      <c r="AB107" s="233">
        <v>61968</v>
      </c>
      <c r="AC107" s="215"/>
    </row>
    <row r="108" spans="1:29" ht="2.25" customHeight="1">
      <c r="A108" s="215"/>
      <c r="B108" s="529" t="s">
        <v>212</v>
      </c>
      <c r="C108" s="529"/>
      <c r="D108" s="219" t="s">
        <v>212</v>
      </c>
      <c r="E108" s="222" t="s">
        <v>212</v>
      </c>
      <c r="F108" s="531" t="s">
        <v>212</v>
      </c>
      <c r="G108" s="531"/>
      <c r="H108" s="222" t="s">
        <v>212</v>
      </c>
      <c r="I108" s="531" t="s">
        <v>212</v>
      </c>
      <c r="J108" s="531"/>
      <c r="K108" s="222" t="s">
        <v>212</v>
      </c>
      <c r="L108" s="222" t="s">
        <v>212</v>
      </c>
      <c r="M108" s="222" t="s">
        <v>212</v>
      </c>
      <c r="N108" s="222" t="s">
        <v>212</v>
      </c>
      <c r="O108" s="222" t="s">
        <v>212</v>
      </c>
      <c r="P108" s="222" t="s">
        <v>212</v>
      </c>
      <c r="Q108" s="222" t="s">
        <v>212</v>
      </c>
      <c r="R108" s="222" t="s">
        <v>212</v>
      </c>
      <c r="S108" s="222" t="s">
        <v>212</v>
      </c>
      <c r="T108" s="531" t="s">
        <v>212</v>
      </c>
      <c r="U108" s="531"/>
      <c r="V108" s="222" t="s">
        <v>212</v>
      </c>
      <c r="W108" s="222" t="s">
        <v>212</v>
      </c>
      <c r="X108" s="531" t="s">
        <v>212</v>
      </c>
      <c r="Y108" s="531"/>
      <c r="Z108" s="222" t="s">
        <v>212</v>
      </c>
      <c r="AA108" s="222" t="s">
        <v>212</v>
      </c>
      <c r="AB108" s="222" t="s">
        <v>212</v>
      </c>
      <c r="AC108" s="215"/>
    </row>
    <row r="109" spans="1:29" ht="13.5" customHeight="1">
      <c r="A109" s="215"/>
      <c r="B109" s="532">
        <v>38764</v>
      </c>
      <c r="C109" s="532"/>
      <c r="D109" s="219" t="s">
        <v>212</v>
      </c>
      <c r="E109" s="224">
        <v>272.10000000000002</v>
      </c>
      <c r="F109" s="533">
        <v>24</v>
      </c>
      <c r="G109" s="533"/>
      <c r="H109" s="224">
        <v>296.8</v>
      </c>
      <c r="I109" s="533">
        <v>24</v>
      </c>
      <c r="J109" s="533"/>
      <c r="K109" s="224">
        <v>32.6</v>
      </c>
      <c r="L109" s="225">
        <v>13</v>
      </c>
      <c r="M109" s="224">
        <v>0</v>
      </c>
      <c r="N109" s="225">
        <v>0</v>
      </c>
      <c r="O109" s="226">
        <v>601.5</v>
      </c>
      <c r="P109" s="222" t="s">
        <v>212</v>
      </c>
      <c r="Q109" s="224">
        <v>0</v>
      </c>
      <c r="R109" s="225">
        <v>0</v>
      </c>
      <c r="S109" s="224">
        <v>0</v>
      </c>
      <c r="T109" s="533">
        <v>0</v>
      </c>
      <c r="U109" s="533"/>
      <c r="V109" s="224">
        <v>0</v>
      </c>
      <c r="W109" s="222" t="s">
        <v>212</v>
      </c>
      <c r="X109" s="534">
        <v>601.5</v>
      </c>
      <c r="Y109" s="534"/>
      <c r="Z109" s="222" t="s">
        <v>212</v>
      </c>
      <c r="AA109" s="227">
        <v>7549543</v>
      </c>
      <c r="AB109" s="228">
        <v>50868</v>
      </c>
      <c r="AC109" s="215"/>
    </row>
    <row r="110" spans="1:29" ht="2.25" customHeight="1">
      <c r="A110" s="215"/>
      <c r="B110" s="529" t="s">
        <v>212</v>
      </c>
      <c r="C110" s="529"/>
      <c r="D110" s="219" t="s">
        <v>212</v>
      </c>
      <c r="E110" s="222" t="s">
        <v>212</v>
      </c>
      <c r="F110" s="531" t="s">
        <v>212</v>
      </c>
      <c r="G110" s="531"/>
      <c r="H110" s="222" t="s">
        <v>212</v>
      </c>
      <c r="I110" s="531" t="s">
        <v>212</v>
      </c>
      <c r="J110" s="531"/>
      <c r="K110" s="222" t="s">
        <v>212</v>
      </c>
      <c r="L110" s="222" t="s">
        <v>212</v>
      </c>
      <c r="M110" s="222" t="s">
        <v>212</v>
      </c>
      <c r="N110" s="222" t="s">
        <v>212</v>
      </c>
      <c r="O110" s="222" t="s">
        <v>212</v>
      </c>
      <c r="P110" s="222" t="s">
        <v>212</v>
      </c>
      <c r="Q110" s="222" t="s">
        <v>212</v>
      </c>
      <c r="R110" s="222" t="s">
        <v>212</v>
      </c>
      <c r="S110" s="222" t="s">
        <v>212</v>
      </c>
      <c r="T110" s="531" t="s">
        <v>212</v>
      </c>
      <c r="U110" s="531"/>
      <c r="V110" s="222" t="s">
        <v>212</v>
      </c>
      <c r="W110" s="222" t="s">
        <v>212</v>
      </c>
      <c r="X110" s="531" t="s">
        <v>212</v>
      </c>
      <c r="Y110" s="531"/>
      <c r="Z110" s="222" t="s">
        <v>212</v>
      </c>
      <c r="AA110" s="222" t="s">
        <v>212</v>
      </c>
      <c r="AB110" s="222" t="s">
        <v>212</v>
      </c>
      <c r="AC110" s="215"/>
    </row>
    <row r="111" spans="1:29" ht="13.5" customHeight="1">
      <c r="A111" s="215"/>
      <c r="B111" s="535">
        <v>38765</v>
      </c>
      <c r="C111" s="535"/>
      <c r="D111" s="219" t="s">
        <v>212</v>
      </c>
      <c r="E111" s="229">
        <v>255.2</v>
      </c>
      <c r="F111" s="536">
        <v>24</v>
      </c>
      <c r="G111" s="536"/>
      <c r="H111" s="229">
        <v>301</v>
      </c>
      <c r="I111" s="536">
        <v>24</v>
      </c>
      <c r="J111" s="536"/>
      <c r="K111" s="229">
        <v>3.2</v>
      </c>
      <c r="L111" s="230">
        <v>6</v>
      </c>
      <c r="M111" s="229">
        <v>0</v>
      </c>
      <c r="N111" s="230">
        <v>0</v>
      </c>
      <c r="O111" s="231">
        <v>559.4</v>
      </c>
      <c r="P111" s="222" t="s">
        <v>212</v>
      </c>
      <c r="Q111" s="229">
        <v>0</v>
      </c>
      <c r="R111" s="230">
        <v>0</v>
      </c>
      <c r="S111" s="229">
        <v>0</v>
      </c>
      <c r="T111" s="536">
        <v>0</v>
      </c>
      <c r="U111" s="536"/>
      <c r="V111" s="229">
        <v>0</v>
      </c>
      <c r="W111" s="222" t="s">
        <v>212</v>
      </c>
      <c r="X111" s="530">
        <v>559.4</v>
      </c>
      <c r="Y111" s="530"/>
      <c r="Z111" s="222" t="s">
        <v>212</v>
      </c>
      <c r="AA111" s="232">
        <v>7247800</v>
      </c>
      <c r="AB111" s="233">
        <v>22974</v>
      </c>
      <c r="AC111" s="215"/>
    </row>
    <row r="112" spans="1:29" ht="2.25" customHeight="1">
      <c r="A112" s="215"/>
      <c r="B112" s="529" t="s">
        <v>212</v>
      </c>
      <c r="C112" s="529"/>
      <c r="D112" s="219" t="s">
        <v>212</v>
      </c>
      <c r="E112" s="222" t="s">
        <v>212</v>
      </c>
      <c r="F112" s="531" t="s">
        <v>212</v>
      </c>
      <c r="G112" s="531"/>
      <c r="H112" s="222" t="s">
        <v>212</v>
      </c>
      <c r="I112" s="531" t="s">
        <v>212</v>
      </c>
      <c r="J112" s="531"/>
      <c r="K112" s="222" t="s">
        <v>212</v>
      </c>
      <c r="L112" s="222" t="s">
        <v>212</v>
      </c>
      <c r="M112" s="222" t="s">
        <v>212</v>
      </c>
      <c r="N112" s="222" t="s">
        <v>212</v>
      </c>
      <c r="O112" s="222" t="s">
        <v>212</v>
      </c>
      <c r="P112" s="222" t="s">
        <v>212</v>
      </c>
      <c r="Q112" s="222" t="s">
        <v>212</v>
      </c>
      <c r="R112" s="222" t="s">
        <v>212</v>
      </c>
      <c r="S112" s="222" t="s">
        <v>212</v>
      </c>
      <c r="T112" s="531" t="s">
        <v>212</v>
      </c>
      <c r="U112" s="531"/>
      <c r="V112" s="222" t="s">
        <v>212</v>
      </c>
      <c r="W112" s="222" t="s">
        <v>212</v>
      </c>
      <c r="X112" s="531" t="s">
        <v>212</v>
      </c>
      <c r="Y112" s="531"/>
      <c r="Z112" s="222" t="s">
        <v>212</v>
      </c>
      <c r="AA112" s="222" t="s">
        <v>212</v>
      </c>
      <c r="AB112" s="222" t="s">
        <v>212</v>
      </c>
      <c r="AC112" s="215"/>
    </row>
    <row r="113" spans="1:29" ht="13.5" customHeight="1">
      <c r="A113" s="215"/>
      <c r="B113" s="532">
        <v>38766</v>
      </c>
      <c r="C113" s="532"/>
      <c r="D113" s="219" t="s">
        <v>212</v>
      </c>
      <c r="E113" s="224">
        <v>237.6</v>
      </c>
      <c r="F113" s="533">
        <v>24</v>
      </c>
      <c r="G113" s="533"/>
      <c r="H113" s="224">
        <v>246.1</v>
      </c>
      <c r="I113" s="533">
        <v>24</v>
      </c>
      <c r="J113" s="533"/>
      <c r="K113" s="224">
        <v>56.7</v>
      </c>
      <c r="L113" s="225">
        <v>9</v>
      </c>
      <c r="M113" s="224">
        <v>0</v>
      </c>
      <c r="N113" s="225">
        <v>0</v>
      </c>
      <c r="O113" s="226">
        <v>540.4</v>
      </c>
      <c r="P113" s="222" t="s">
        <v>212</v>
      </c>
      <c r="Q113" s="224">
        <v>0</v>
      </c>
      <c r="R113" s="225">
        <v>0</v>
      </c>
      <c r="S113" s="224">
        <v>0</v>
      </c>
      <c r="T113" s="533">
        <v>0</v>
      </c>
      <c r="U113" s="533"/>
      <c r="V113" s="224">
        <v>0</v>
      </c>
      <c r="W113" s="222" t="s">
        <v>212</v>
      </c>
      <c r="X113" s="534">
        <v>540.4</v>
      </c>
      <c r="Y113" s="534"/>
      <c r="Z113" s="222" t="s">
        <v>212</v>
      </c>
      <c r="AA113" s="227">
        <v>7029000</v>
      </c>
      <c r="AB113" s="228">
        <v>41774</v>
      </c>
      <c r="AC113" s="215"/>
    </row>
    <row r="114" spans="1:29" ht="2.25" customHeight="1">
      <c r="A114" s="215"/>
      <c r="B114" s="529" t="s">
        <v>212</v>
      </c>
      <c r="C114" s="529"/>
      <c r="D114" s="219" t="s">
        <v>212</v>
      </c>
      <c r="E114" s="222" t="s">
        <v>212</v>
      </c>
      <c r="F114" s="531" t="s">
        <v>212</v>
      </c>
      <c r="G114" s="531"/>
      <c r="H114" s="222" t="s">
        <v>212</v>
      </c>
      <c r="I114" s="531" t="s">
        <v>212</v>
      </c>
      <c r="J114" s="531"/>
      <c r="K114" s="222" t="s">
        <v>212</v>
      </c>
      <c r="L114" s="222" t="s">
        <v>212</v>
      </c>
      <c r="M114" s="222" t="s">
        <v>212</v>
      </c>
      <c r="N114" s="222" t="s">
        <v>212</v>
      </c>
      <c r="O114" s="222" t="s">
        <v>212</v>
      </c>
      <c r="P114" s="222" t="s">
        <v>212</v>
      </c>
      <c r="Q114" s="222" t="s">
        <v>212</v>
      </c>
      <c r="R114" s="222" t="s">
        <v>212</v>
      </c>
      <c r="S114" s="222" t="s">
        <v>212</v>
      </c>
      <c r="T114" s="531" t="s">
        <v>212</v>
      </c>
      <c r="U114" s="531"/>
      <c r="V114" s="222" t="s">
        <v>212</v>
      </c>
      <c r="W114" s="222" t="s">
        <v>212</v>
      </c>
      <c r="X114" s="531" t="s">
        <v>212</v>
      </c>
      <c r="Y114" s="531"/>
      <c r="Z114" s="222" t="s">
        <v>212</v>
      </c>
      <c r="AA114" s="222" t="s">
        <v>212</v>
      </c>
      <c r="AB114" s="222" t="s">
        <v>212</v>
      </c>
      <c r="AC114" s="215"/>
    </row>
    <row r="115" spans="1:29" ht="13.5" customHeight="1">
      <c r="A115" s="215"/>
      <c r="B115" s="535">
        <v>38767</v>
      </c>
      <c r="C115" s="535"/>
      <c r="D115" s="219" t="s">
        <v>212</v>
      </c>
      <c r="E115" s="229">
        <v>254.9</v>
      </c>
      <c r="F115" s="536">
        <v>24</v>
      </c>
      <c r="G115" s="536"/>
      <c r="H115" s="229">
        <v>283.89999999999998</v>
      </c>
      <c r="I115" s="536">
        <v>24</v>
      </c>
      <c r="J115" s="536"/>
      <c r="K115" s="229">
        <v>3.8</v>
      </c>
      <c r="L115" s="230">
        <v>1</v>
      </c>
      <c r="M115" s="229">
        <v>0</v>
      </c>
      <c r="N115" s="230">
        <v>0</v>
      </c>
      <c r="O115" s="231">
        <v>542.6</v>
      </c>
      <c r="P115" s="222" t="s">
        <v>212</v>
      </c>
      <c r="Q115" s="229">
        <v>0</v>
      </c>
      <c r="R115" s="230">
        <v>0</v>
      </c>
      <c r="S115" s="229">
        <v>0</v>
      </c>
      <c r="T115" s="536">
        <v>0</v>
      </c>
      <c r="U115" s="536"/>
      <c r="V115" s="229">
        <v>0</v>
      </c>
      <c r="W115" s="222" t="s">
        <v>212</v>
      </c>
      <c r="X115" s="530">
        <v>542.6</v>
      </c>
      <c r="Y115" s="530"/>
      <c r="Z115" s="222" t="s">
        <v>212</v>
      </c>
      <c r="AA115" s="232">
        <v>7470400</v>
      </c>
      <c r="AB115" s="233">
        <v>4764</v>
      </c>
      <c r="AC115" s="215"/>
    </row>
    <row r="116" spans="1:29" ht="2.25" customHeight="1">
      <c r="A116" s="215"/>
      <c r="B116" s="529" t="s">
        <v>212</v>
      </c>
      <c r="C116" s="529"/>
      <c r="D116" s="219" t="s">
        <v>212</v>
      </c>
      <c r="E116" s="222" t="s">
        <v>212</v>
      </c>
      <c r="F116" s="531" t="s">
        <v>212</v>
      </c>
      <c r="G116" s="531"/>
      <c r="H116" s="222" t="s">
        <v>212</v>
      </c>
      <c r="I116" s="531" t="s">
        <v>212</v>
      </c>
      <c r="J116" s="531"/>
      <c r="K116" s="222" t="s">
        <v>212</v>
      </c>
      <c r="L116" s="222" t="s">
        <v>212</v>
      </c>
      <c r="M116" s="222" t="s">
        <v>212</v>
      </c>
      <c r="N116" s="222" t="s">
        <v>212</v>
      </c>
      <c r="O116" s="222" t="s">
        <v>212</v>
      </c>
      <c r="P116" s="222" t="s">
        <v>212</v>
      </c>
      <c r="Q116" s="222" t="s">
        <v>212</v>
      </c>
      <c r="R116" s="222" t="s">
        <v>212</v>
      </c>
      <c r="S116" s="222" t="s">
        <v>212</v>
      </c>
      <c r="T116" s="531" t="s">
        <v>212</v>
      </c>
      <c r="U116" s="531"/>
      <c r="V116" s="222" t="s">
        <v>212</v>
      </c>
      <c r="W116" s="222" t="s">
        <v>212</v>
      </c>
      <c r="X116" s="531" t="s">
        <v>212</v>
      </c>
      <c r="Y116" s="531"/>
      <c r="Z116" s="222" t="s">
        <v>212</v>
      </c>
      <c r="AA116" s="222" t="s">
        <v>212</v>
      </c>
      <c r="AB116" s="222" t="s">
        <v>212</v>
      </c>
      <c r="AC116" s="215"/>
    </row>
    <row r="117" spans="1:29" ht="13.5" customHeight="1">
      <c r="A117" s="215"/>
      <c r="B117" s="532">
        <v>38768</v>
      </c>
      <c r="C117" s="532"/>
      <c r="D117" s="219" t="s">
        <v>212</v>
      </c>
      <c r="E117" s="224">
        <v>220.6</v>
      </c>
      <c r="F117" s="533">
        <v>24</v>
      </c>
      <c r="G117" s="533"/>
      <c r="H117" s="224">
        <v>229.5</v>
      </c>
      <c r="I117" s="533">
        <v>24</v>
      </c>
      <c r="J117" s="533"/>
      <c r="K117" s="224">
        <v>0</v>
      </c>
      <c r="L117" s="225">
        <v>0</v>
      </c>
      <c r="M117" s="224">
        <v>0</v>
      </c>
      <c r="N117" s="225">
        <v>0</v>
      </c>
      <c r="O117" s="226">
        <v>450.1</v>
      </c>
      <c r="P117" s="222" t="s">
        <v>212</v>
      </c>
      <c r="Q117" s="224">
        <v>0</v>
      </c>
      <c r="R117" s="225">
        <v>0</v>
      </c>
      <c r="S117" s="224">
        <v>0</v>
      </c>
      <c r="T117" s="533">
        <v>0</v>
      </c>
      <c r="U117" s="533"/>
      <c r="V117" s="224">
        <v>0</v>
      </c>
      <c r="W117" s="222" t="s">
        <v>212</v>
      </c>
      <c r="X117" s="534">
        <v>450.1</v>
      </c>
      <c r="Y117" s="534"/>
      <c r="Z117" s="222" t="s">
        <v>212</v>
      </c>
      <c r="AA117" s="227">
        <v>6734900</v>
      </c>
      <c r="AB117" s="228">
        <v>0</v>
      </c>
      <c r="AC117" s="215"/>
    </row>
    <row r="118" spans="1:29" ht="2.25" customHeight="1">
      <c r="A118" s="215"/>
      <c r="B118" s="529" t="s">
        <v>212</v>
      </c>
      <c r="C118" s="529"/>
      <c r="D118" s="219" t="s">
        <v>212</v>
      </c>
      <c r="E118" s="222" t="s">
        <v>212</v>
      </c>
      <c r="F118" s="531" t="s">
        <v>212</v>
      </c>
      <c r="G118" s="531"/>
      <c r="H118" s="222" t="s">
        <v>212</v>
      </c>
      <c r="I118" s="531" t="s">
        <v>212</v>
      </c>
      <c r="J118" s="531"/>
      <c r="K118" s="222" t="s">
        <v>212</v>
      </c>
      <c r="L118" s="222" t="s">
        <v>212</v>
      </c>
      <c r="M118" s="222" t="s">
        <v>212</v>
      </c>
      <c r="N118" s="222" t="s">
        <v>212</v>
      </c>
      <c r="O118" s="222" t="s">
        <v>212</v>
      </c>
      <c r="P118" s="222" t="s">
        <v>212</v>
      </c>
      <c r="Q118" s="222" t="s">
        <v>212</v>
      </c>
      <c r="R118" s="222" t="s">
        <v>212</v>
      </c>
      <c r="S118" s="222" t="s">
        <v>212</v>
      </c>
      <c r="T118" s="531" t="s">
        <v>212</v>
      </c>
      <c r="U118" s="531"/>
      <c r="V118" s="222" t="s">
        <v>212</v>
      </c>
      <c r="W118" s="222" t="s">
        <v>212</v>
      </c>
      <c r="X118" s="531" t="s">
        <v>212</v>
      </c>
      <c r="Y118" s="531"/>
      <c r="Z118" s="222" t="s">
        <v>212</v>
      </c>
      <c r="AA118" s="222" t="s">
        <v>212</v>
      </c>
      <c r="AB118" s="222" t="s">
        <v>212</v>
      </c>
      <c r="AC118" s="215"/>
    </row>
    <row r="119" spans="1:29" ht="13.5" customHeight="1">
      <c r="A119" s="215"/>
      <c r="B119" s="535">
        <v>38769</v>
      </c>
      <c r="C119" s="535"/>
      <c r="D119" s="219" t="s">
        <v>212</v>
      </c>
      <c r="E119" s="229">
        <v>240.1</v>
      </c>
      <c r="F119" s="536">
        <v>24</v>
      </c>
      <c r="G119" s="536"/>
      <c r="H119" s="229">
        <v>274.7</v>
      </c>
      <c r="I119" s="536">
        <v>24</v>
      </c>
      <c r="J119" s="536"/>
      <c r="K119" s="229">
        <v>0</v>
      </c>
      <c r="L119" s="230">
        <v>0</v>
      </c>
      <c r="M119" s="229">
        <v>0</v>
      </c>
      <c r="N119" s="230">
        <v>0</v>
      </c>
      <c r="O119" s="231">
        <v>514.79999999999995</v>
      </c>
      <c r="P119" s="222" t="s">
        <v>212</v>
      </c>
      <c r="Q119" s="229">
        <v>0</v>
      </c>
      <c r="R119" s="230">
        <v>0</v>
      </c>
      <c r="S119" s="229">
        <v>0</v>
      </c>
      <c r="T119" s="536">
        <v>0</v>
      </c>
      <c r="U119" s="536"/>
      <c r="V119" s="229">
        <v>0</v>
      </c>
      <c r="W119" s="222" t="s">
        <v>212</v>
      </c>
      <c r="X119" s="530">
        <v>514.79999999999995</v>
      </c>
      <c r="Y119" s="530"/>
      <c r="Z119" s="222" t="s">
        <v>212</v>
      </c>
      <c r="AA119" s="232">
        <v>7332000</v>
      </c>
      <c r="AB119" s="233">
        <v>0</v>
      </c>
      <c r="AC119" s="215"/>
    </row>
    <row r="120" spans="1:29" ht="2.25" customHeight="1">
      <c r="A120" s="215"/>
      <c r="B120" s="529" t="s">
        <v>212</v>
      </c>
      <c r="C120" s="529"/>
      <c r="D120" s="219" t="s">
        <v>212</v>
      </c>
      <c r="E120" s="222" t="s">
        <v>212</v>
      </c>
      <c r="F120" s="531" t="s">
        <v>212</v>
      </c>
      <c r="G120" s="531"/>
      <c r="H120" s="222" t="s">
        <v>212</v>
      </c>
      <c r="I120" s="531" t="s">
        <v>212</v>
      </c>
      <c r="J120" s="531"/>
      <c r="K120" s="222" t="s">
        <v>212</v>
      </c>
      <c r="L120" s="222" t="s">
        <v>212</v>
      </c>
      <c r="M120" s="222" t="s">
        <v>212</v>
      </c>
      <c r="N120" s="222" t="s">
        <v>212</v>
      </c>
      <c r="O120" s="222" t="s">
        <v>212</v>
      </c>
      <c r="P120" s="222" t="s">
        <v>212</v>
      </c>
      <c r="Q120" s="222" t="s">
        <v>212</v>
      </c>
      <c r="R120" s="222" t="s">
        <v>212</v>
      </c>
      <c r="S120" s="222" t="s">
        <v>212</v>
      </c>
      <c r="T120" s="531" t="s">
        <v>212</v>
      </c>
      <c r="U120" s="531"/>
      <c r="V120" s="222" t="s">
        <v>212</v>
      </c>
      <c r="W120" s="222" t="s">
        <v>212</v>
      </c>
      <c r="X120" s="531" t="s">
        <v>212</v>
      </c>
      <c r="Y120" s="531"/>
      <c r="Z120" s="222" t="s">
        <v>212</v>
      </c>
      <c r="AA120" s="222" t="s">
        <v>212</v>
      </c>
      <c r="AB120" s="222" t="s">
        <v>212</v>
      </c>
      <c r="AC120" s="215"/>
    </row>
    <row r="121" spans="1:29" ht="13.5" customHeight="1">
      <c r="A121" s="215"/>
      <c r="B121" s="532">
        <v>38770</v>
      </c>
      <c r="C121" s="532"/>
      <c r="D121" s="219" t="s">
        <v>212</v>
      </c>
      <c r="E121" s="224">
        <v>236.7</v>
      </c>
      <c r="F121" s="533">
        <v>24</v>
      </c>
      <c r="G121" s="533"/>
      <c r="H121" s="224">
        <v>280.3</v>
      </c>
      <c r="I121" s="533">
        <v>24</v>
      </c>
      <c r="J121" s="533"/>
      <c r="K121" s="224">
        <v>0</v>
      </c>
      <c r="L121" s="225">
        <v>0</v>
      </c>
      <c r="M121" s="224">
        <v>0</v>
      </c>
      <c r="N121" s="225">
        <v>0</v>
      </c>
      <c r="O121" s="226">
        <v>517</v>
      </c>
      <c r="P121" s="222" t="s">
        <v>212</v>
      </c>
      <c r="Q121" s="224">
        <v>0</v>
      </c>
      <c r="R121" s="225">
        <v>0</v>
      </c>
      <c r="S121" s="224">
        <v>0</v>
      </c>
      <c r="T121" s="533">
        <v>0</v>
      </c>
      <c r="U121" s="533"/>
      <c r="V121" s="224">
        <v>0</v>
      </c>
      <c r="W121" s="222" t="s">
        <v>212</v>
      </c>
      <c r="X121" s="534">
        <v>517</v>
      </c>
      <c r="Y121" s="534"/>
      <c r="Z121" s="222" t="s">
        <v>212</v>
      </c>
      <c r="AA121" s="227">
        <v>7387600</v>
      </c>
      <c r="AB121" s="228">
        <v>0</v>
      </c>
      <c r="AC121" s="215"/>
    </row>
    <row r="122" spans="1:29" ht="2.25" customHeight="1">
      <c r="A122" s="215"/>
      <c r="B122" s="529" t="s">
        <v>212</v>
      </c>
      <c r="C122" s="529"/>
      <c r="D122" s="219" t="s">
        <v>212</v>
      </c>
      <c r="E122" s="222" t="s">
        <v>212</v>
      </c>
      <c r="F122" s="531" t="s">
        <v>212</v>
      </c>
      <c r="G122" s="531"/>
      <c r="H122" s="222" t="s">
        <v>212</v>
      </c>
      <c r="I122" s="531" t="s">
        <v>212</v>
      </c>
      <c r="J122" s="531"/>
      <c r="K122" s="222" t="s">
        <v>212</v>
      </c>
      <c r="L122" s="222" t="s">
        <v>212</v>
      </c>
      <c r="M122" s="222" t="s">
        <v>212</v>
      </c>
      <c r="N122" s="222" t="s">
        <v>212</v>
      </c>
      <c r="O122" s="222" t="s">
        <v>212</v>
      </c>
      <c r="P122" s="222" t="s">
        <v>212</v>
      </c>
      <c r="Q122" s="222" t="s">
        <v>212</v>
      </c>
      <c r="R122" s="222" t="s">
        <v>212</v>
      </c>
      <c r="S122" s="222" t="s">
        <v>212</v>
      </c>
      <c r="T122" s="531" t="s">
        <v>212</v>
      </c>
      <c r="U122" s="531"/>
      <c r="V122" s="222" t="s">
        <v>212</v>
      </c>
      <c r="W122" s="222" t="s">
        <v>212</v>
      </c>
      <c r="X122" s="531" t="s">
        <v>212</v>
      </c>
      <c r="Y122" s="531"/>
      <c r="Z122" s="222" t="s">
        <v>212</v>
      </c>
      <c r="AA122" s="222" t="s">
        <v>212</v>
      </c>
      <c r="AB122" s="222" t="s">
        <v>212</v>
      </c>
      <c r="AC122" s="215"/>
    </row>
    <row r="123" spans="1:29" ht="13.5" customHeight="1">
      <c r="A123" s="215"/>
      <c r="B123" s="535">
        <v>38771</v>
      </c>
      <c r="C123" s="535"/>
      <c r="D123" s="219" t="s">
        <v>212</v>
      </c>
      <c r="E123" s="229">
        <v>224.4</v>
      </c>
      <c r="F123" s="536">
        <v>24</v>
      </c>
      <c r="G123" s="536"/>
      <c r="H123" s="229">
        <v>234</v>
      </c>
      <c r="I123" s="536">
        <v>24</v>
      </c>
      <c r="J123" s="536"/>
      <c r="K123" s="229">
        <v>0</v>
      </c>
      <c r="L123" s="230">
        <v>0</v>
      </c>
      <c r="M123" s="229">
        <v>0</v>
      </c>
      <c r="N123" s="230">
        <v>0</v>
      </c>
      <c r="O123" s="231">
        <v>458.4</v>
      </c>
      <c r="P123" s="222" t="s">
        <v>212</v>
      </c>
      <c r="Q123" s="229">
        <v>0</v>
      </c>
      <c r="R123" s="230">
        <v>0</v>
      </c>
      <c r="S123" s="229">
        <v>0</v>
      </c>
      <c r="T123" s="536">
        <v>0</v>
      </c>
      <c r="U123" s="536"/>
      <c r="V123" s="229">
        <v>0</v>
      </c>
      <c r="W123" s="222" t="s">
        <v>212</v>
      </c>
      <c r="X123" s="530">
        <v>458.4</v>
      </c>
      <c r="Y123" s="530"/>
      <c r="Z123" s="222" t="s">
        <v>212</v>
      </c>
      <c r="AA123" s="232">
        <v>6869100</v>
      </c>
      <c r="AB123" s="233">
        <v>0</v>
      </c>
      <c r="AC123" s="215"/>
    </row>
    <row r="124" spans="1:29" ht="2.25" customHeight="1">
      <c r="A124" s="215"/>
      <c r="B124" s="529" t="s">
        <v>212</v>
      </c>
      <c r="C124" s="529"/>
      <c r="D124" s="219" t="s">
        <v>212</v>
      </c>
      <c r="E124" s="222" t="s">
        <v>212</v>
      </c>
      <c r="F124" s="531" t="s">
        <v>212</v>
      </c>
      <c r="G124" s="531"/>
      <c r="H124" s="222" t="s">
        <v>212</v>
      </c>
      <c r="I124" s="531" t="s">
        <v>212</v>
      </c>
      <c r="J124" s="531"/>
      <c r="K124" s="222" t="s">
        <v>212</v>
      </c>
      <c r="L124" s="222" t="s">
        <v>212</v>
      </c>
      <c r="M124" s="222" t="s">
        <v>212</v>
      </c>
      <c r="N124" s="222" t="s">
        <v>212</v>
      </c>
      <c r="O124" s="222" t="s">
        <v>212</v>
      </c>
      <c r="P124" s="222" t="s">
        <v>212</v>
      </c>
      <c r="Q124" s="222" t="s">
        <v>212</v>
      </c>
      <c r="R124" s="222" t="s">
        <v>212</v>
      </c>
      <c r="S124" s="222" t="s">
        <v>212</v>
      </c>
      <c r="T124" s="531" t="s">
        <v>212</v>
      </c>
      <c r="U124" s="531"/>
      <c r="V124" s="222" t="s">
        <v>212</v>
      </c>
      <c r="W124" s="222" t="s">
        <v>212</v>
      </c>
      <c r="X124" s="531" t="s">
        <v>212</v>
      </c>
      <c r="Y124" s="531"/>
      <c r="Z124" s="222" t="s">
        <v>212</v>
      </c>
      <c r="AA124" s="222" t="s">
        <v>212</v>
      </c>
      <c r="AB124" s="222" t="s">
        <v>212</v>
      </c>
      <c r="AC124" s="215"/>
    </row>
    <row r="125" spans="1:29" ht="13.5" customHeight="1">
      <c r="A125" s="215"/>
      <c r="B125" s="532">
        <v>38772</v>
      </c>
      <c r="C125" s="532"/>
      <c r="D125" s="219" t="s">
        <v>212</v>
      </c>
      <c r="E125" s="224">
        <v>218</v>
      </c>
      <c r="F125" s="533">
        <v>24</v>
      </c>
      <c r="G125" s="533"/>
      <c r="H125" s="224">
        <v>247</v>
      </c>
      <c r="I125" s="533">
        <v>24</v>
      </c>
      <c r="J125" s="533"/>
      <c r="K125" s="224">
        <v>0</v>
      </c>
      <c r="L125" s="225">
        <v>0</v>
      </c>
      <c r="M125" s="224">
        <v>0</v>
      </c>
      <c r="N125" s="225">
        <v>0</v>
      </c>
      <c r="O125" s="226">
        <v>465</v>
      </c>
      <c r="P125" s="222" t="s">
        <v>212</v>
      </c>
      <c r="Q125" s="224">
        <v>0</v>
      </c>
      <c r="R125" s="225">
        <v>0</v>
      </c>
      <c r="S125" s="224">
        <v>0</v>
      </c>
      <c r="T125" s="533">
        <v>0</v>
      </c>
      <c r="U125" s="533"/>
      <c r="V125" s="224">
        <v>0</v>
      </c>
      <c r="W125" s="222" t="s">
        <v>212</v>
      </c>
      <c r="X125" s="534">
        <v>465</v>
      </c>
      <c r="Y125" s="534"/>
      <c r="Z125" s="222" t="s">
        <v>212</v>
      </c>
      <c r="AA125" s="227">
        <v>6922200</v>
      </c>
      <c r="AB125" s="228">
        <v>0</v>
      </c>
      <c r="AC125" s="215"/>
    </row>
    <row r="126" spans="1:29" ht="2.25" customHeight="1">
      <c r="A126" s="215"/>
      <c r="B126" s="529" t="s">
        <v>212</v>
      </c>
      <c r="C126" s="529"/>
      <c r="D126" s="219" t="s">
        <v>212</v>
      </c>
      <c r="E126" s="222" t="s">
        <v>212</v>
      </c>
      <c r="F126" s="531" t="s">
        <v>212</v>
      </c>
      <c r="G126" s="531"/>
      <c r="H126" s="222" t="s">
        <v>212</v>
      </c>
      <c r="I126" s="531" t="s">
        <v>212</v>
      </c>
      <c r="J126" s="531"/>
      <c r="K126" s="222" t="s">
        <v>212</v>
      </c>
      <c r="L126" s="222" t="s">
        <v>212</v>
      </c>
      <c r="M126" s="222" t="s">
        <v>212</v>
      </c>
      <c r="N126" s="222" t="s">
        <v>212</v>
      </c>
      <c r="O126" s="222" t="s">
        <v>212</v>
      </c>
      <c r="P126" s="222" t="s">
        <v>212</v>
      </c>
      <c r="Q126" s="222" t="s">
        <v>212</v>
      </c>
      <c r="R126" s="222" t="s">
        <v>212</v>
      </c>
      <c r="S126" s="222" t="s">
        <v>212</v>
      </c>
      <c r="T126" s="531" t="s">
        <v>212</v>
      </c>
      <c r="U126" s="531"/>
      <c r="V126" s="222" t="s">
        <v>212</v>
      </c>
      <c r="W126" s="222" t="s">
        <v>212</v>
      </c>
      <c r="X126" s="531" t="s">
        <v>212</v>
      </c>
      <c r="Y126" s="531"/>
      <c r="Z126" s="222" t="s">
        <v>212</v>
      </c>
      <c r="AA126" s="222" t="s">
        <v>212</v>
      </c>
      <c r="AB126" s="222" t="s">
        <v>212</v>
      </c>
      <c r="AC126" s="215"/>
    </row>
    <row r="127" spans="1:29" ht="13.5" customHeight="1">
      <c r="A127" s="215"/>
      <c r="B127" s="535">
        <v>38773</v>
      </c>
      <c r="C127" s="535"/>
      <c r="D127" s="219" t="s">
        <v>212</v>
      </c>
      <c r="E127" s="229">
        <v>203.2</v>
      </c>
      <c r="F127" s="536">
        <v>24</v>
      </c>
      <c r="G127" s="536"/>
      <c r="H127" s="229">
        <v>247.5</v>
      </c>
      <c r="I127" s="536">
        <v>24</v>
      </c>
      <c r="J127" s="536"/>
      <c r="K127" s="229">
        <v>0</v>
      </c>
      <c r="L127" s="230">
        <v>5</v>
      </c>
      <c r="M127" s="229">
        <v>0</v>
      </c>
      <c r="N127" s="230">
        <v>0</v>
      </c>
      <c r="O127" s="231">
        <v>450.7</v>
      </c>
      <c r="P127" s="222" t="s">
        <v>212</v>
      </c>
      <c r="Q127" s="229">
        <v>0</v>
      </c>
      <c r="R127" s="230">
        <v>0</v>
      </c>
      <c r="S127" s="229">
        <v>0</v>
      </c>
      <c r="T127" s="536">
        <v>0</v>
      </c>
      <c r="U127" s="536"/>
      <c r="V127" s="229">
        <v>0</v>
      </c>
      <c r="W127" s="222" t="s">
        <v>212</v>
      </c>
      <c r="X127" s="530">
        <v>450.7</v>
      </c>
      <c r="Y127" s="530"/>
      <c r="Z127" s="222" t="s">
        <v>212</v>
      </c>
      <c r="AA127" s="232">
        <v>7163100</v>
      </c>
      <c r="AB127" s="233">
        <v>1024</v>
      </c>
      <c r="AC127" s="215"/>
    </row>
    <row r="128" spans="1:29" ht="2.25" customHeight="1">
      <c r="A128" s="215"/>
      <c r="B128" s="529" t="s">
        <v>212</v>
      </c>
      <c r="C128" s="529"/>
      <c r="D128" s="219" t="s">
        <v>212</v>
      </c>
      <c r="E128" s="222" t="s">
        <v>212</v>
      </c>
      <c r="F128" s="531" t="s">
        <v>212</v>
      </c>
      <c r="G128" s="531"/>
      <c r="H128" s="222" t="s">
        <v>212</v>
      </c>
      <c r="I128" s="531" t="s">
        <v>212</v>
      </c>
      <c r="J128" s="531"/>
      <c r="K128" s="222" t="s">
        <v>212</v>
      </c>
      <c r="L128" s="222" t="s">
        <v>212</v>
      </c>
      <c r="M128" s="222" t="s">
        <v>212</v>
      </c>
      <c r="N128" s="222" t="s">
        <v>212</v>
      </c>
      <c r="O128" s="222" t="s">
        <v>212</v>
      </c>
      <c r="P128" s="222" t="s">
        <v>212</v>
      </c>
      <c r="Q128" s="222" t="s">
        <v>212</v>
      </c>
      <c r="R128" s="222" t="s">
        <v>212</v>
      </c>
      <c r="S128" s="222" t="s">
        <v>212</v>
      </c>
      <c r="T128" s="531" t="s">
        <v>212</v>
      </c>
      <c r="U128" s="531"/>
      <c r="V128" s="222" t="s">
        <v>212</v>
      </c>
      <c r="W128" s="222" t="s">
        <v>212</v>
      </c>
      <c r="X128" s="531" t="s">
        <v>212</v>
      </c>
      <c r="Y128" s="531"/>
      <c r="Z128" s="222" t="s">
        <v>212</v>
      </c>
      <c r="AA128" s="222" t="s">
        <v>212</v>
      </c>
      <c r="AB128" s="222" t="s">
        <v>212</v>
      </c>
      <c r="AC128" s="215"/>
    </row>
    <row r="129" spans="1:29" ht="13.5" customHeight="1">
      <c r="A129" s="215"/>
      <c r="B129" s="532">
        <v>38774</v>
      </c>
      <c r="C129" s="532"/>
      <c r="D129" s="219" t="s">
        <v>212</v>
      </c>
      <c r="E129" s="224">
        <v>214.8</v>
      </c>
      <c r="F129" s="533">
        <v>24</v>
      </c>
      <c r="G129" s="533"/>
      <c r="H129" s="224">
        <v>249.5</v>
      </c>
      <c r="I129" s="533">
        <v>24</v>
      </c>
      <c r="J129" s="533"/>
      <c r="K129" s="224">
        <v>2.1</v>
      </c>
      <c r="L129" s="225">
        <v>1</v>
      </c>
      <c r="M129" s="224">
        <v>0</v>
      </c>
      <c r="N129" s="225">
        <v>0</v>
      </c>
      <c r="O129" s="226">
        <v>466.4</v>
      </c>
      <c r="P129" s="222" t="s">
        <v>212</v>
      </c>
      <c r="Q129" s="224">
        <v>0</v>
      </c>
      <c r="R129" s="225">
        <v>0</v>
      </c>
      <c r="S129" s="224">
        <v>0</v>
      </c>
      <c r="T129" s="533">
        <v>0</v>
      </c>
      <c r="U129" s="533"/>
      <c r="V129" s="224">
        <v>0</v>
      </c>
      <c r="W129" s="222" t="s">
        <v>212</v>
      </c>
      <c r="X129" s="534">
        <v>466.4</v>
      </c>
      <c r="Y129" s="534"/>
      <c r="Z129" s="222" t="s">
        <v>212</v>
      </c>
      <c r="AA129" s="227">
        <v>6981900</v>
      </c>
      <c r="AB129" s="228">
        <v>1883</v>
      </c>
      <c r="AC129" s="215"/>
    </row>
    <row r="130" spans="1:29" ht="2.25" customHeight="1">
      <c r="A130" s="215"/>
      <c r="B130" s="529" t="s">
        <v>212</v>
      </c>
      <c r="C130" s="529"/>
      <c r="D130" s="219" t="s">
        <v>212</v>
      </c>
      <c r="E130" s="222" t="s">
        <v>212</v>
      </c>
      <c r="F130" s="531" t="s">
        <v>212</v>
      </c>
      <c r="G130" s="531"/>
      <c r="H130" s="222" t="s">
        <v>212</v>
      </c>
      <c r="I130" s="531" t="s">
        <v>212</v>
      </c>
      <c r="J130" s="531"/>
      <c r="K130" s="222" t="s">
        <v>212</v>
      </c>
      <c r="L130" s="222" t="s">
        <v>212</v>
      </c>
      <c r="M130" s="222" t="s">
        <v>212</v>
      </c>
      <c r="N130" s="222" t="s">
        <v>212</v>
      </c>
      <c r="O130" s="222" t="s">
        <v>212</v>
      </c>
      <c r="P130" s="222" t="s">
        <v>212</v>
      </c>
      <c r="Q130" s="222" t="s">
        <v>212</v>
      </c>
      <c r="R130" s="222" t="s">
        <v>212</v>
      </c>
      <c r="S130" s="222" t="s">
        <v>212</v>
      </c>
      <c r="T130" s="531" t="s">
        <v>212</v>
      </c>
      <c r="U130" s="531"/>
      <c r="V130" s="222" t="s">
        <v>212</v>
      </c>
      <c r="W130" s="222" t="s">
        <v>212</v>
      </c>
      <c r="X130" s="531" t="s">
        <v>212</v>
      </c>
      <c r="Y130" s="531"/>
      <c r="Z130" s="222" t="s">
        <v>212</v>
      </c>
      <c r="AA130" s="222" t="s">
        <v>212</v>
      </c>
      <c r="AB130" s="222" t="s">
        <v>212</v>
      </c>
      <c r="AC130" s="215"/>
    </row>
    <row r="131" spans="1:29" ht="13.5" customHeight="1">
      <c r="A131" s="215"/>
      <c r="B131" s="535">
        <v>38775</v>
      </c>
      <c r="C131" s="535"/>
      <c r="D131" s="219" t="s">
        <v>212</v>
      </c>
      <c r="E131" s="229">
        <v>222.5</v>
      </c>
      <c r="F131" s="536">
        <v>24</v>
      </c>
      <c r="G131" s="536"/>
      <c r="H131" s="229">
        <v>234</v>
      </c>
      <c r="I131" s="536">
        <v>24</v>
      </c>
      <c r="J131" s="536"/>
      <c r="K131" s="229">
        <v>0</v>
      </c>
      <c r="L131" s="230">
        <v>0</v>
      </c>
      <c r="M131" s="229">
        <v>0</v>
      </c>
      <c r="N131" s="230">
        <v>0</v>
      </c>
      <c r="O131" s="231">
        <v>456.5</v>
      </c>
      <c r="P131" s="222" t="s">
        <v>212</v>
      </c>
      <c r="Q131" s="229">
        <v>0</v>
      </c>
      <c r="R131" s="230">
        <v>0</v>
      </c>
      <c r="S131" s="229">
        <v>0</v>
      </c>
      <c r="T131" s="536">
        <v>0</v>
      </c>
      <c r="U131" s="536"/>
      <c r="V131" s="229">
        <v>0</v>
      </c>
      <c r="W131" s="222" t="s">
        <v>212</v>
      </c>
      <c r="X131" s="530">
        <v>456.5</v>
      </c>
      <c r="Y131" s="530"/>
      <c r="Z131" s="222" t="s">
        <v>212</v>
      </c>
      <c r="AA131" s="232">
        <v>6821100</v>
      </c>
      <c r="AB131" s="233">
        <v>0</v>
      </c>
      <c r="AC131" s="215"/>
    </row>
    <row r="132" spans="1:29" ht="2.25" customHeight="1">
      <c r="A132" s="215"/>
      <c r="B132" s="529" t="s">
        <v>212</v>
      </c>
      <c r="C132" s="529"/>
      <c r="D132" s="219" t="s">
        <v>212</v>
      </c>
      <c r="E132" s="222" t="s">
        <v>212</v>
      </c>
      <c r="F132" s="531" t="s">
        <v>212</v>
      </c>
      <c r="G132" s="531"/>
      <c r="H132" s="222" t="s">
        <v>212</v>
      </c>
      <c r="I132" s="531" t="s">
        <v>212</v>
      </c>
      <c r="J132" s="531"/>
      <c r="K132" s="222" t="s">
        <v>212</v>
      </c>
      <c r="L132" s="222" t="s">
        <v>212</v>
      </c>
      <c r="M132" s="222" t="s">
        <v>212</v>
      </c>
      <c r="N132" s="222" t="s">
        <v>212</v>
      </c>
      <c r="O132" s="222" t="s">
        <v>212</v>
      </c>
      <c r="P132" s="222" t="s">
        <v>212</v>
      </c>
      <c r="Q132" s="222" t="s">
        <v>212</v>
      </c>
      <c r="R132" s="222" t="s">
        <v>212</v>
      </c>
      <c r="S132" s="222" t="s">
        <v>212</v>
      </c>
      <c r="T132" s="531" t="s">
        <v>212</v>
      </c>
      <c r="U132" s="531"/>
      <c r="V132" s="222" t="s">
        <v>212</v>
      </c>
      <c r="W132" s="222" t="s">
        <v>212</v>
      </c>
      <c r="X132" s="531" t="s">
        <v>212</v>
      </c>
      <c r="Y132" s="531"/>
      <c r="Z132" s="222" t="s">
        <v>212</v>
      </c>
      <c r="AA132" s="222" t="s">
        <v>212</v>
      </c>
      <c r="AB132" s="222" t="s">
        <v>212</v>
      </c>
      <c r="AC132" s="215"/>
    </row>
    <row r="133" spans="1:29" ht="13.5" customHeight="1">
      <c r="A133" s="215"/>
      <c r="B133" s="532">
        <v>38776</v>
      </c>
      <c r="C133" s="532"/>
      <c r="D133" s="219" t="s">
        <v>212</v>
      </c>
      <c r="E133" s="224">
        <v>261.3</v>
      </c>
      <c r="F133" s="533">
        <v>24</v>
      </c>
      <c r="G133" s="533"/>
      <c r="H133" s="224">
        <v>275.5</v>
      </c>
      <c r="I133" s="533">
        <v>24</v>
      </c>
      <c r="J133" s="533"/>
      <c r="K133" s="224">
        <v>0</v>
      </c>
      <c r="L133" s="225">
        <v>8</v>
      </c>
      <c r="M133" s="224">
        <v>0</v>
      </c>
      <c r="N133" s="225">
        <v>0</v>
      </c>
      <c r="O133" s="226">
        <v>536.79999999999995</v>
      </c>
      <c r="P133" s="222" t="s">
        <v>212</v>
      </c>
      <c r="Q133" s="224">
        <v>0</v>
      </c>
      <c r="R133" s="225">
        <v>24</v>
      </c>
      <c r="S133" s="224">
        <v>0</v>
      </c>
      <c r="T133" s="533">
        <v>0</v>
      </c>
      <c r="U133" s="533"/>
      <c r="V133" s="224">
        <v>0</v>
      </c>
      <c r="W133" s="222" t="s">
        <v>212</v>
      </c>
      <c r="X133" s="534">
        <v>536.79999999999995</v>
      </c>
      <c r="Y133" s="534"/>
      <c r="Z133" s="222" t="s">
        <v>212</v>
      </c>
      <c r="AA133" s="227">
        <v>8065292</v>
      </c>
      <c r="AB133" s="228">
        <v>0</v>
      </c>
      <c r="AC133" s="215"/>
    </row>
    <row r="134" spans="1:29" ht="2.25" customHeight="1">
      <c r="A134" s="215"/>
      <c r="B134" s="529" t="s">
        <v>212</v>
      </c>
      <c r="C134" s="529"/>
      <c r="D134" s="219" t="s">
        <v>212</v>
      </c>
      <c r="E134" s="222" t="s">
        <v>212</v>
      </c>
      <c r="F134" s="531" t="s">
        <v>212</v>
      </c>
      <c r="G134" s="531"/>
      <c r="H134" s="222" t="s">
        <v>212</v>
      </c>
      <c r="I134" s="531" t="s">
        <v>212</v>
      </c>
      <c r="J134" s="531"/>
      <c r="K134" s="222" t="s">
        <v>212</v>
      </c>
      <c r="L134" s="222" t="s">
        <v>212</v>
      </c>
      <c r="M134" s="222" t="s">
        <v>212</v>
      </c>
      <c r="N134" s="222" t="s">
        <v>212</v>
      </c>
      <c r="O134" s="222" t="s">
        <v>212</v>
      </c>
      <c r="P134" s="222" t="s">
        <v>212</v>
      </c>
      <c r="Q134" s="222" t="s">
        <v>212</v>
      </c>
      <c r="R134" s="222" t="s">
        <v>212</v>
      </c>
      <c r="S134" s="222" t="s">
        <v>212</v>
      </c>
      <c r="T134" s="531" t="s">
        <v>212</v>
      </c>
      <c r="U134" s="531"/>
      <c r="V134" s="222" t="s">
        <v>212</v>
      </c>
      <c r="W134" s="222" t="s">
        <v>212</v>
      </c>
      <c r="X134" s="531" t="s">
        <v>212</v>
      </c>
      <c r="Y134" s="531"/>
      <c r="Z134" s="222" t="s">
        <v>212</v>
      </c>
      <c r="AA134" s="222" t="s">
        <v>212</v>
      </c>
      <c r="AB134" s="222" t="s">
        <v>212</v>
      </c>
      <c r="AC134" s="215"/>
    </row>
    <row r="135" spans="1:29" ht="13.5" customHeight="1">
      <c r="A135" s="215"/>
      <c r="B135" s="535">
        <v>38777</v>
      </c>
      <c r="C135" s="535"/>
      <c r="D135" s="219" t="s">
        <v>212</v>
      </c>
      <c r="E135" s="229">
        <v>273.60000000000002</v>
      </c>
      <c r="F135" s="536">
        <v>24</v>
      </c>
      <c r="G135" s="536"/>
      <c r="H135" s="229">
        <v>290</v>
      </c>
      <c r="I135" s="536">
        <v>24</v>
      </c>
      <c r="J135" s="536"/>
      <c r="K135" s="229">
        <v>0</v>
      </c>
      <c r="L135" s="230">
        <v>0</v>
      </c>
      <c r="M135" s="229">
        <v>0</v>
      </c>
      <c r="N135" s="230">
        <v>0</v>
      </c>
      <c r="O135" s="231">
        <v>563.6</v>
      </c>
      <c r="P135" s="222" t="s">
        <v>212</v>
      </c>
      <c r="Q135" s="229">
        <v>0</v>
      </c>
      <c r="R135" s="230">
        <v>0</v>
      </c>
      <c r="S135" s="229">
        <v>0</v>
      </c>
      <c r="T135" s="536">
        <v>0</v>
      </c>
      <c r="U135" s="536"/>
      <c r="V135" s="229">
        <v>0</v>
      </c>
      <c r="W135" s="222" t="s">
        <v>212</v>
      </c>
      <c r="X135" s="530">
        <v>563.6</v>
      </c>
      <c r="Y135" s="530"/>
      <c r="Z135" s="222" t="s">
        <v>212</v>
      </c>
      <c r="AA135" s="232">
        <v>7843800</v>
      </c>
      <c r="AB135" s="233">
        <v>0</v>
      </c>
      <c r="AC135" s="215"/>
    </row>
    <row r="136" spans="1:29" ht="2.25" customHeight="1">
      <c r="A136" s="215"/>
      <c r="B136" s="529" t="s">
        <v>212</v>
      </c>
      <c r="C136" s="529"/>
      <c r="D136" s="219" t="s">
        <v>212</v>
      </c>
      <c r="E136" s="222" t="s">
        <v>212</v>
      </c>
      <c r="F136" s="531" t="s">
        <v>212</v>
      </c>
      <c r="G136" s="531"/>
      <c r="H136" s="222" t="s">
        <v>212</v>
      </c>
      <c r="I136" s="531" t="s">
        <v>212</v>
      </c>
      <c r="J136" s="531"/>
      <c r="K136" s="222" t="s">
        <v>212</v>
      </c>
      <c r="L136" s="222" t="s">
        <v>212</v>
      </c>
      <c r="M136" s="222" t="s">
        <v>212</v>
      </c>
      <c r="N136" s="222" t="s">
        <v>212</v>
      </c>
      <c r="O136" s="222" t="s">
        <v>212</v>
      </c>
      <c r="P136" s="222" t="s">
        <v>212</v>
      </c>
      <c r="Q136" s="222" t="s">
        <v>212</v>
      </c>
      <c r="R136" s="222" t="s">
        <v>212</v>
      </c>
      <c r="S136" s="222" t="s">
        <v>212</v>
      </c>
      <c r="T136" s="531" t="s">
        <v>212</v>
      </c>
      <c r="U136" s="531"/>
      <c r="V136" s="222" t="s">
        <v>212</v>
      </c>
      <c r="W136" s="222" t="s">
        <v>212</v>
      </c>
      <c r="X136" s="531" t="s">
        <v>212</v>
      </c>
      <c r="Y136" s="531"/>
      <c r="Z136" s="222" t="s">
        <v>212</v>
      </c>
      <c r="AA136" s="222" t="s">
        <v>212</v>
      </c>
      <c r="AB136" s="222" t="s">
        <v>212</v>
      </c>
      <c r="AC136" s="215"/>
    </row>
    <row r="137" spans="1:29" ht="13.5" customHeight="1">
      <c r="A137" s="215"/>
      <c r="B137" s="532">
        <v>38778</v>
      </c>
      <c r="C137" s="532"/>
      <c r="D137" s="219" t="s">
        <v>212</v>
      </c>
      <c r="E137" s="224">
        <v>70.3</v>
      </c>
      <c r="F137" s="533">
        <v>6</v>
      </c>
      <c r="G137" s="533"/>
      <c r="H137" s="224">
        <v>310.5</v>
      </c>
      <c r="I137" s="533">
        <v>24</v>
      </c>
      <c r="J137" s="533"/>
      <c r="K137" s="224">
        <v>176.5</v>
      </c>
      <c r="L137" s="225">
        <v>18</v>
      </c>
      <c r="M137" s="224">
        <v>0</v>
      </c>
      <c r="N137" s="225">
        <v>0</v>
      </c>
      <c r="O137" s="226">
        <v>557.29999999999995</v>
      </c>
      <c r="P137" s="222" t="s">
        <v>212</v>
      </c>
      <c r="Q137" s="224">
        <v>0</v>
      </c>
      <c r="R137" s="225">
        <v>0</v>
      </c>
      <c r="S137" s="224">
        <v>0</v>
      </c>
      <c r="T137" s="533">
        <v>0</v>
      </c>
      <c r="U137" s="533"/>
      <c r="V137" s="224">
        <v>0</v>
      </c>
      <c r="W137" s="222" t="s">
        <v>212</v>
      </c>
      <c r="X137" s="534">
        <v>557.29999999999995</v>
      </c>
      <c r="Y137" s="534"/>
      <c r="Z137" s="222" t="s">
        <v>212</v>
      </c>
      <c r="AA137" s="227">
        <v>5024500</v>
      </c>
      <c r="AB137" s="228">
        <v>101906</v>
      </c>
      <c r="AC137" s="215"/>
    </row>
    <row r="138" spans="1:29" ht="2.25" customHeight="1">
      <c r="A138" s="215"/>
      <c r="B138" s="529" t="s">
        <v>212</v>
      </c>
      <c r="C138" s="529"/>
      <c r="D138" s="219" t="s">
        <v>212</v>
      </c>
      <c r="E138" s="222" t="s">
        <v>212</v>
      </c>
      <c r="F138" s="531" t="s">
        <v>212</v>
      </c>
      <c r="G138" s="531"/>
      <c r="H138" s="222" t="s">
        <v>212</v>
      </c>
      <c r="I138" s="531" t="s">
        <v>212</v>
      </c>
      <c r="J138" s="531"/>
      <c r="K138" s="222" t="s">
        <v>212</v>
      </c>
      <c r="L138" s="222" t="s">
        <v>212</v>
      </c>
      <c r="M138" s="222" t="s">
        <v>212</v>
      </c>
      <c r="N138" s="222" t="s">
        <v>212</v>
      </c>
      <c r="O138" s="222" t="s">
        <v>212</v>
      </c>
      <c r="P138" s="222" t="s">
        <v>212</v>
      </c>
      <c r="Q138" s="222" t="s">
        <v>212</v>
      </c>
      <c r="R138" s="222" t="s">
        <v>212</v>
      </c>
      <c r="S138" s="222" t="s">
        <v>212</v>
      </c>
      <c r="T138" s="531" t="s">
        <v>212</v>
      </c>
      <c r="U138" s="531"/>
      <c r="V138" s="222" t="s">
        <v>212</v>
      </c>
      <c r="W138" s="222" t="s">
        <v>212</v>
      </c>
      <c r="X138" s="531" t="s">
        <v>212</v>
      </c>
      <c r="Y138" s="531"/>
      <c r="Z138" s="222" t="s">
        <v>212</v>
      </c>
      <c r="AA138" s="222" t="s">
        <v>212</v>
      </c>
      <c r="AB138" s="222" t="s">
        <v>212</v>
      </c>
      <c r="AC138" s="215"/>
    </row>
    <row r="139" spans="1:29" ht="13.5" customHeight="1">
      <c r="A139" s="215"/>
      <c r="B139" s="535">
        <v>38779</v>
      </c>
      <c r="C139" s="535"/>
      <c r="D139" s="219" t="s">
        <v>212</v>
      </c>
      <c r="E139" s="229">
        <v>0</v>
      </c>
      <c r="F139" s="536">
        <v>0</v>
      </c>
      <c r="G139" s="536"/>
      <c r="H139" s="229">
        <v>343.7</v>
      </c>
      <c r="I139" s="536">
        <v>24</v>
      </c>
      <c r="J139" s="536"/>
      <c r="K139" s="229">
        <v>278.5</v>
      </c>
      <c r="L139" s="230">
        <v>24</v>
      </c>
      <c r="M139" s="229">
        <v>0</v>
      </c>
      <c r="N139" s="230">
        <v>0</v>
      </c>
      <c r="O139" s="231">
        <v>622.20000000000005</v>
      </c>
      <c r="P139" s="222" t="s">
        <v>212</v>
      </c>
      <c r="Q139" s="229">
        <v>0</v>
      </c>
      <c r="R139" s="230">
        <v>0</v>
      </c>
      <c r="S139" s="229">
        <v>0</v>
      </c>
      <c r="T139" s="536">
        <v>0</v>
      </c>
      <c r="U139" s="536"/>
      <c r="V139" s="229">
        <v>0</v>
      </c>
      <c r="W139" s="222" t="s">
        <v>212</v>
      </c>
      <c r="X139" s="530">
        <v>622.20000000000005</v>
      </c>
      <c r="Y139" s="530"/>
      <c r="Z139" s="222" t="s">
        <v>212</v>
      </c>
      <c r="AA139" s="232">
        <v>4219300</v>
      </c>
      <c r="AB139" s="233">
        <v>145695</v>
      </c>
      <c r="AC139" s="215"/>
    </row>
    <row r="140" spans="1:29" ht="2.25" customHeight="1">
      <c r="A140" s="215"/>
      <c r="B140" s="529" t="s">
        <v>212</v>
      </c>
      <c r="C140" s="529"/>
      <c r="D140" s="219" t="s">
        <v>212</v>
      </c>
      <c r="E140" s="222" t="s">
        <v>212</v>
      </c>
      <c r="F140" s="531" t="s">
        <v>212</v>
      </c>
      <c r="G140" s="531"/>
      <c r="H140" s="222" t="s">
        <v>212</v>
      </c>
      <c r="I140" s="531" t="s">
        <v>212</v>
      </c>
      <c r="J140" s="531"/>
      <c r="K140" s="222" t="s">
        <v>212</v>
      </c>
      <c r="L140" s="222" t="s">
        <v>212</v>
      </c>
      <c r="M140" s="222" t="s">
        <v>212</v>
      </c>
      <c r="N140" s="222" t="s">
        <v>212</v>
      </c>
      <c r="O140" s="222" t="s">
        <v>212</v>
      </c>
      <c r="P140" s="222" t="s">
        <v>212</v>
      </c>
      <c r="Q140" s="222" t="s">
        <v>212</v>
      </c>
      <c r="R140" s="222" t="s">
        <v>212</v>
      </c>
      <c r="S140" s="222" t="s">
        <v>212</v>
      </c>
      <c r="T140" s="531" t="s">
        <v>212</v>
      </c>
      <c r="U140" s="531"/>
      <c r="V140" s="222" t="s">
        <v>212</v>
      </c>
      <c r="W140" s="222" t="s">
        <v>212</v>
      </c>
      <c r="X140" s="531" t="s">
        <v>212</v>
      </c>
      <c r="Y140" s="531"/>
      <c r="Z140" s="222" t="s">
        <v>212</v>
      </c>
      <c r="AA140" s="222" t="s">
        <v>212</v>
      </c>
      <c r="AB140" s="222" t="s">
        <v>212</v>
      </c>
      <c r="AC140" s="215"/>
    </row>
    <row r="141" spans="1:29" ht="13.5" customHeight="1">
      <c r="A141" s="215"/>
      <c r="B141" s="532">
        <v>38780</v>
      </c>
      <c r="C141" s="532"/>
      <c r="D141" s="219" t="s">
        <v>212</v>
      </c>
      <c r="E141" s="224">
        <v>0</v>
      </c>
      <c r="F141" s="533">
        <v>0</v>
      </c>
      <c r="G141" s="533"/>
      <c r="H141" s="224">
        <v>338.9</v>
      </c>
      <c r="I141" s="533">
        <v>24</v>
      </c>
      <c r="J141" s="533"/>
      <c r="K141" s="224">
        <v>290.10000000000002</v>
      </c>
      <c r="L141" s="225">
        <v>24</v>
      </c>
      <c r="M141" s="224">
        <v>0</v>
      </c>
      <c r="N141" s="225">
        <v>0</v>
      </c>
      <c r="O141" s="226">
        <v>629</v>
      </c>
      <c r="P141" s="222" t="s">
        <v>212</v>
      </c>
      <c r="Q141" s="224">
        <v>0</v>
      </c>
      <c r="R141" s="225">
        <v>0</v>
      </c>
      <c r="S141" s="224">
        <v>0</v>
      </c>
      <c r="T141" s="533">
        <v>0</v>
      </c>
      <c r="U141" s="533"/>
      <c r="V141" s="224">
        <v>0</v>
      </c>
      <c r="W141" s="222" t="s">
        <v>212</v>
      </c>
      <c r="X141" s="534">
        <v>629</v>
      </c>
      <c r="Y141" s="534"/>
      <c r="Z141" s="222" t="s">
        <v>212</v>
      </c>
      <c r="AA141" s="227">
        <v>4181400</v>
      </c>
      <c r="AB141" s="228">
        <v>145593</v>
      </c>
      <c r="AC141" s="215"/>
    </row>
    <row r="142" spans="1:29" ht="2.25" customHeight="1">
      <c r="A142" s="215"/>
      <c r="B142" s="529" t="s">
        <v>212</v>
      </c>
      <c r="C142" s="529"/>
      <c r="D142" s="219" t="s">
        <v>212</v>
      </c>
      <c r="E142" s="222" t="s">
        <v>212</v>
      </c>
      <c r="F142" s="531" t="s">
        <v>212</v>
      </c>
      <c r="G142" s="531"/>
      <c r="H142" s="222" t="s">
        <v>212</v>
      </c>
      <c r="I142" s="531" t="s">
        <v>212</v>
      </c>
      <c r="J142" s="531"/>
      <c r="K142" s="222" t="s">
        <v>212</v>
      </c>
      <c r="L142" s="222" t="s">
        <v>212</v>
      </c>
      <c r="M142" s="222" t="s">
        <v>212</v>
      </c>
      <c r="N142" s="222" t="s">
        <v>212</v>
      </c>
      <c r="O142" s="222" t="s">
        <v>212</v>
      </c>
      <c r="P142" s="222" t="s">
        <v>212</v>
      </c>
      <c r="Q142" s="222" t="s">
        <v>212</v>
      </c>
      <c r="R142" s="222" t="s">
        <v>212</v>
      </c>
      <c r="S142" s="222" t="s">
        <v>212</v>
      </c>
      <c r="T142" s="531" t="s">
        <v>212</v>
      </c>
      <c r="U142" s="531"/>
      <c r="V142" s="222" t="s">
        <v>212</v>
      </c>
      <c r="W142" s="222" t="s">
        <v>212</v>
      </c>
      <c r="X142" s="531" t="s">
        <v>212</v>
      </c>
      <c r="Y142" s="531"/>
      <c r="Z142" s="222" t="s">
        <v>212</v>
      </c>
      <c r="AA142" s="222" t="s">
        <v>212</v>
      </c>
      <c r="AB142" s="222" t="s">
        <v>212</v>
      </c>
      <c r="AC142" s="215"/>
    </row>
    <row r="143" spans="1:29" ht="13.5" customHeight="1">
      <c r="A143" s="215"/>
      <c r="B143" s="535">
        <v>38781</v>
      </c>
      <c r="C143" s="535"/>
      <c r="D143" s="219" t="s">
        <v>212</v>
      </c>
      <c r="E143" s="229">
        <v>0</v>
      </c>
      <c r="F143" s="536">
        <v>0</v>
      </c>
      <c r="G143" s="536"/>
      <c r="H143" s="229">
        <v>314.39999999999998</v>
      </c>
      <c r="I143" s="536">
        <v>24</v>
      </c>
      <c r="J143" s="536"/>
      <c r="K143" s="229">
        <v>274</v>
      </c>
      <c r="L143" s="230">
        <v>24</v>
      </c>
      <c r="M143" s="229">
        <v>0</v>
      </c>
      <c r="N143" s="230">
        <v>0</v>
      </c>
      <c r="O143" s="231">
        <v>588.4</v>
      </c>
      <c r="P143" s="222" t="s">
        <v>212</v>
      </c>
      <c r="Q143" s="229">
        <v>0</v>
      </c>
      <c r="R143" s="230">
        <v>0</v>
      </c>
      <c r="S143" s="229">
        <v>0</v>
      </c>
      <c r="T143" s="536">
        <v>0</v>
      </c>
      <c r="U143" s="536"/>
      <c r="V143" s="229">
        <v>0</v>
      </c>
      <c r="W143" s="222" t="s">
        <v>212</v>
      </c>
      <c r="X143" s="530">
        <v>588.4</v>
      </c>
      <c r="Y143" s="530"/>
      <c r="Z143" s="222" t="s">
        <v>212</v>
      </c>
      <c r="AA143" s="232">
        <v>3994500</v>
      </c>
      <c r="AB143" s="233">
        <v>143592</v>
      </c>
      <c r="AC143" s="215"/>
    </row>
    <row r="144" spans="1:29" ht="2.25" customHeight="1">
      <c r="A144" s="215"/>
      <c r="B144" s="529" t="s">
        <v>212</v>
      </c>
      <c r="C144" s="529"/>
      <c r="D144" s="219" t="s">
        <v>212</v>
      </c>
      <c r="E144" s="222" t="s">
        <v>212</v>
      </c>
      <c r="F144" s="531" t="s">
        <v>212</v>
      </c>
      <c r="G144" s="531"/>
      <c r="H144" s="222" t="s">
        <v>212</v>
      </c>
      <c r="I144" s="531" t="s">
        <v>212</v>
      </c>
      <c r="J144" s="531"/>
      <c r="K144" s="222" t="s">
        <v>212</v>
      </c>
      <c r="L144" s="222" t="s">
        <v>212</v>
      </c>
      <c r="M144" s="222" t="s">
        <v>212</v>
      </c>
      <c r="N144" s="222" t="s">
        <v>212</v>
      </c>
      <c r="O144" s="222" t="s">
        <v>212</v>
      </c>
      <c r="P144" s="222" t="s">
        <v>212</v>
      </c>
      <c r="Q144" s="222" t="s">
        <v>212</v>
      </c>
      <c r="R144" s="222" t="s">
        <v>212</v>
      </c>
      <c r="S144" s="222" t="s">
        <v>212</v>
      </c>
      <c r="T144" s="531" t="s">
        <v>212</v>
      </c>
      <c r="U144" s="531"/>
      <c r="V144" s="222" t="s">
        <v>212</v>
      </c>
      <c r="W144" s="222" t="s">
        <v>212</v>
      </c>
      <c r="X144" s="531" t="s">
        <v>212</v>
      </c>
      <c r="Y144" s="531"/>
      <c r="Z144" s="222" t="s">
        <v>212</v>
      </c>
      <c r="AA144" s="222" t="s">
        <v>212</v>
      </c>
      <c r="AB144" s="222" t="s">
        <v>212</v>
      </c>
      <c r="AC144" s="215"/>
    </row>
    <row r="145" spans="1:29" ht="13.5" customHeight="1">
      <c r="A145" s="215"/>
      <c r="B145" s="532">
        <v>38782</v>
      </c>
      <c r="C145" s="532"/>
      <c r="D145" s="219" t="s">
        <v>212</v>
      </c>
      <c r="E145" s="224">
        <v>0</v>
      </c>
      <c r="F145" s="533">
        <v>0</v>
      </c>
      <c r="G145" s="533"/>
      <c r="H145" s="224">
        <v>298</v>
      </c>
      <c r="I145" s="533">
        <v>24</v>
      </c>
      <c r="J145" s="533"/>
      <c r="K145" s="224">
        <v>270.60000000000002</v>
      </c>
      <c r="L145" s="225">
        <v>24</v>
      </c>
      <c r="M145" s="224">
        <v>0</v>
      </c>
      <c r="N145" s="225">
        <v>0</v>
      </c>
      <c r="O145" s="226">
        <v>568.6</v>
      </c>
      <c r="P145" s="222" t="s">
        <v>212</v>
      </c>
      <c r="Q145" s="224">
        <v>0</v>
      </c>
      <c r="R145" s="225">
        <v>0</v>
      </c>
      <c r="S145" s="224">
        <v>0</v>
      </c>
      <c r="T145" s="533">
        <v>0</v>
      </c>
      <c r="U145" s="533"/>
      <c r="V145" s="224">
        <v>0</v>
      </c>
      <c r="W145" s="222" t="s">
        <v>212</v>
      </c>
      <c r="X145" s="534">
        <v>568.6</v>
      </c>
      <c r="Y145" s="534"/>
      <c r="Z145" s="222" t="s">
        <v>212</v>
      </c>
      <c r="AA145" s="227">
        <v>3857600</v>
      </c>
      <c r="AB145" s="228">
        <v>142910</v>
      </c>
      <c r="AC145" s="215"/>
    </row>
    <row r="146" spans="1:29" ht="2.25" customHeight="1">
      <c r="A146" s="215"/>
      <c r="B146" s="529" t="s">
        <v>212</v>
      </c>
      <c r="C146" s="529"/>
      <c r="D146" s="219" t="s">
        <v>212</v>
      </c>
      <c r="E146" s="222" t="s">
        <v>212</v>
      </c>
      <c r="F146" s="531" t="s">
        <v>212</v>
      </c>
      <c r="G146" s="531"/>
      <c r="H146" s="222" t="s">
        <v>212</v>
      </c>
      <c r="I146" s="531" t="s">
        <v>212</v>
      </c>
      <c r="J146" s="531"/>
      <c r="K146" s="222" t="s">
        <v>212</v>
      </c>
      <c r="L146" s="222" t="s">
        <v>212</v>
      </c>
      <c r="M146" s="222" t="s">
        <v>212</v>
      </c>
      <c r="N146" s="222" t="s">
        <v>212</v>
      </c>
      <c r="O146" s="222" t="s">
        <v>212</v>
      </c>
      <c r="P146" s="222" t="s">
        <v>212</v>
      </c>
      <c r="Q146" s="222" t="s">
        <v>212</v>
      </c>
      <c r="R146" s="222" t="s">
        <v>212</v>
      </c>
      <c r="S146" s="222" t="s">
        <v>212</v>
      </c>
      <c r="T146" s="531" t="s">
        <v>212</v>
      </c>
      <c r="U146" s="531"/>
      <c r="V146" s="222" t="s">
        <v>212</v>
      </c>
      <c r="W146" s="222" t="s">
        <v>212</v>
      </c>
      <c r="X146" s="531" t="s">
        <v>212</v>
      </c>
      <c r="Y146" s="531"/>
      <c r="Z146" s="222" t="s">
        <v>212</v>
      </c>
      <c r="AA146" s="222" t="s">
        <v>212</v>
      </c>
      <c r="AB146" s="222" t="s">
        <v>212</v>
      </c>
      <c r="AC146" s="215"/>
    </row>
    <row r="147" spans="1:29" ht="13.5" customHeight="1">
      <c r="A147" s="215"/>
      <c r="B147" s="535">
        <v>38783</v>
      </c>
      <c r="C147" s="535"/>
      <c r="D147" s="219" t="s">
        <v>212</v>
      </c>
      <c r="E147" s="229">
        <v>0</v>
      </c>
      <c r="F147" s="536">
        <v>0</v>
      </c>
      <c r="G147" s="536"/>
      <c r="H147" s="229">
        <v>270</v>
      </c>
      <c r="I147" s="536">
        <v>24</v>
      </c>
      <c r="J147" s="536"/>
      <c r="K147" s="229">
        <v>207.3</v>
      </c>
      <c r="L147" s="230">
        <v>24</v>
      </c>
      <c r="M147" s="229">
        <v>0</v>
      </c>
      <c r="N147" s="230">
        <v>0</v>
      </c>
      <c r="O147" s="231">
        <v>477.3</v>
      </c>
      <c r="P147" s="222" t="s">
        <v>212</v>
      </c>
      <c r="Q147" s="229">
        <v>0</v>
      </c>
      <c r="R147" s="230">
        <v>24</v>
      </c>
      <c r="S147" s="229">
        <v>0</v>
      </c>
      <c r="T147" s="536">
        <v>0</v>
      </c>
      <c r="U147" s="536"/>
      <c r="V147" s="229">
        <v>0</v>
      </c>
      <c r="W147" s="222" t="s">
        <v>212</v>
      </c>
      <c r="X147" s="530">
        <v>477.3</v>
      </c>
      <c r="Y147" s="530"/>
      <c r="Z147" s="222" t="s">
        <v>212</v>
      </c>
      <c r="AA147" s="232">
        <v>3655300</v>
      </c>
      <c r="AB147" s="233">
        <v>124640</v>
      </c>
      <c r="AC147" s="215"/>
    </row>
    <row r="148" spans="1:29" ht="2.25" customHeight="1">
      <c r="A148" s="215"/>
      <c r="B148" s="529" t="s">
        <v>212</v>
      </c>
      <c r="C148" s="529"/>
      <c r="D148" s="219" t="s">
        <v>212</v>
      </c>
      <c r="E148" s="222" t="s">
        <v>212</v>
      </c>
      <c r="F148" s="531" t="s">
        <v>212</v>
      </c>
      <c r="G148" s="531"/>
      <c r="H148" s="222" t="s">
        <v>212</v>
      </c>
      <c r="I148" s="531" t="s">
        <v>212</v>
      </c>
      <c r="J148" s="531"/>
      <c r="K148" s="222" t="s">
        <v>212</v>
      </c>
      <c r="L148" s="222" t="s">
        <v>212</v>
      </c>
      <c r="M148" s="222" t="s">
        <v>212</v>
      </c>
      <c r="N148" s="222" t="s">
        <v>212</v>
      </c>
      <c r="O148" s="222" t="s">
        <v>212</v>
      </c>
      <c r="P148" s="222" t="s">
        <v>212</v>
      </c>
      <c r="Q148" s="222" t="s">
        <v>212</v>
      </c>
      <c r="R148" s="222" t="s">
        <v>212</v>
      </c>
      <c r="S148" s="222" t="s">
        <v>212</v>
      </c>
      <c r="T148" s="531" t="s">
        <v>212</v>
      </c>
      <c r="U148" s="531"/>
      <c r="V148" s="222" t="s">
        <v>212</v>
      </c>
      <c r="W148" s="222" t="s">
        <v>212</v>
      </c>
      <c r="X148" s="531" t="s">
        <v>212</v>
      </c>
      <c r="Y148" s="531"/>
      <c r="Z148" s="222" t="s">
        <v>212</v>
      </c>
      <c r="AA148" s="222" t="s">
        <v>212</v>
      </c>
      <c r="AB148" s="222" t="s">
        <v>212</v>
      </c>
      <c r="AC148" s="215"/>
    </row>
    <row r="149" spans="1:29" ht="13.5" customHeight="1">
      <c r="A149" s="215"/>
      <c r="B149" s="532">
        <v>38784</v>
      </c>
      <c r="C149" s="532"/>
      <c r="D149" s="219" t="s">
        <v>212</v>
      </c>
      <c r="E149" s="224">
        <v>0</v>
      </c>
      <c r="F149" s="533">
        <v>0</v>
      </c>
      <c r="G149" s="533"/>
      <c r="H149" s="224">
        <v>281.10000000000002</v>
      </c>
      <c r="I149" s="533">
        <v>24</v>
      </c>
      <c r="J149" s="533"/>
      <c r="K149" s="224">
        <v>193.2</v>
      </c>
      <c r="L149" s="225">
        <v>24</v>
      </c>
      <c r="M149" s="224">
        <v>0</v>
      </c>
      <c r="N149" s="225">
        <v>0</v>
      </c>
      <c r="O149" s="226">
        <v>474.3</v>
      </c>
      <c r="P149" s="222" t="s">
        <v>212</v>
      </c>
      <c r="Q149" s="224">
        <v>0</v>
      </c>
      <c r="R149" s="225">
        <v>0</v>
      </c>
      <c r="S149" s="224">
        <v>0</v>
      </c>
      <c r="T149" s="533">
        <v>0</v>
      </c>
      <c r="U149" s="533"/>
      <c r="V149" s="224">
        <v>0</v>
      </c>
      <c r="W149" s="222" t="s">
        <v>212</v>
      </c>
      <c r="X149" s="534">
        <v>474.3</v>
      </c>
      <c r="Y149" s="534"/>
      <c r="Z149" s="222" t="s">
        <v>212</v>
      </c>
      <c r="AA149" s="227">
        <v>3760300</v>
      </c>
      <c r="AB149" s="228">
        <v>121035</v>
      </c>
      <c r="AC149" s="215"/>
    </row>
    <row r="150" spans="1:29" ht="2.25" customHeight="1">
      <c r="A150" s="215"/>
      <c r="B150" s="529" t="s">
        <v>212</v>
      </c>
      <c r="C150" s="529"/>
      <c r="D150" s="219" t="s">
        <v>212</v>
      </c>
      <c r="E150" s="222" t="s">
        <v>212</v>
      </c>
      <c r="F150" s="531" t="s">
        <v>212</v>
      </c>
      <c r="G150" s="531"/>
      <c r="H150" s="222" t="s">
        <v>212</v>
      </c>
      <c r="I150" s="531" t="s">
        <v>212</v>
      </c>
      <c r="J150" s="531"/>
      <c r="K150" s="222" t="s">
        <v>212</v>
      </c>
      <c r="L150" s="222" t="s">
        <v>212</v>
      </c>
      <c r="M150" s="222" t="s">
        <v>212</v>
      </c>
      <c r="N150" s="222" t="s">
        <v>212</v>
      </c>
      <c r="O150" s="222" t="s">
        <v>212</v>
      </c>
      <c r="P150" s="222" t="s">
        <v>212</v>
      </c>
      <c r="Q150" s="222" t="s">
        <v>212</v>
      </c>
      <c r="R150" s="222" t="s">
        <v>212</v>
      </c>
      <c r="S150" s="222" t="s">
        <v>212</v>
      </c>
      <c r="T150" s="531" t="s">
        <v>212</v>
      </c>
      <c r="U150" s="531"/>
      <c r="V150" s="222" t="s">
        <v>212</v>
      </c>
      <c r="W150" s="222" t="s">
        <v>212</v>
      </c>
      <c r="X150" s="531" t="s">
        <v>212</v>
      </c>
      <c r="Y150" s="531"/>
      <c r="Z150" s="222" t="s">
        <v>212</v>
      </c>
      <c r="AA150" s="222" t="s">
        <v>212</v>
      </c>
      <c r="AB150" s="222" t="s">
        <v>212</v>
      </c>
      <c r="AC150" s="215"/>
    </row>
    <row r="151" spans="1:29" ht="13.5" customHeight="1">
      <c r="A151" s="215"/>
      <c r="B151" s="535">
        <v>38785</v>
      </c>
      <c r="C151" s="535"/>
      <c r="D151" s="219" t="s">
        <v>212</v>
      </c>
      <c r="E151" s="229">
        <v>0</v>
      </c>
      <c r="F151" s="536">
        <v>0</v>
      </c>
      <c r="G151" s="536"/>
      <c r="H151" s="229">
        <v>307.60000000000002</v>
      </c>
      <c r="I151" s="536">
        <v>24</v>
      </c>
      <c r="J151" s="536"/>
      <c r="K151" s="229">
        <v>268.60000000000002</v>
      </c>
      <c r="L151" s="230">
        <v>24</v>
      </c>
      <c r="M151" s="229">
        <v>0</v>
      </c>
      <c r="N151" s="230">
        <v>0</v>
      </c>
      <c r="O151" s="231">
        <v>576.20000000000005</v>
      </c>
      <c r="P151" s="222" t="s">
        <v>212</v>
      </c>
      <c r="Q151" s="229">
        <v>0</v>
      </c>
      <c r="R151" s="230">
        <v>0</v>
      </c>
      <c r="S151" s="229">
        <v>0</v>
      </c>
      <c r="T151" s="536">
        <v>0</v>
      </c>
      <c r="U151" s="536"/>
      <c r="V151" s="229">
        <v>0</v>
      </c>
      <c r="W151" s="222" t="s">
        <v>212</v>
      </c>
      <c r="X151" s="530">
        <v>576.20000000000005</v>
      </c>
      <c r="Y151" s="530"/>
      <c r="Z151" s="222" t="s">
        <v>212</v>
      </c>
      <c r="AA151" s="232">
        <v>3910500</v>
      </c>
      <c r="AB151" s="233">
        <v>141469</v>
      </c>
      <c r="AC151" s="215"/>
    </row>
    <row r="152" spans="1:29" ht="2.25" customHeight="1">
      <c r="A152" s="215"/>
      <c r="B152" s="529" t="s">
        <v>212</v>
      </c>
      <c r="C152" s="529"/>
      <c r="D152" s="219" t="s">
        <v>212</v>
      </c>
      <c r="E152" s="222" t="s">
        <v>212</v>
      </c>
      <c r="F152" s="531" t="s">
        <v>212</v>
      </c>
      <c r="G152" s="531"/>
      <c r="H152" s="222" t="s">
        <v>212</v>
      </c>
      <c r="I152" s="531" t="s">
        <v>212</v>
      </c>
      <c r="J152" s="531"/>
      <c r="K152" s="222" t="s">
        <v>212</v>
      </c>
      <c r="L152" s="222" t="s">
        <v>212</v>
      </c>
      <c r="M152" s="222" t="s">
        <v>212</v>
      </c>
      <c r="N152" s="222" t="s">
        <v>212</v>
      </c>
      <c r="O152" s="222" t="s">
        <v>212</v>
      </c>
      <c r="P152" s="222" t="s">
        <v>212</v>
      </c>
      <c r="Q152" s="222" t="s">
        <v>212</v>
      </c>
      <c r="R152" s="222" t="s">
        <v>212</v>
      </c>
      <c r="S152" s="222" t="s">
        <v>212</v>
      </c>
      <c r="T152" s="531" t="s">
        <v>212</v>
      </c>
      <c r="U152" s="531"/>
      <c r="V152" s="222" t="s">
        <v>212</v>
      </c>
      <c r="W152" s="222" t="s">
        <v>212</v>
      </c>
      <c r="X152" s="531" t="s">
        <v>212</v>
      </c>
      <c r="Y152" s="531"/>
      <c r="Z152" s="222" t="s">
        <v>212</v>
      </c>
      <c r="AA152" s="222" t="s">
        <v>212</v>
      </c>
      <c r="AB152" s="222" t="s">
        <v>212</v>
      </c>
      <c r="AC152" s="215"/>
    </row>
    <row r="153" spans="1:29" ht="13.5" customHeight="1">
      <c r="A153" s="215"/>
      <c r="B153" s="532">
        <v>38786</v>
      </c>
      <c r="C153" s="532"/>
      <c r="D153" s="219" t="s">
        <v>212</v>
      </c>
      <c r="E153" s="224">
        <v>0</v>
      </c>
      <c r="F153" s="533">
        <v>0</v>
      </c>
      <c r="G153" s="533"/>
      <c r="H153" s="224">
        <v>315</v>
      </c>
      <c r="I153" s="533">
        <v>24</v>
      </c>
      <c r="J153" s="533"/>
      <c r="K153" s="224">
        <v>265.2</v>
      </c>
      <c r="L153" s="225">
        <v>24</v>
      </c>
      <c r="M153" s="224">
        <v>0</v>
      </c>
      <c r="N153" s="225">
        <v>0</v>
      </c>
      <c r="O153" s="226">
        <v>580.20000000000005</v>
      </c>
      <c r="P153" s="222" t="s">
        <v>212</v>
      </c>
      <c r="Q153" s="224">
        <v>0</v>
      </c>
      <c r="R153" s="225">
        <v>0</v>
      </c>
      <c r="S153" s="224">
        <v>0</v>
      </c>
      <c r="T153" s="533">
        <v>0</v>
      </c>
      <c r="U153" s="533"/>
      <c r="V153" s="224">
        <v>0</v>
      </c>
      <c r="W153" s="222" t="s">
        <v>212</v>
      </c>
      <c r="X153" s="534">
        <v>580.20000000000005</v>
      </c>
      <c r="Y153" s="534"/>
      <c r="Z153" s="222" t="s">
        <v>212</v>
      </c>
      <c r="AA153" s="227">
        <v>4012800</v>
      </c>
      <c r="AB153" s="228">
        <v>140565</v>
      </c>
      <c r="AC153" s="215"/>
    </row>
    <row r="154" spans="1:29" ht="2.25" customHeight="1">
      <c r="A154" s="215"/>
      <c r="B154" s="529" t="s">
        <v>212</v>
      </c>
      <c r="C154" s="529"/>
      <c r="D154" s="219" t="s">
        <v>212</v>
      </c>
      <c r="E154" s="222" t="s">
        <v>212</v>
      </c>
      <c r="F154" s="531" t="s">
        <v>212</v>
      </c>
      <c r="G154" s="531"/>
      <c r="H154" s="222" t="s">
        <v>212</v>
      </c>
      <c r="I154" s="531" t="s">
        <v>212</v>
      </c>
      <c r="J154" s="531"/>
      <c r="K154" s="222" t="s">
        <v>212</v>
      </c>
      <c r="L154" s="222" t="s">
        <v>212</v>
      </c>
      <c r="M154" s="222" t="s">
        <v>212</v>
      </c>
      <c r="N154" s="222" t="s">
        <v>212</v>
      </c>
      <c r="O154" s="222" t="s">
        <v>212</v>
      </c>
      <c r="P154" s="222" t="s">
        <v>212</v>
      </c>
      <c r="Q154" s="222" t="s">
        <v>212</v>
      </c>
      <c r="R154" s="222" t="s">
        <v>212</v>
      </c>
      <c r="S154" s="222" t="s">
        <v>212</v>
      </c>
      <c r="T154" s="531" t="s">
        <v>212</v>
      </c>
      <c r="U154" s="531"/>
      <c r="V154" s="222" t="s">
        <v>212</v>
      </c>
      <c r="W154" s="222" t="s">
        <v>212</v>
      </c>
      <c r="X154" s="531" t="s">
        <v>212</v>
      </c>
      <c r="Y154" s="531"/>
      <c r="Z154" s="222" t="s">
        <v>212</v>
      </c>
      <c r="AA154" s="222" t="s">
        <v>212</v>
      </c>
      <c r="AB154" s="222" t="s">
        <v>212</v>
      </c>
      <c r="AC154" s="215"/>
    </row>
    <row r="155" spans="1:29" ht="13.5" customHeight="1">
      <c r="A155" s="215"/>
      <c r="B155" s="535">
        <v>38787</v>
      </c>
      <c r="C155" s="535"/>
      <c r="D155" s="219" t="s">
        <v>212</v>
      </c>
      <c r="E155" s="229">
        <v>77.2</v>
      </c>
      <c r="F155" s="536">
        <v>8</v>
      </c>
      <c r="G155" s="536"/>
      <c r="H155" s="229">
        <v>318</v>
      </c>
      <c r="I155" s="536">
        <v>24</v>
      </c>
      <c r="J155" s="536"/>
      <c r="K155" s="229">
        <v>164.2</v>
      </c>
      <c r="L155" s="230">
        <v>19</v>
      </c>
      <c r="M155" s="229">
        <v>0</v>
      </c>
      <c r="N155" s="230">
        <v>0</v>
      </c>
      <c r="O155" s="231">
        <v>559.4</v>
      </c>
      <c r="P155" s="222" t="s">
        <v>212</v>
      </c>
      <c r="Q155" s="229">
        <v>0</v>
      </c>
      <c r="R155" s="230">
        <v>0</v>
      </c>
      <c r="S155" s="229">
        <v>0</v>
      </c>
      <c r="T155" s="536">
        <v>0</v>
      </c>
      <c r="U155" s="536"/>
      <c r="V155" s="229">
        <v>0</v>
      </c>
      <c r="W155" s="222" t="s">
        <v>212</v>
      </c>
      <c r="X155" s="530">
        <v>559.4</v>
      </c>
      <c r="Y155" s="530"/>
      <c r="Z155" s="222" t="s">
        <v>212</v>
      </c>
      <c r="AA155" s="232">
        <v>5136000</v>
      </c>
      <c r="AB155" s="233">
        <v>97846</v>
      </c>
      <c r="AC155" s="215"/>
    </row>
    <row r="156" spans="1:29" ht="2.25" customHeight="1">
      <c r="A156" s="215"/>
      <c r="B156" s="529" t="s">
        <v>212</v>
      </c>
      <c r="C156" s="529"/>
      <c r="D156" s="219" t="s">
        <v>212</v>
      </c>
      <c r="E156" s="222" t="s">
        <v>212</v>
      </c>
      <c r="F156" s="531" t="s">
        <v>212</v>
      </c>
      <c r="G156" s="531"/>
      <c r="H156" s="222" t="s">
        <v>212</v>
      </c>
      <c r="I156" s="531" t="s">
        <v>212</v>
      </c>
      <c r="J156" s="531"/>
      <c r="K156" s="222" t="s">
        <v>212</v>
      </c>
      <c r="L156" s="222" t="s">
        <v>212</v>
      </c>
      <c r="M156" s="222" t="s">
        <v>212</v>
      </c>
      <c r="N156" s="222" t="s">
        <v>212</v>
      </c>
      <c r="O156" s="222" t="s">
        <v>212</v>
      </c>
      <c r="P156" s="222" t="s">
        <v>212</v>
      </c>
      <c r="Q156" s="222" t="s">
        <v>212</v>
      </c>
      <c r="R156" s="222" t="s">
        <v>212</v>
      </c>
      <c r="S156" s="222" t="s">
        <v>212</v>
      </c>
      <c r="T156" s="531" t="s">
        <v>212</v>
      </c>
      <c r="U156" s="531"/>
      <c r="V156" s="222" t="s">
        <v>212</v>
      </c>
      <c r="W156" s="222" t="s">
        <v>212</v>
      </c>
      <c r="X156" s="531" t="s">
        <v>212</v>
      </c>
      <c r="Y156" s="531"/>
      <c r="Z156" s="222" t="s">
        <v>212</v>
      </c>
      <c r="AA156" s="222" t="s">
        <v>212</v>
      </c>
      <c r="AB156" s="222" t="s">
        <v>212</v>
      </c>
      <c r="AC156" s="215"/>
    </row>
    <row r="157" spans="1:29" ht="13.5" customHeight="1">
      <c r="A157" s="215"/>
      <c r="B157" s="532">
        <v>38788</v>
      </c>
      <c r="C157" s="532"/>
      <c r="D157" s="219" t="s">
        <v>212</v>
      </c>
      <c r="E157" s="224">
        <v>229.7</v>
      </c>
      <c r="F157" s="533">
        <v>24</v>
      </c>
      <c r="G157" s="533"/>
      <c r="H157" s="224">
        <v>260.39999999999998</v>
      </c>
      <c r="I157" s="533">
        <v>24</v>
      </c>
      <c r="J157" s="533"/>
      <c r="K157" s="224">
        <v>0</v>
      </c>
      <c r="L157" s="225">
        <v>0</v>
      </c>
      <c r="M157" s="224">
        <v>0</v>
      </c>
      <c r="N157" s="225">
        <v>0</v>
      </c>
      <c r="O157" s="226">
        <v>490.1</v>
      </c>
      <c r="P157" s="222" t="s">
        <v>212</v>
      </c>
      <c r="Q157" s="224">
        <v>0</v>
      </c>
      <c r="R157" s="225">
        <v>0</v>
      </c>
      <c r="S157" s="224">
        <v>0</v>
      </c>
      <c r="T157" s="533">
        <v>0</v>
      </c>
      <c r="U157" s="533"/>
      <c r="V157" s="224">
        <v>0</v>
      </c>
      <c r="W157" s="222" t="s">
        <v>212</v>
      </c>
      <c r="X157" s="534">
        <v>490.1</v>
      </c>
      <c r="Y157" s="534"/>
      <c r="Z157" s="222" t="s">
        <v>212</v>
      </c>
      <c r="AA157" s="227">
        <v>7141500</v>
      </c>
      <c r="AB157" s="228">
        <v>0</v>
      </c>
      <c r="AC157" s="215"/>
    </row>
    <row r="158" spans="1:29" ht="2.25" customHeight="1">
      <c r="A158" s="215"/>
      <c r="B158" s="529" t="s">
        <v>212</v>
      </c>
      <c r="C158" s="529"/>
      <c r="D158" s="219" t="s">
        <v>212</v>
      </c>
      <c r="E158" s="222" t="s">
        <v>212</v>
      </c>
      <c r="F158" s="531" t="s">
        <v>212</v>
      </c>
      <c r="G158" s="531"/>
      <c r="H158" s="222" t="s">
        <v>212</v>
      </c>
      <c r="I158" s="531" t="s">
        <v>212</v>
      </c>
      <c r="J158" s="531"/>
      <c r="K158" s="222" t="s">
        <v>212</v>
      </c>
      <c r="L158" s="222" t="s">
        <v>212</v>
      </c>
      <c r="M158" s="222" t="s">
        <v>212</v>
      </c>
      <c r="N158" s="222" t="s">
        <v>212</v>
      </c>
      <c r="O158" s="222" t="s">
        <v>212</v>
      </c>
      <c r="P158" s="222" t="s">
        <v>212</v>
      </c>
      <c r="Q158" s="222" t="s">
        <v>212</v>
      </c>
      <c r="R158" s="222" t="s">
        <v>212</v>
      </c>
      <c r="S158" s="222" t="s">
        <v>212</v>
      </c>
      <c r="T158" s="531" t="s">
        <v>212</v>
      </c>
      <c r="U158" s="531"/>
      <c r="V158" s="222" t="s">
        <v>212</v>
      </c>
      <c r="W158" s="222" t="s">
        <v>212</v>
      </c>
      <c r="X158" s="531" t="s">
        <v>212</v>
      </c>
      <c r="Y158" s="531"/>
      <c r="Z158" s="222" t="s">
        <v>212</v>
      </c>
      <c r="AA158" s="222" t="s">
        <v>212</v>
      </c>
      <c r="AB158" s="222" t="s">
        <v>212</v>
      </c>
      <c r="AC158" s="215"/>
    </row>
    <row r="159" spans="1:29" ht="13.5" customHeight="1">
      <c r="A159" s="215"/>
      <c r="B159" s="535">
        <v>38789</v>
      </c>
      <c r="C159" s="535"/>
      <c r="D159" s="219" t="s">
        <v>212</v>
      </c>
      <c r="E159" s="229">
        <v>229.2</v>
      </c>
      <c r="F159" s="536">
        <v>24</v>
      </c>
      <c r="G159" s="536"/>
      <c r="H159" s="229">
        <v>275.5</v>
      </c>
      <c r="I159" s="536">
        <v>24</v>
      </c>
      <c r="J159" s="536"/>
      <c r="K159" s="229">
        <v>0</v>
      </c>
      <c r="L159" s="230">
        <v>0</v>
      </c>
      <c r="M159" s="229">
        <v>0</v>
      </c>
      <c r="N159" s="230">
        <v>0</v>
      </c>
      <c r="O159" s="231">
        <v>504.7</v>
      </c>
      <c r="P159" s="222" t="s">
        <v>212</v>
      </c>
      <c r="Q159" s="229">
        <v>0</v>
      </c>
      <c r="R159" s="230">
        <v>0</v>
      </c>
      <c r="S159" s="229">
        <v>0</v>
      </c>
      <c r="T159" s="536">
        <v>0</v>
      </c>
      <c r="U159" s="536"/>
      <c r="V159" s="229">
        <v>0</v>
      </c>
      <c r="W159" s="222" t="s">
        <v>212</v>
      </c>
      <c r="X159" s="530">
        <v>504.7</v>
      </c>
      <c r="Y159" s="530"/>
      <c r="Z159" s="222" t="s">
        <v>212</v>
      </c>
      <c r="AA159" s="232">
        <v>7192800</v>
      </c>
      <c r="AB159" s="233">
        <v>0</v>
      </c>
      <c r="AC159" s="215"/>
    </row>
    <row r="160" spans="1:29" ht="2.25" customHeight="1">
      <c r="A160" s="215"/>
      <c r="B160" s="529" t="s">
        <v>212</v>
      </c>
      <c r="C160" s="529"/>
      <c r="D160" s="219" t="s">
        <v>212</v>
      </c>
      <c r="E160" s="222" t="s">
        <v>212</v>
      </c>
      <c r="F160" s="531" t="s">
        <v>212</v>
      </c>
      <c r="G160" s="531"/>
      <c r="H160" s="222" t="s">
        <v>212</v>
      </c>
      <c r="I160" s="531" t="s">
        <v>212</v>
      </c>
      <c r="J160" s="531"/>
      <c r="K160" s="222" t="s">
        <v>212</v>
      </c>
      <c r="L160" s="222" t="s">
        <v>212</v>
      </c>
      <c r="M160" s="222" t="s">
        <v>212</v>
      </c>
      <c r="N160" s="222" t="s">
        <v>212</v>
      </c>
      <c r="O160" s="222" t="s">
        <v>212</v>
      </c>
      <c r="P160" s="222" t="s">
        <v>212</v>
      </c>
      <c r="Q160" s="222" t="s">
        <v>212</v>
      </c>
      <c r="R160" s="222" t="s">
        <v>212</v>
      </c>
      <c r="S160" s="222" t="s">
        <v>212</v>
      </c>
      <c r="T160" s="531" t="s">
        <v>212</v>
      </c>
      <c r="U160" s="531"/>
      <c r="V160" s="222" t="s">
        <v>212</v>
      </c>
      <c r="W160" s="222" t="s">
        <v>212</v>
      </c>
      <c r="X160" s="531" t="s">
        <v>212</v>
      </c>
      <c r="Y160" s="531"/>
      <c r="Z160" s="222" t="s">
        <v>212</v>
      </c>
      <c r="AA160" s="222" t="s">
        <v>212</v>
      </c>
      <c r="AB160" s="222" t="s">
        <v>212</v>
      </c>
      <c r="AC160" s="215"/>
    </row>
    <row r="161" spans="1:29" ht="13.5" customHeight="1">
      <c r="A161" s="215"/>
      <c r="B161" s="532">
        <v>38790</v>
      </c>
      <c r="C161" s="532"/>
      <c r="D161" s="219" t="s">
        <v>212</v>
      </c>
      <c r="E161" s="224">
        <v>103.7</v>
      </c>
      <c r="F161" s="533">
        <v>12</v>
      </c>
      <c r="G161" s="533"/>
      <c r="H161" s="224">
        <v>314.3</v>
      </c>
      <c r="I161" s="533">
        <v>24</v>
      </c>
      <c r="J161" s="533"/>
      <c r="K161" s="224">
        <v>104.3</v>
      </c>
      <c r="L161" s="225">
        <v>13</v>
      </c>
      <c r="M161" s="224">
        <v>0</v>
      </c>
      <c r="N161" s="225">
        <v>0</v>
      </c>
      <c r="O161" s="226">
        <v>522.29999999999995</v>
      </c>
      <c r="P161" s="222" t="s">
        <v>212</v>
      </c>
      <c r="Q161" s="224">
        <v>0</v>
      </c>
      <c r="R161" s="225">
        <v>24</v>
      </c>
      <c r="S161" s="224">
        <v>0</v>
      </c>
      <c r="T161" s="533">
        <v>0</v>
      </c>
      <c r="U161" s="533"/>
      <c r="V161" s="224">
        <v>0</v>
      </c>
      <c r="W161" s="222" t="s">
        <v>212</v>
      </c>
      <c r="X161" s="534">
        <v>522.29999999999995</v>
      </c>
      <c r="Y161" s="534"/>
      <c r="Z161" s="222" t="s">
        <v>212</v>
      </c>
      <c r="AA161" s="227">
        <v>5644200</v>
      </c>
      <c r="AB161" s="228">
        <v>64500</v>
      </c>
      <c r="AC161" s="215"/>
    </row>
    <row r="162" spans="1:29" ht="2.25" customHeight="1">
      <c r="A162" s="215"/>
      <c r="B162" s="529" t="s">
        <v>212</v>
      </c>
      <c r="C162" s="529"/>
      <c r="D162" s="219" t="s">
        <v>212</v>
      </c>
      <c r="E162" s="222" t="s">
        <v>212</v>
      </c>
      <c r="F162" s="531" t="s">
        <v>212</v>
      </c>
      <c r="G162" s="531"/>
      <c r="H162" s="222" t="s">
        <v>212</v>
      </c>
      <c r="I162" s="531" t="s">
        <v>212</v>
      </c>
      <c r="J162" s="531"/>
      <c r="K162" s="222" t="s">
        <v>212</v>
      </c>
      <c r="L162" s="222" t="s">
        <v>212</v>
      </c>
      <c r="M162" s="222" t="s">
        <v>212</v>
      </c>
      <c r="N162" s="222" t="s">
        <v>212</v>
      </c>
      <c r="O162" s="222" t="s">
        <v>212</v>
      </c>
      <c r="P162" s="222" t="s">
        <v>212</v>
      </c>
      <c r="Q162" s="222" t="s">
        <v>212</v>
      </c>
      <c r="R162" s="222" t="s">
        <v>212</v>
      </c>
      <c r="S162" s="222" t="s">
        <v>212</v>
      </c>
      <c r="T162" s="531" t="s">
        <v>212</v>
      </c>
      <c r="U162" s="531"/>
      <c r="V162" s="222" t="s">
        <v>212</v>
      </c>
      <c r="W162" s="222" t="s">
        <v>212</v>
      </c>
      <c r="X162" s="531" t="s">
        <v>212</v>
      </c>
      <c r="Y162" s="531"/>
      <c r="Z162" s="222" t="s">
        <v>212</v>
      </c>
      <c r="AA162" s="222" t="s">
        <v>212</v>
      </c>
      <c r="AB162" s="222" t="s">
        <v>212</v>
      </c>
      <c r="AC162" s="215"/>
    </row>
    <row r="163" spans="1:29" ht="13.5" customHeight="1">
      <c r="A163" s="215"/>
      <c r="B163" s="535">
        <v>38791</v>
      </c>
      <c r="C163" s="535"/>
      <c r="D163" s="219" t="s">
        <v>212</v>
      </c>
      <c r="E163" s="229">
        <v>0</v>
      </c>
      <c r="F163" s="536">
        <v>0</v>
      </c>
      <c r="G163" s="536"/>
      <c r="H163" s="229">
        <v>343.3</v>
      </c>
      <c r="I163" s="536">
        <v>24</v>
      </c>
      <c r="J163" s="536"/>
      <c r="K163" s="229">
        <v>176.5</v>
      </c>
      <c r="L163" s="230">
        <v>24</v>
      </c>
      <c r="M163" s="229">
        <v>0</v>
      </c>
      <c r="N163" s="230">
        <v>0</v>
      </c>
      <c r="O163" s="231">
        <v>519.79999999999995</v>
      </c>
      <c r="P163" s="222" t="s">
        <v>212</v>
      </c>
      <c r="Q163" s="229">
        <v>0</v>
      </c>
      <c r="R163" s="230">
        <v>0</v>
      </c>
      <c r="S163" s="229">
        <v>0</v>
      </c>
      <c r="T163" s="536">
        <v>0</v>
      </c>
      <c r="U163" s="536"/>
      <c r="V163" s="229">
        <v>0</v>
      </c>
      <c r="W163" s="222" t="s">
        <v>212</v>
      </c>
      <c r="X163" s="530">
        <v>519.79999999999995</v>
      </c>
      <c r="Y163" s="530"/>
      <c r="Z163" s="222" t="s">
        <v>212</v>
      </c>
      <c r="AA163" s="232">
        <v>4222500</v>
      </c>
      <c r="AB163" s="233">
        <v>115378</v>
      </c>
      <c r="AC163" s="215"/>
    </row>
    <row r="164" spans="1:29" ht="2.25" customHeight="1">
      <c r="A164" s="215"/>
      <c r="B164" s="529" t="s">
        <v>212</v>
      </c>
      <c r="C164" s="529"/>
      <c r="D164" s="219" t="s">
        <v>212</v>
      </c>
      <c r="E164" s="222" t="s">
        <v>212</v>
      </c>
      <c r="F164" s="531" t="s">
        <v>212</v>
      </c>
      <c r="G164" s="531"/>
      <c r="H164" s="222" t="s">
        <v>212</v>
      </c>
      <c r="I164" s="531" t="s">
        <v>212</v>
      </c>
      <c r="J164" s="531"/>
      <c r="K164" s="222" t="s">
        <v>212</v>
      </c>
      <c r="L164" s="222" t="s">
        <v>212</v>
      </c>
      <c r="M164" s="222" t="s">
        <v>212</v>
      </c>
      <c r="N164" s="222" t="s">
        <v>212</v>
      </c>
      <c r="O164" s="222" t="s">
        <v>212</v>
      </c>
      <c r="P164" s="222" t="s">
        <v>212</v>
      </c>
      <c r="Q164" s="222" t="s">
        <v>212</v>
      </c>
      <c r="R164" s="222" t="s">
        <v>212</v>
      </c>
      <c r="S164" s="222" t="s">
        <v>212</v>
      </c>
      <c r="T164" s="531" t="s">
        <v>212</v>
      </c>
      <c r="U164" s="531"/>
      <c r="V164" s="222" t="s">
        <v>212</v>
      </c>
      <c r="W164" s="222" t="s">
        <v>212</v>
      </c>
      <c r="X164" s="531" t="s">
        <v>212</v>
      </c>
      <c r="Y164" s="531"/>
      <c r="Z164" s="222" t="s">
        <v>212</v>
      </c>
      <c r="AA164" s="222" t="s">
        <v>212</v>
      </c>
      <c r="AB164" s="222" t="s">
        <v>212</v>
      </c>
      <c r="AC164" s="215"/>
    </row>
    <row r="165" spans="1:29" ht="13.5" customHeight="1">
      <c r="A165" s="215"/>
      <c r="B165" s="532">
        <v>38792</v>
      </c>
      <c r="C165" s="532"/>
      <c r="D165" s="219" t="s">
        <v>212</v>
      </c>
      <c r="E165" s="224">
        <v>0</v>
      </c>
      <c r="F165" s="533">
        <v>0</v>
      </c>
      <c r="G165" s="533"/>
      <c r="H165" s="224">
        <v>370</v>
      </c>
      <c r="I165" s="533">
        <v>24</v>
      </c>
      <c r="J165" s="533"/>
      <c r="K165" s="224">
        <v>242.5</v>
      </c>
      <c r="L165" s="225">
        <v>24</v>
      </c>
      <c r="M165" s="224">
        <v>0</v>
      </c>
      <c r="N165" s="225">
        <v>0</v>
      </c>
      <c r="O165" s="226">
        <v>612.5</v>
      </c>
      <c r="P165" s="222" t="s">
        <v>212</v>
      </c>
      <c r="Q165" s="224">
        <v>0</v>
      </c>
      <c r="R165" s="225">
        <v>0</v>
      </c>
      <c r="S165" s="224">
        <v>0</v>
      </c>
      <c r="T165" s="533">
        <v>0</v>
      </c>
      <c r="U165" s="533"/>
      <c r="V165" s="224">
        <v>0</v>
      </c>
      <c r="W165" s="222" t="s">
        <v>212</v>
      </c>
      <c r="X165" s="534">
        <v>612.5</v>
      </c>
      <c r="Y165" s="534"/>
      <c r="Z165" s="222" t="s">
        <v>212</v>
      </c>
      <c r="AA165" s="227">
        <v>4437600</v>
      </c>
      <c r="AB165" s="228">
        <v>133693</v>
      </c>
      <c r="AC165" s="215"/>
    </row>
    <row r="166" spans="1:29" ht="2.25" customHeight="1">
      <c r="A166" s="215"/>
      <c r="B166" s="529" t="s">
        <v>212</v>
      </c>
      <c r="C166" s="529"/>
      <c r="D166" s="219" t="s">
        <v>212</v>
      </c>
      <c r="E166" s="222" t="s">
        <v>212</v>
      </c>
      <c r="F166" s="531" t="s">
        <v>212</v>
      </c>
      <c r="G166" s="531"/>
      <c r="H166" s="222" t="s">
        <v>212</v>
      </c>
      <c r="I166" s="531" t="s">
        <v>212</v>
      </c>
      <c r="J166" s="531"/>
      <c r="K166" s="222" t="s">
        <v>212</v>
      </c>
      <c r="L166" s="222" t="s">
        <v>212</v>
      </c>
      <c r="M166" s="222" t="s">
        <v>212</v>
      </c>
      <c r="N166" s="222" t="s">
        <v>212</v>
      </c>
      <c r="O166" s="222" t="s">
        <v>212</v>
      </c>
      <c r="P166" s="222" t="s">
        <v>212</v>
      </c>
      <c r="Q166" s="222" t="s">
        <v>212</v>
      </c>
      <c r="R166" s="222" t="s">
        <v>212</v>
      </c>
      <c r="S166" s="222" t="s">
        <v>212</v>
      </c>
      <c r="T166" s="531" t="s">
        <v>212</v>
      </c>
      <c r="U166" s="531"/>
      <c r="V166" s="222" t="s">
        <v>212</v>
      </c>
      <c r="W166" s="222" t="s">
        <v>212</v>
      </c>
      <c r="X166" s="531" t="s">
        <v>212</v>
      </c>
      <c r="Y166" s="531"/>
      <c r="Z166" s="222" t="s">
        <v>212</v>
      </c>
      <c r="AA166" s="222" t="s">
        <v>212</v>
      </c>
      <c r="AB166" s="222" t="s">
        <v>212</v>
      </c>
      <c r="AC166" s="215"/>
    </row>
    <row r="167" spans="1:29" ht="13.5" customHeight="1">
      <c r="A167" s="215"/>
      <c r="B167" s="535">
        <v>38793</v>
      </c>
      <c r="C167" s="535"/>
      <c r="D167" s="219" t="s">
        <v>212</v>
      </c>
      <c r="E167" s="229">
        <v>88.5</v>
      </c>
      <c r="F167" s="536">
        <v>10</v>
      </c>
      <c r="G167" s="536"/>
      <c r="H167" s="229">
        <v>272.7</v>
      </c>
      <c r="I167" s="536">
        <v>20</v>
      </c>
      <c r="J167" s="536"/>
      <c r="K167" s="229">
        <v>251.5</v>
      </c>
      <c r="L167" s="230">
        <v>24</v>
      </c>
      <c r="M167" s="229">
        <v>0</v>
      </c>
      <c r="N167" s="230">
        <v>0</v>
      </c>
      <c r="O167" s="231">
        <v>612.70000000000005</v>
      </c>
      <c r="P167" s="222" t="s">
        <v>212</v>
      </c>
      <c r="Q167" s="229">
        <v>0</v>
      </c>
      <c r="R167" s="230">
        <v>0</v>
      </c>
      <c r="S167" s="229">
        <v>0</v>
      </c>
      <c r="T167" s="536">
        <v>0</v>
      </c>
      <c r="U167" s="536"/>
      <c r="V167" s="229">
        <v>0</v>
      </c>
      <c r="W167" s="222" t="s">
        <v>212</v>
      </c>
      <c r="X167" s="530">
        <v>612.70000000000005</v>
      </c>
      <c r="Y167" s="530"/>
      <c r="Z167" s="222" t="s">
        <v>212</v>
      </c>
      <c r="AA167" s="232">
        <v>4821000</v>
      </c>
      <c r="AB167" s="233">
        <v>138066</v>
      </c>
      <c r="AC167" s="215"/>
    </row>
    <row r="168" spans="1:29" ht="2.25" customHeight="1">
      <c r="A168" s="215"/>
      <c r="B168" s="529" t="s">
        <v>212</v>
      </c>
      <c r="C168" s="529"/>
      <c r="D168" s="219" t="s">
        <v>212</v>
      </c>
      <c r="E168" s="222" t="s">
        <v>212</v>
      </c>
      <c r="F168" s="531" t="s">
        <v>212</v>
      </c>
      <c r="G168" s="531"/>
      <c r="H168" s="222" t="s">
        <v>212</v>
      </c>
      <c r="I168" s="531" t="s">
        <v>212</v>
      </c>
      <c r="J168" s="531"/>
      <c r="K168" s="222" t="s">
        <v>212</v>
      </c>
      <c r="L168" s="222" t="s">
        <v>212</v>
      </c>
      <c r="M168" s="222" t="s">
        <v>212</v>
      </c>
      <c r="N168" s="222" t="s">
        <v>212</v>
      </c>
      <c r="O168" s="222" t="s">
        <v>212</v>
      </c>
      <c r="P168" s="222" t="s">
        <v>212</v>
      </c>
      <c r="Q168" s="222" t="s">
        <v>212</v>
      </c>
      <c r="R168" s="222" t="s">
        <v>212</v>
      </c>
      <c r="S168" s="222" t="s">
        <v>212</v>
      </c>
      <c r="T168" s="531" t="s">
        <v>212</v>
      </c>
      <c r="U168" s="531"/>
      <c r="V168" s="222" t="s">
        <v>212</v>
      </c>
      <c r="W168" s="222" t="s">
        <v>212</v>
      </c>
      <c r="X168" s="531" t="s">
        <v>212</v>
      </c>
      <c r="Y168" s="531"/>
      <c r="Z168" s="222" t="s">
        <v>212</v>
      </c>
      <c r="AA168" s="222" t="s">
        <v>212</v>
      </c>
      <c r="AB168" s="222" t="s">
        <v>212</v>
      </c>
      <c r="AC168" s="215"/>
    </row>
    <row r="169" spans="1:29" ht="13.5" customHeight="1">
      <c r="A169" s="215"/>
      <c r="B169" s="532">
        <v>38794</v>
      </c>
      <c r="C169" s="532"/>
      <c r="D169" s="219" t="s">
        <v>212</v>
      </c>
      <c r="E169" s="224">
        <v>312.5</v>
      </c>
      <c r="F169" s="533">
        <v>24</v>
      </c>
      <c r="G169" s="533"/>
      <c r="H169" s="224">
        <v>111.2</v>
      </c>
      <c r="I169" s="533">
        <v>9</v>
      </c>
      <c r="J169" s="533"/>
      <c r="K169" s="224">
        <v>169.2</v>
      </c>
      <c r="L169" s="225">
        <v>17</v>
      </c>
      <c r="M169" s="224">
        <v>0</v>
      </c>
      <c r="N169" s="225">
        <v>0</v>
      </c>
      <c r="O169" s="226">
        <v>592.9</v>
      </c>
      <c r="P169" s="222" t="s">
        <v>212</v>
      </c>
      <c r="Q169" s="224">
        <v>0</v>
      </c>
      <c r="R169" s="225">
        <v>0</v>
      </c>
      <c r="S169" s="224">
        <v>0</v>
      </c>
      <c r="T169" s="533">
        <v>0</v>
      </c>
      <c r="U169" s="533"/>
      <c r="V169" s="224">
        <v>0</v>
      </c>
      <c r="W169" s="222" t="s">
        <v>212</v>
      </c>
      <c r="X169" s="534">
        <v>592.9</v>
      </c>
      <c r="Y169" s="534"/>
      <c r="Z169" s="222" t="s">
        <v>212</v>
      </c>
      <c r="AA169" s="227">
        <v>5605400</v>
      </c>
      <c r="AB169" s="228">
        <v>95323</v>
      </c>
      <c r="AC169" s="215"/>
    </row>
    <row r="170" spans="1:29" ht="2.25" customHeight="1">
      <c r="A170" s="215"/>
      <c r="B170" s="529" t="s">
        <v>212</v>
      </c>
      <c r="C170" s="529"/>
      <c r="D170" s="219" t="s">
        <v>212</v>
      </c>
      <c r="E170" s="222" t="s">
        <v>212</v>
      </c>
      <c r="F170" s="531" t="s">
        <v>212</v>
      </c>
      <c r="G170" s="531"/>
      <c r="H170" s="222" t="s">
        <v>212</v>
      </c>
      <c r="I170" s="531" t="s">
        <v>212</v>
      </c>
      <c r="J170" s="531"/>
      <c r="K170" s="222" t="s">
        <v>212</v>
      </c>
      <c r="L170" s="222" t="s">
        <v>212</v>
      </c>
      <c r="M170" s="222" t="s">
        <v>212</v>
      </c>
      <c r="N170" s="222" t="s">
        <v>212</v>
      </c>
      <c r="O170" s="222" t="s">
        <v>212</v>
      </c>
      <c r="P170" s="222" t="s">
        <v>212</v>
      </c>
      <c r="Q170" s="222" t="s">
        <v>212</v>
      </c>
      <c r="R170" s="222" t="s">
        <v>212</v>
      </c>
      <c r="S170" s="222" t="s">
        <v>212</v>
      </c>
      <c r="T170" s="531" t="s">
        <v>212</v>
      </c>
      <c r="U170" s="531"/>
      <c r="V170" s="222" t="s">
        <v>212</v>
      </c>
      <c r="W170" s="222" t="s">
        <v>212</v>
      </c>
      <c r="X170" s="531" t="s">
        <v>212</v>
      </c>
      <c r="Y170" s="531"/>
      <c r="Z170" s="222" t="s">
        <v>212</v>
      </c>
      <c r="AA170" s="222" t="s">
        <v>212</v>
      </c>
      <c r="AB170" s="222" t="s">
        <v>212</v>
      </c>
      <c r="AC170" s="215"/>
    </row>
    <row r="171" spans="1:29" ht="13.5" customHeight="1">
      <c r="A171" s="215"/>
      <c r="B171" s="535">
        <v>38795</v>
      </c>
      <c r="C171" s="535"/>
      <c r="D171" s="219" t="s">
        <v>212</v>
      </c>
      <c r="E171" s="229">
        <v>276.5</v>
      </c>
      <c r="F171" s="536">
        <v>24</v>
      </c>
      <c r="G171" s="536"/>
      <c r="H171" s="229">
        <v>327.60000000000002</v>
      </c>
      <c r="I171" s="536">
        <v>24</v>
      </c>
      <c r="J171" s="536"/>
      <c r="K171" s="229">
        <v>0</v>
      </c>
      <c r="L171" s="230">
        <v>0</v>
      </c>
      <c r="M171" s="229">
        <v>0</v>
      </c>
      <c r="N171" s="230">
        <v>0</v>
      </c>
      <c r="O171" s="231">
        <v>604.1</v>
      </c>
      <c r="P171" s="222" t="s">
        <v>212</v>
      </c>
      <c r="Q171" s="229">
        <v>0</v>
      </c>
      <c r="R171" s="230">
        <v>0</v>
      </c>
      <c r="S171" s="229">
        <v>0</v>
      </c>
      <c r="T171" s="536">
        <v>0</v>
      </c>
      <c r="U171" s="536"/>
      <c r="V171" s="229">
        <v>0</v>
      </c>
      <c r="W171" s="222" t="s">
        <v>212</v>
      </c>
      <c r="X171" s="530">
        <v>604.1</v>
      </c>
      <c r="Y171" s="530"/>
      <c r="Z171" s="222" t="s">
        <v>212</v>
      </c>
      <c r="AA171" s="232">
        <v>7964300</v>
      </c>
      <c r="AB171" s="233">
        <v>0</v>
      </c>
      <c r="AC171" s="215"/>
    </row>
    <row r="172" spans="1:29" ht="2.25" customHeight="1">
      <c r="A172" s="215"/>
      <c r="B172" s="529" t="s">
        <v>212</v>
      </c>
      <c r="C172" s="529"/>
      <c r="D172" s="219" t="s">
        <v>212</v>
      </c>
      <c r="E172" s="222" t="s">
        <v>212</v>
      </c>
      <c r="F172" s="531" t="s">
        <v>212</v>
      </c>
      <c r="G172" s="531"/>
      <c r="H172" s="222" t="s">
        <v>212</v>
      </c>
      <c r="I172" s="531" t="s">
        <v>212</v>
      </c>
      <c r="J172" s="531"/>
      <c r="K172" s="222" t="s">
        <v>212</v>
      </c>
      <c r="L172" s="222" t="s">
        <v>212</v>
      </c>
      <c r="M172" s="222" t="s">
        <v>212</v>
      </c>
      <c r="N172" s="222" t="s">
        <v>212</v>
      </c>
      <c r="O172" s="222" t="s">
        <v>212</v>
      </c>
      <c r="P172" s="222" t="s">
        <v>212</v>
      </c>
      <c r="Q172" s="222" t="s">
        <v>212</v>
      </c>
      <c r="R172" s="222" t="s">
        <v>212</v>
      </c>
      <c r="S172" s="222" t="s">
        <v>212</v>
      </c>
      <c r="T172" s="531" t="s">
        <v>212</v>
      </c>
      <c r="U172" s="531"/>
      <c r="V172" s="222" t="s">
        <v>212</v>
      </c>
      <c r="W172" s="222" t="s">
        <v>212</v>
      </c>
      <c r="X172" s="531" t="s">
        <v>212</v>
      </c>
      <c r="Y172" s="531"/>
      <c r="Z172" s="222" t="s">
        <v>212</v>
      </c>
      <c r="AA172" s="222" t="s">
        <v>212</v>
      </c>
      <c r="AB172" s="222" t="s">
        <v>212</v>
      </c>
      <c r="AC172" s="215"/>
    </row>
    <row r="173" spans="1:29" ht="13.5" customHeight="1">
      <c r="A173" s="215"/>
      <c r="B173" s="532">
        <v>38796</v>
      </c>
      <c r="C173" s="532"/>
      <c r="D173" s="219" t="s">
        <v>212</v>
      </c>
      <c r="E173" s="224">
        <v>264.10000000000002</v>
      </c>
      <c r="F173" s="533">
        <v>24</v>
      </c>
      <c r="G173" s="533"/>
      <c r="H173" s="224">
        <v>341.7</v>
      </c>
      <c r="I173" s="533">
        <v>24</v>
      </c>
      <c r="J173" s="533"/>
      <c r="K173" s="224">
        <v>0</v>
      </c>
      <c r="L173" s="225">
        <v>0</v>
      </c>
      <c r="M173" s="224">
        <v>0</v>
      </c>
      <c r="N173" s="225">
        <v>0</v>
      </c>
      <c r="O173" s="226">
        <v>605.79999999999995</v>
      </c>
      <c r="P173" s="222" t="s">
        <v>212</v>
      </c>
      <c r="Q173" s="224">
        <v>0</v>
      </c>
      <c r="R173" s="225">
        <v>24</v>
      </c>
      <c r="S173" s="224">
        <v>0</v>
      </c>
      <c r="T173" s="533">
        <v>0</v>
      </c>
      <c r="U173" s="533"/>
      <c r="V173" s="224">
        <v>0</v>
      </c>
      <c r="W173" s="222" t="s">
        <v>212</v>
      </c>
      <c r="X173" s="534">
        <v>605.79999999999995</v>
      </c>
      <c r="Y173" s="534"/>
      <c r="Z173" s="222" t="s">
        <v>212</v>
      </c>
      <c r="AA173" s="227">
        <v>7971300</v>
      </c>
      <c r="AB173" s="228">
        <v>0</v>
      </c>
      <c r="AC173" s="215"/>
    </row>
    <row r="174" spans="1:29" ht="2.25" customHeight="1">
      <c r="A174" s="215"/>
      <c r="B174" s="529" t="s">
        <v>212</v>
      </c>
      <c r="C174" s="529"/>
      <c r="D174" s="219" t="s">
        <v>212</v>
      </c>
      <c r="E174" s="222" t="s">
        <v>212</v>
      </c>
      <c r="F174" s="531" t="s">
        <v>212</v>
      </c>
      <c r="G174" s="531"/>
      <c r="H174" s="222" t="s">
        <v>212</v>
      </c>
      <c r="I174" s="531" t="s">
        <v>212</v>
      </c>
      <c r="J174" s="531"/>
      <c r="K174" s="222" t="s">
        <v>212</v>
      </c>
      <c r="L174" s="222" t="s">
        <v>212</v>
      </c>
      <c r="M174" s="222" t="s">
        <v>212</v>
      </c>
      <c r="N174" s="222" t="s">
        <v>212</v>
      </c>
      <c r="O174" s="222" t="s">
        <v>212</v>
      </c>
      <c r="P174" s="222" t="s">
        <v>212</v>
      </c>
      <c r="Q174" s="222" t="s">
        <v>212</v>
      </c>
      <c r="R174" s="222" t="s">
        <v>212</v>
      </c>
      <c r="S174" s="222" t="s">
        <v>212</v>
      </c>
      <c r="T174" s="531" t="s">
        <v>212</v>
      </c>
      <c r="U174" s="531"/>
      <c r="V174" s="222" t="s">
        <v>212</v>
      </c>
      <c r="W174" s="222" t="s">
        <v>212</v>
      </c>
      <c r="X174" s="531" t="s">
        <v>212</v>
      </c>
      <c r="Y174" s="531"/>
      <c r="Z174" s="222" t="s">
        <v>212</v>
      </c>
      <c r="AA174" s="222" t="s">
        <v>212</v>
      </c>
      <c r="AB174" s="222" t="s">
        <v>212</v>
      </c>
      <c r="AC174" s="215"/>
    </row>
    <row r="175" spans="1:29" ht="13.5" customHeight="1">
      <c r="A175" s="215"/>
      <c r="B175" s="535">
        <v>38797</v>
      </c>
      <c r="C175" s="535"/>
      <c r="D175" s="219" t="s">
        <v>212</v>
      </c>
      <c r="E175" s="229">
        <v>265</v>
      </c>
      <c r="F175" s="536">
        <v>24</v>
      </c>
      <c r="G175" s="536"/>
      <c r="H175" s="229">
        <v>341.8</v>
      </c>
      <c r="I175" s="536">
        <v>24</v>
      </c>
      <c r="J175" s="536"/>
      <c r="K175" s="229">
        <v>0</v>
      </c>
      <c r="L175" s="230">
        <v>0</v>
      </c>
      <c r="M175" s="229">
        <v>0</v>
      </c>
      <c r="N175" s="230">
        <v>0</v>
      </c>
      <c r="O175" s="231">
        <v>606.79999999999995</v>
      </c>
      <c r="P175" s="222" t="s">
        <v>212</v>
      </c>
      <c r="Q175" s="229">
        <v>0</v>
      </c>
      <c r="R175" s="230">
        <v>0</v>
      </c>
      <c r="S175" s="229">
        <v>0</v>
      </c>
      <c r="T175" s="536">
        <v>0</v>
      </c>
      <c r="U175" s="536"/>
      <c r="V175" s="229">
        <v>0</v>
      </c>
      <c r="W175" s="222" t="s">
        <v>212</v>
      </c>
      <c r="X175" s="530">
        <v>606.79999999999995</v>
      </c>
      <c r="Y175" s="530"/>
      <c r="Z175" s="222" t="s">
        <v>212</v>
      </c>
      <c r="AA175" s="232">
        <v>8010600</v>
      </c>
      <c r="AB175" s="233">
        <v>0</v>
      </c>
      <c r="AC175" s="215"/>
    </row>
    <row r="176" spans="1:29" ht="2.25" customHeight="1">
      <c r="A176" s="215"/>
      <c r="B176" s="529" t="s">
        <v>212</v>
      </c>
      <c r="C176" s="529"/>
      <c r="D176" s="219" t="s">
        <v>212</v>
      </c>
      <c r="E176" s="222" t="s">
        <v>212</v>
      </c>
      <c r="F176" s="531" t="s">
        <v>212</v>
      </c>
      <c r="G176" s="531"/>
      <c r="H176" s="222" t="s">
        <v>212</v>
      </c>
      <c r="I176" s="531" t="s">
        <v>212</v>
      </c>
      <c r="J176" s="531"/>
      <c r="K176" s="222" t="s">
        <v>212</v>
      </c>
      <c r="L176" s="222" t="s">
        <v>212</v>
      </c>
      <c r="M176" s="222" t="s">
        <v>212</v>
      </c>
      <c r="N176" s="222" t="s">
        <v>212</v>
      </c>
      <c r="O176" s="222" t="s">
        <v>212</v>
      </c>
      <c r="P176" s="222" t="s">
        <v>212</v>
      </c>
      <c r="Q176" s="222" t="s">
        <v>212</v>
      </c>
      <c r="R176" s="222" t="s">
        <v>212</v>
      </c>
      <c r="S176" s="222" t="s">
        <v>212</v>
      </c>
      <c r="T176" s="531" t="s">
        <v>212</v>
      </c>
      <c r="U176" s="531"/>
      <c r="V176" s="222" t="s">
        <v>212</v>
      </c>
      <c r="W176" s="222" t="s">
        <v>212</v>
      </c>
      <c r="X176" s="531" t="s">
        <v>212</v>
      </c>
      <c r="Y176" s="531"/>
      <c r="Z176" s="222" t="s">
        <v>212</v>
      </c>
      <c r="AA176" s="222" t="s">
        <v>212</v>
      </c>
      <c r="AB176" s="222" t="s">
        <v>212</v>
      </c>
      <c r="AC176" s="215"/>
    </row>
    <row r="177" spans="1:29" ht="13.5" customHeight="1">
      <c r="A177" s="215"/>
      <c r="B177" s="532">
        <v>38798</v>
      </c>
      <c r="C177" s="532"/>
      <c r="D177" s="219" t="s">
        <v>212</v>
      </c>
      <c r="E177" s="224">
        <v>264.39999999999998</v>
      </c>
      <c r="F177" s="533">
        <v>24</v>
      </c>
      <c r="G177" s="533"/>
      <c r="H177" s="224">
        <v>154.1</v>
      </c>
      <c r="I177" s="533">
        <v>12</v>
      </c>
      <c r="J177" s="533"/>
      <c r="K177" s="224">
        <v>129.30000000000001</v>
      </c>
      <c r="L177" s="225">
        <v>12</v>
      </c>
      <c r="M177" s="224">
        <v>0</v>
      </c>
      <c r="N177" s="225">
        <v>0</v>
      </c>
      <c r="O177" s="226">
        <v>547.79999999999995</v>
      </c>
      <c r="P177" s="222" t="s">
        <v>212</v>
      </c>
      <c r="Q177" s="224">
        <v>0</v>
      </c>
      <c r="R177" s="225">
        <v>0</v>
      </c>
      <c r="S177" s="224">
        <v>0</v>
      </c>
      <c r="T177" s="533">
        <v>0</v>
      </c>
      <c r="U177" s="533"/>
      <c r="V177" s="224">
        <v>0</v>
      </c>
      <c r="W177" s="222" t="s">
        <v>212</v>
      </c>
      <c r="X177" s="534">
        <v>547.79999999999995</v>
      </c>
      <c r="Y177" s="534"/>
      <c r="Z177" s="222" t="s">
        <v>212</v>
      </c>
      <c r="AA177" s="227">
        <v>5819600</v>
      </c>
      <c r="AB177" s="228">
        <v>70320</v>
      </c>
      <c r="AC177" s="215"/>
    </row>
    <row r="178" spans="1:29" ht="2.25" customHeight="1">
      <c r="A178" s="215"/>
      <c r="B178" s="529" t="s">
        <v>212</v>
      </c>
      <c r="C178" s="529"/>
      <c r="D178" s="219" t="s">
        <v>212</v>
      </c>
      <c r="E178" s="222" t="s">
        <v>212</v>
      </c>
      <c r="F178" s="531" t="s">
        <v>212</v>
      </c>
      <c r="G178" s="531"/>
      <c r="H178" s="222" t="s">
        <v>212</v>
      </c>
      <c r="I178" s="531" t="s">
        <v>212</v>
      </c>
      <c r="J178" s="531"/>
      <c r="K178" s="222" t="s">
        <v>212</v>
      </c>
      <c r="L178" s="222" t="s">
        <v>212</v>
      </c>
      <c r="M178" s="222" t="s">
        <v>212</v>
      </c>
      <c r="N178" s="222" t="s">
        <v>212</v>
      </c>
      <c r="O178" s="222" t="s">
        <v>212</v>
      </c>
      <c r="P178" s="222" t="s">
        <v>212</v>
      </c>
      <c r="Q178" s="222" t="s">
        <v>212</v>
      </c>
      <c r="R178" s="222" t="s">
        <v>212</v>
      </c>
      <c r="S178" s="222" t="s">
        <v>212</v>
      </c>
      <c r="T178" s="531" t="s">
        <v>212</v>
      </c>
      <c r="U178" s="531"/>
      <c r="V178" s="222" t="s">
        <v>212</v>
      </c>
      <c r="W178" s="222" t="s">
        <v>212</v>
      </c>
      <c r="X178" s="531" t="s">
        <v>212</v>
      </c>
      <c r="Y178" s="531"/>
      <c r="Z178" s="222" t="s">
        <v>212</v>
      </c>
      <c r="AA178" s="222" t="s">
        <v>212</v>
      </c>
      <c r="AB178" s="222" t="s">
        <v>212</v>
      </c>
      <c r="AC178" s="215"/>
    </row>
    <row r="179" spans="1:29" ht="13.5" customHeight="1">
      <c r="A179" s="215"/>
      <c r="B179" s="535">
        <v>38799</v>
      </c>
      <c r="C179" s="535"/>
      <c r="D179" s="219" t="s">
        <v>212</v>
      </c>
      <c r="E179" s="229">
        <v>299</v>
      </c>
      <c r="F179" s="536">
        <v>24</v>
      </c>
      <c r="G179" s="536"/>
      <c r="H179" s="229">
        <v>0</v>
      </c>
      <c r="I179" s="536">
        <v>0</v>
      </c>
      <c r="J179" s="536"/>
      <c r="K179" s="229">
        <v>220.5</v>
      </c>
      <c r="L179" s="230">
        <v>24</v>
      </c>
      <c r="M179" s="229">
        <v>0</v>
      </c>
      <c r="N179" s="230">
        <v>0</v>
      </c>
      <c r="O179" s="231">
        <v>519.5</v>
      </c>
      <c r="P179" s="222" t="s">
        <v>212</v>
      </c>
      <c r="Q179" s="229">
        <v>0</v>
      </c>
      <c r="R179" s="230">
        <v>0</v>
      </c>
      <c r="S179" s="229">
        <v>0</v>
      </c>
      <c r="T179" s="536">
        <v>0</v>
      </c>
      <c r="U179" s="536"/>
      <c r="V179" s="229">
        <v>0</v>
      </c>
      <c r="W179" s="222" t="s">
        <v>212</v>
      </c>
      <c r="X179" s="530">
        <v>519.5</v>
      </c>
      <c r="Y179" s="530"/>
      <c r="Z179" s="222" t="s">
        <v>212</v>
      </c>
      <c r="AA179" s="232">
        <v>4038200</v>
      </c>
      <c r="AB179" s="233">
        <v>125656</v>
      </c>
      <c r="AC179" s="215"/>
    </row>
    <row r="180" spans="1:29" ht="2.25" customHeight="1">
      <c r="A180" s="215"/>
      <c r="B180" s="529" t="s">
        <v>212</v>
      </c>
      <c r="C180" s="529"/>
      <c r="D180" s="219" t="s">
        <v>212</v>
      </c>
      <c r="E180" s="222" t="s">
        <v>212</v>
      </c>
      <c r="F180" s="531" t="s">
        <v>212</v>
      </c>
      <c r="G180" s="531"/>
      <c r="H180" s="222" t="s">
        <v>212</v>
      </c>
      <c r="I180" s="531" t="s">
        <v>212</v>
      </c>
      <c r="J180" s="531"/>
      <c r="K180" s="222" t="s">
        <v>212</v>
      </c>
      <c r="L180" s="222" t="s">
        <v>212</v>
      </c>
      <c r="M180" s="222" t="s">
        <v>212</v>
      </c>
      <c r="N180" s="222" t="s">
        <v>212</v>
      </c>
      <c r="O180" s="222" t="s">
        <v>212</v>
      </c>
      <c r="P180" s="222" t="s">
        <v>212</v>
      </c>
      <c r="Q180" s="222" t="s">
        <v>212</v>
      </c>
      <c r="R180" s="222" t="s">
        <v>212</v>
      </c>
      <c r="S180" s="222" t="s">
        <v>212</v>
      </c>
      <c r="T180" s="531" t="s">
        <v>212</v>
      </c>
      <c r="U180" s="531"/>
      <c r="V180" s="222" t="s">
        <v>212</v>
      </c>
      <c r="W180" s="222" t="s">
        <v>212</v>
      </c>
      <c r="X180" s="531" t="s">
        <v>212</v>
      </c>
      <c r="Y180" s="531"/>
      <c r="Z180" s="222" t="s">
        <v>212</v>
      </c>
      <c r="AA180" s="222" t="s">
        <v>212</v>
      </c>
      <c r="AB180" s="222" t="s">
        <v>212</v>
      </c>
      <c r="AC180" s="215"/>
    </row>
    <row r="181" spans="1:29" ht="13.5" customHeight="1">
      <c r="A181" s="215"/>
      <c r="B181" s="532">
        <v>38800</v>
      </c>
      <c r="C181" s="532"/>
      <c r="D181" s="219" t="s">
        <v>212</v>
      </c>
      <c r="E181" s="224">
        <v>312.89999999999998</v>
      </c>
      <c r="F181" s="533">
        <v>24</v>
      </c>
      <c r="G181" s="533"/>
      <c r="H181" s="224">
        <v>0</v>
      </c>
      <c r="I181" s="533">
        <v>0</v>
      </c>
      <c r="J181" s="533"/>
      <c r="K181" s="224">
        <v>198.1</v>
      </c>
      <c r="L181" s="225">
        <v>24</v>
      </c>
      <c r="M181" s="224">
        <v>0</v>
      </c>
      <c r="N181" s="225">
        <v>0</v>
      </c>
      <c r="O181" s="226">
        <v>511</v>
      </c>
      <c r="P181" s="222" t="s">
        <v>212</v>
      </c>
      <c r="Q181" s="224">
        <v>0</v>
      </c>
      <c r="R181" s="225">
        <v>0</v>
      </c>
      <c r="S181" s="224">
        <v>0</v>
      </c>
      <c r="T181" s="533">
        <v>0</v>
      </c>
      <c r="U181" s="533"/>
      <c r="V181" s="224">
        <v>0</v>
      </c>
      <c r="W181" s="222" t="s">
        <v>212</v>
      </c>
      <c r="X181" s="534">
        <v>511</v>
      </c>
      <c r="Y181" s="534"/>
      <c r="Z181" s="222" t="s">
        <v>212</v>
      </c>
      <c r="AA181" s="227">
        <v>3985800</v>
      </c>
      <c r="AB181" s="228">
        <v>122065</v>
      </c>
      <c r="AC181" s="215"/>
    </row>
    <row r="182" spans="1:29" ht="2.25" customHeight="1">
      <c r="A182" s="215"/>
      <c r="B182" s="529" t="s">
        <v>212</v>
      </c>
      <c r="C182" s="529"/>
      <c r="D182" s="219" t="s">
        <v>212</v>
      </c>
      <c r="E182" s="222" t="s">
        <v>212</v>
      </c>
      <c r="F182" s="531" t="s">
        <v>212</v>
      </c>
      <c r="G182" s="531"/>
      <c r="H182" s="222" t="s">
        <v>212</v>
      </c>
      <c r="I182" s="531" t="s">
        <v>212</v>
      </c>
      <c r="J182" s="531"/>
      <c r="K182" s="222" t="s">
        <v>212</v>
      </c>
      <c r="L182" s="222" t="s">
        <v>212</v>
      </c>
      <c r="M182" s="222" t="s">
        <v>212</v>
      </c>
      <c r="N182" s="222" t="s">
        <v>212</v>
      </c>
      <c r="O182" s="222" t="s">
        <v>212</v>
      </c>
      <c r="P182" s="222" t="s">
        <v>212</v>
      </c>
      <c r="Q182" s="222" t="s">
        <v>212</v>
      </c>
      <c r="R182" s="222" t="s">
        <v>212</v>
      </c>
      <c r="S182" s="222" t="s">
        <v>212</v>
      </c>
      <c r="T182" s="531" t="s">
        <v>212</v>
      </c>
      <c r="U182" s="531"/>
      <c r="V182" s="222" t="s">
        <v>212</v>
      </c>
      <c r="W182" s="222" t="s">
        <v>212</v>
      </c>
      <c r="X182" s="531" t="s">
        <v>212</v>
      </c>
      <c r="Y182" s="531"/>
      <c r="Z182" s="222" t="s">
        <v>212</v>
      </c>
      <c r="AA182" s="222" t="s">
        <v>212</v>
      </c>
      <c r="AB182" s="222" t="s">
        <v>212</v>
      </c>
      <c r="AC182" s="215"/>
    </row>
    <row r="183" spans="1:29" ht="13.5" customHeight="1">
      <c r="A183" s="215"/>
      <c r="B183" s="535">
        <v>38801</v>
      </c>
      <c r="C183" s="535"/>
      <c r="D183" s="219" t="s">
        <v>212</v>
      </c>
      <c r="E183" s="229">
        <v>275.60000000000002</v>
      </c>
      <c r="F183" s="536">
        <v>24</v>
      </c>
      <c r="G183" s="536"/>
      <c r="H183" s="229">
        <v>153.30000000000001</v>
      </c>
      <c r="I183" s="536">
        <v>16</v>
      </c>
      <c r="J183" s="536"/>
      <c r="K183" s="229">
        <v>89</v>
      </c>
      <c r="L183" s="230">
        <v>10</v>
      </c>
      <c r="M183" s="229">
        <v>0</v>
      </c>
      <c r="N183" s="230">
        <v>0</v>
      </c>
      <c r="O183" s="231">
        <v>517.9</v>
      </c>
      <c r="P183" s="222" t="s">
        <v>212</v>
      </c>
      <c r="Q183" s="229">
        <v>0</v>
      </c>
      <c r="R183" s="230">
        <v>0</v>
      </c>
      <c r="S183" s="229">
        <v>0</v>
      </c>
      <c r="T183" s="536">
        <v>0</v>
      </c>
      <c r="U183" s="536"/>
      <c r="V183" s="229">
        <v>0</v>
      </c>
      <c r="W183" s="222" t="s">
        <v>212</v>
      </c>
      <c r="X183" s="530">
        <v>517.9</v>
      </c>
      <c r="Y183" s="530"/>
      <c r="Z183" s="222" t="s">
        <v>212</v>
      </c>
      <c r="AA183" s="232">
        <v>6227500</v>
      </c>
      <c r="AB183" s="233">
        <v>51282</v>
      </c>
      <c r="AC183" s="215"/>
    </row>
    <row r="184" spans="1:29" ht="2.25" customHeight="1">
      <c r="A184" s="215"/>
      <c r="B184" s="529" t="s">
        <v>212</v>
      </c>
      <c r="C184" s="529"/>
      <c r="D184" s="219" t="s">
        <v>212</v>
      </c>
      <c r="E184" s="222" t="s">
        <v>212</v>
      </c>
      <c r="F184" s="531" t="s">
        <v>212</v>
      </c>
      <c r="G184" s="531"/>
      <c r="H184" s="222" t="s">
        <v>212</v>
      </c>
      <c r="I184" s="531" t="s">
        <v>212</v>
      </c>
      <c r="J184" s="531"/>
      <c r="K184" s="222" t="s">
        <v>212</v>
      </c>
      <c r="L184" s="222" t="s">
        <v>212</v>
      </c>
      <c r="M184" s="222" t="s">
        <v>212</v>
      </c>
      <c r="N184" s="222" t="s">
        <v>212</v>
      </c>
      <c r="O184" s="222" t="s">
        <v>212</v>
      </c>
      <c r="P184" s="222" t="s">
        <v>212</v>
      </c>
      <c r="Q184" s="222" t="s">
        <v>212</v>
      </c>
      <c r="R184" s="222" t="s">
        <v>212</v>
      </c>
      <c r="S184" s="222" t="s">
        <v>212</v>
      </c>
      <c r="T184" s="531" t="s">
        <v>212</v>
      </c>
      <c r="U184" s="531"/>
      <c r="V184" s="222" t="s">
        <v>212</v>
      </c>
      <c r="W184" s="222" t="s">
        <v>212</v>
      </c>
      <c r="X184" s="531" t="s">
        <v>212</v>
      </c>
      <c r="Y184" s="531"/>
      <c r="Z184" s="222" t="s">
        <v>212</v>
      </c>
      <c r="AA184" s="222" t="s">
        <v>212</v>
      </c>
      <c r="AB184" s="222" t="s">
        <v>212</v>
      </c>
      <c r="AC184" s="215"/>
    </row>
    <row r="185" spans="1:29" ht="13.5" customHeight="1">
      <c r="A185" s="215"/>
      <c r="B185" s="532">
        <v>38802</v>
      </c>
      <c r="C185" s="532"/>
      <c r="D185" s="219" t="s">
        <v>212</v>
      </c>
      <c r="E185" s="224">
        <v>222.6</v>
      </c>
      <c r="F185" s="533">
        <v>24</v>
      </c>
      <c r="G185" s="533"/>
      <c r="H185" s="224">
        <v>246.9</v>
      </c>
      <c r="I185" s="533">
        <v>24</v>
      </c>
      <c r="J185" s="533"/>
      <c r="K185" s="224">
        <v>0</v>
      </c>
      <c r="L185" s="225">
        <v>0</v>
      </c>
      <c r="M185" s="224">
        <v>0</v>
      </c>
      <c r="N185" s="225">
        <v>0</v>
      </c>
      <c r="O185" s="226">
        <v>469.5</v>
      </c>
      <c r="P185" s="222" t="s">
        <v>212</v>
      </c>
      <c r="Q185" s="224">
        <v>0</v>
      </c>
      <c r="R185" s="225">
        <v>0</v>
      </c>
      <c r="S185" s="224">
        <v>0</v>
      </c>
      <c r="T185" s="533">
        <v>0</v>
      </c>
      <c r="U185" s="533"/>
      <c r="V185" s="224">
        <v>0</v>
      </c>
      <c r="W185" s="222" t="s">
        <v>212</v>
      </c>
      <c r="X185" s="534">
        <v>469.5</v>
      </c>
      <c r="Y185" s="534"/>
      <c r="Z185" s="222" t="s">
        <v>212</v>
      </c>
      <c r="AA185" s="227">
        <v>6887100</v>
      </c>
      <c r="AB185" s="228">
        <v>0</v>
      </c>
      <c r="AC185" s="215"/>
    </row>
    <row r="186" spans="1:29" ht="2.25" customHeight="1">
      <c r="A186" s="215"/>
      <c r="B186" s="529" t="s">
        <v>212</v>
      </c>
      <c r="C186" s="529"/>
      <c r="D186" s="219" t="s">
        <v>212</v>
      </c>
      <c r="E186" s="222" t="s">
        <v>212</v>
      </c>
      <c r="F186" s="531" t="s">
        <v>212</v>
      </c>
      <c r="G186" s="531"/>
      <c r="H186" s="222" t="s">
        <v>212</v>
      </c>
      <c r="I186" s="531" t="s">
        <v>212</v>
      </c>
      <c r="J186" s="531"/>
      <c r="K186" s="222" t="s">
        <v>212</v>
      </c>
      <c r="L186" s="222" t="s">
        <v>212</v>
      </c>
      <c r="M186" s="222" t="s">
        <v>212</v>
      </c>
      <c r="N186" s="222" t="s">
        <v>212</v>
      </c>
      <c r="O186" s="222" t="s">
        <v>212</v>
      </c>
      <c r="P186" s="222" t="s">
        <v>212</v>
      </c>
      <c r="Q186" s="222" t="s">
        <v>212</v>
      </c>
      <c r="R186" s="222" t="s">
        <v>212</v>
      </c>
      <c r="S186" s="222" t="s">
        <v>212</v>
      </c>
      <c r="T186" s="531" t="s">
        <v>212</v>
      </c>
      <c r="U186" s="531"/>
      <c r="V186" s="222" t="s">
        <v>212</v>
      </c>
      <c r="W186" s="222" t="s">
        <v>212</v>
      </c>
      <c r="X186" s="531" t="s">
        <v>212</v>
      </c>
      <c r="Y186" s="531"/>
      <c r="Z186" s="222" t="s">
        <v>212</v>
      </c>
      <c r="AA186" s="222" t="s">
        <v>212</v>
      </c>
      <c r="AB186" s="222" t="s">
        <v>212</v>
      </c>
      <c r="AC186" s="215"/>
    </row>
    <row r="187" spans="1:29" ht="13.5" customHeight="1">
      <c r="A187" s="215"/>
      <c r="B187" s="535">
        <v>38803</v>
      </c>
      <c r="C187" s="535"/>
      <c r="D187" s="219" t="s">
        <v>212</v>
      </c>
      <c r="E187" s="229">
        <v>240.5</v>
      </c>
      <c r="F187" s="536">
        <v>24</v>
      </c>
      <c r="G187" s="536"/>
      <c r="H187" s="229">
        <v>283.8</v>
      </c>
      <c r="I187" s="536">
        <v>24</v>
      </c>
      <c r="J187" s="536"/>
      <c r="K187" s="229">
        <v>0</v>
      </c>
      <c r="L187" s="230">
        <v>0</v>
      </c>
      <c r="M187" s="229">
        <v>0</v>
      </c>
      <c r="N187" s="230">
        <v>0</v>
      </c>
      <c r="O187" s="231">
        <v>524.29999999999995</v>
      </c>
      <c r="P187" s="222" t="s">
        <v>212</v>
      </c>
      <c r="Q187" s="229">
        <v>0</v>
      </c>
      <c r="R187" s="230">
        <v>0</v>
      </c>
      <c r="S187" s="229">
        <v>0</v>
      </c>
      <c r="T187" s="536">
        <v>0</v>
      </c>
      <c r="U187" s="536"/>
      <c r="V187" s="229">
        <v>0</v>
      </c>
      <c r="W187" s="222" t="s">
        <v>212</v>
      </c>
      <c r="X187" s="530">
        <v>524.29999999999995</v>
      </c>
      <c r="Y187" s="530"/>
      <c r="Z187" s="222" t="s">
        <v>212</v>
      </c>
      <c r="AA187" s="232">
        <v>7354900</v>
      </c>
      <c r="AB187" s="233">
        <v>0</v>
      </c>
      <c r="AC187" s="215"/>
    </row>
    <row r="188" spans="1:29" ht="2.25" customHeight="1">
      <c r="A188" s="215"/>
      <c r="B188" s="529" t="s">
        <v>212</v>
      </c>
      <c r="C188" s="529"/>
      <c r="D188" s="219" t="s">
        <v>212</v>
      </c>
      <c r="E188" s="222" t="s">
        <v>212</v>
      </c>
      <c r="F188" s="531" t="s">
        <v>212</v>
      </c>
      <c r="G188" s="531"/>
      <c r="H188" s="222" t="s">
        <v>212</v>
      </c>
      <c r="I188" s="531" t="s">
        <v>212</v>
      </c>
      <c r="J188" s="531"/>
      <c r="K188" s="222" t="s">
        <v>212</v>
      </c>
      <c r="L188" s="222" t="s">
        <v>212</v>
      </c>
      <c r="M188" s="222" t="s">
        <v>212</v>
      </c>
      <c r="N188" s="222" t="s">
        <v>212</v>
      </c>
      <c r="O188" s="222" t="s">
        <v>212</v>
      </c>
      <c r="P188" s="222" t="s">
        <v>212</v>
      </c>
      <c r="Q188" s="222" t="s">
        <v>212</v>
      </c>
      <c r="R188" s="222" t="s">
        <v>212</v>
      </c>
      <c r="S188" s="222" t="s">
        <v>212</v>
      </c>
      <c r="T188" s="531" t="s">
        <v>212</v>
      </c>
      <c r="U188" s="531"/>
      <c r="V188" s="222" t="s">
        <v>212</v>
      </c>
      <c r="W188" s="222" t="s">
        <v>212</v>
      </c>
      <c r="X188" s="531" t="s">
        <v>212</v>
      </c>
      <c r="Y188" s="531"/>
      <c r="Z188" s="222" t="s">
        <v>212</v>
      </c>
      <c r="AA188" s="222" t="s">
        <v>212</v>
      </c>
      <c r="AB188" s="222" t="s">
        <v>212</v>
      </c>
      <c r="AC188" s="215"/>
    </row>
    <row r="189" spans="1:29" ht="13.5" customHeight="1">
      <c r="A189" s="215"/>
      <c r="B189" s="532">
        <v>38804</v>
      </c>
      <c r="C189" s="532"/>
      <c r="D189" s="219" t="s">
        <v>212</v>
      </c>
      <c r="E189" s="224">
        <v>249.8</v>
      </c>
      <c r="F189" s="533">
        <v>24</v>
      </c>
      <c r="G189" s="533"/>
      <c r="H189" s="224">
        <v>264.89999999999998</v>
      </c>
      <c r="I189" s="533">
        <v>24</v>
      </c>
      <c r="J189" s="533"/>
      <c r="K189" s="224">
        <v>0</v>
      </c>
      <c r="L189" s="225">
        <v>0</v>
      </c>
      <c r="M189" s="224">
        <v>0</v>
      </c>
      <c r="N189" s="225">
        <v>0</v>
      </c>
      <c r="O189" s="226">
        <v>514.70000000000005</v>
      </c>
      <c r="P189" s="222" t="s">
        <v>212</v>
      </c>
      <c r="Q189" s="224">
        <v>0</v>
      </c>
      <c r="R189" s="225">
        <v>0</v>
      </c>
      <c r="S189" s="224">
        <v>0</v>
      </c>
      <c r="T189" s="533">
        <v>0</v>
      </c>
      <c r="U189" s="533"/>
      <c r="V189" s="224">
        <v>0</v>
      </c>
      <c r="W189" s="222" t="s">
        <v>212</v>
      </c>
      <c r="X189" s="534">
        <v>514.70000000000005</v>
      </c>
      <c r="Y189" s="534"/>
      <c r="Z189" s="222" t="s">
        <v>212</v>
      </c>
      <c r="AA189" s="227">
        <v>7322900</v>
      </c>
      <c r="AB189" s="228">
        <v>0</v>
      </c>
      <c r="AC189" s="215"/>
    </row>
    <row r="190" spans="1:29" ht="2.25" customHeight="1">
      <c r="A190" s="215"/>
      <c r="B190" s="529" t="s">
        <v>212</v>
      </c>
      <c r="C190" s="529"/>
      <c r="D190" s="219" t="s">
        <v>212</v>
      </c>
      <c r="E190" s="222" t="s">
        <v>212</v>
      </c>
      <c r="F190" s="531" t="s">
        <v>212</v>
      </c>
      <c r="G190" s="531"/>
      <c r="H190" s="222" t="s">
        <v>212</v>
      </c>
      <c r="I190" s="531" t="s">
        <v>212</v>
      </c>
      <c r="J190" s="531"/>
      <c r="K190" s="222" t="s">
        <v>212</v>
      </c>
      <c r="L190" s="222" t="s">
        <v>212</v>
      </c>
      <c r="M190" s="222" t="s">
        <v>212</v>
      </c>
      <c r="N190" s="222" t="s">
        <v>212</v>
      </c>
      <c r="O190" s="222" t="s">
        <v>212</v>
      </c>
      <c r="P190" s="222" t="s">
        <v>212</v>
      </c>
      <c r="Q190" s="222" t="s">
        <v>212</v>
      </c>
      <c r="R190" s="222" t="s">
        <v>212</v>
      </c>
      <c r="S190" s="222" t="s">
        <v>212</v>
      </c>
      <c r="T190" s="531" t="s">
        <v>212</v>
      </c>
      <c r="U190" s="531"/>
      <c r="V190" s="222" t="s">
        <v>212</v>
      </c>
      <c r="W190" s="222" t="s">
        <v>212</v>
      </c>
      <c r="X190" s="531" t="s">
        <v>212</v>
      </c>
      <c r="Y190" s="531"/>
      <c r="Z190" s="222" t="s">
        <v>212</v>
      </c>
      <c r="AA190" s="222" t="s">
        <v>212</v>
      </c>
      <c r="AB190" s="222" t="s">
        <v>212</v>
      </c>
      <c r="AC190" s="215"/>
    </row>
    <row r="191" spans="1:29" ht="13.5" customHeight="1">
      <c r="A191" s="215"/>
      <c r="B191" s="535">
        <v>38805</v>
      </c>
      <c r="C191" s="535"/>
      <c r="D191" s="219" t="s">
        <v>212</v>
      </c>
      <c r="E191" s="229">
        <v>262.89999999999998</v>
      </c>
      <c r="F191" s="536">
        <v>24</v>
      </c>
      <c r="G191" s="536"/>
      <c r="H191" s="229">
        <v>282.10000000000002</v>
      </c>
      <c r="I191" s="536">
        <v>24</v>
      </c>
      <c r="J191" s="536"/>
      <c r="K191" s="229">
        <v>0</v>
      </c>
      <c r="L191" s="230">
        <v>0</v>
      </c>
      <c r="M191" s="229">
        <v>0</v>
      </c>
      <c r="N191" s="230">
        <v>0</v>
      </c>
      <c r="O191" s="231">
        <v>545</v>
      </c>
      <c r="P191" s="222" t="s">
        <v>212</v>
      </c>
      <c r="Q191" s="229">
        <v>0</v>
      </c>
      <c r="R191" s="230">
        <v>0</v>
      </c>
      <c r="S191" s="229">
        <v>0</v>
      </c>
      <c r="T191" s="536">
        <v>0</v>
      </c>
      <c r="U191" s="536"/>
      <c r="V191" s="229">
        <v>0</v>
      </c>
      <c r="W191" s="222" t="s">
        <v>212</v>
      </c>
      <c r="X191" s="530">
        <v>545</v>
      </c>
      <c r="Y191" s="530"/>
      <c r="Z191" s="222" t="s">
        <v>212</v>
      </c>
      <c r="AA191" s="232">
        <v>7518300</v>
      </c>
      <c r="AB191" s="233">
        <v>0</v>
      </c>
      <c r="AC191" s="215"/>
    </row>
    <row r="192" spans="1:29" ht="2.25" customHeight="1">
      <c r="A192" s="215"/>
      <c r="B192" s="529" t="s">
        <v>212</v>
      </c>
      <c r="C192" s="529"/>
      <c r="D192" s="219" t="s">
        <v>212</v>
      </c>
      <c r="E192" s="222" t="s">
        <v>212</v>
      </c>
      <c r="F192" s="531" t="s">
        <v>212</v>
      </c>
      <c r="G192" s="531"/>
      <c r="H192" s="222" t="s">
        <v>212</v>
      </c>
      <c r="I192" s="531" t="s">
        <v>212</v>
      </c>
      <c r="J192" s="531"/>
      <c r="K192" s="222" t="s">
        <v>212</v>
      </c>
      <c r="L192" s="222" t="s">
        <v>212</v>
      </c>
      <c r="M192" s="222" t="s">
        <v>212</v>
      </c>
      <c r="N192" s="222" t="s">
        <v>212</v>
      </c>
      <c r="O192" s="222" t="s">
        <v>212</v>
      </c>
      <c r="P192" s="222" t="s">
        <v>212</v>
      </c>
      <c r="Q192" s="222" t="s">
        <v>212</v>
      </c>
      <c r="R192" s="222" t="s">
        <v>212</v>
      </c>
      <c r="S192" s="222" t="s">
        <v>212</v>
      </c>
      <c r="T192" s="531" t="s">
        <v>212</v>
      </c>
      <c r="U192" s="531"/>
      <c r="V192" s="222" t="s">
        <v>212</v>
      </c>
      <c r="W192" s="222" t="s">
        <v>212</v>
      </c>
      <c r="X192" s="531" t="s">
        <v>212</v>
      </c>
      <c r="Y192" s="531"/>
      <c r="Z192" s="222" t="s">
        <v>212</v>
      </c>
      <c r="AA192" s="222" t="s">
        <v>212</v>
      </c>
      <c r="AB192" s="222" t="s">
        <v>212</v>
      </c>
      <c r="AC192" s="215"/>
    </row>
    <row r="193" spans="1:29" ht="13.5" customHeight="1">
      <c r="A193" s="215"/>
      <c r="B193" s="532">
        <v>38806</v>
      </c>
      <c r="C193" s="532"/>
      <c r="D193" s="219" t="s">
        <v>212</v>
      </c>
      <c r="E193" s="224">
        <v>273.2</v>
      </c>
      <c r="F193" s="533">
        <v>24</v>
      </c>
      <c r="G193" s="533"/>
      <c r="H193" s="224">
        <v>305.3</v>
      </c>
      <c r="I193" s="533">
        <v>24</v>
      </c>
      <c r="J193" s="533"/>
      <c r="K193" s="224">
        <v>0</v>
      </c>
      <c r="L193" s="225">
        <v>1</v>
      </c>
      <c r="M193" s="224">
        <v>0</v>
      </c>
      <c r="N193" s="225">
        <v>0</v>
      </c>
      <c r="O193" s="226">
        <v>578.5</v>
      </c>
      <c r="P193" s="222" t="s">
        <v>212</v>
      </c>
      <c r="Q193" s="224">
        <v>0</v>
      </c>
      <c r="R193" s="225">
        <v>0</v>
      </c>
      <c r="S193" s="224">
        <v>0</v>
      </c>
      <c r="T193" s="533">
        <v>0</v>
      </c>
      <c r="U193" s="533"/>
      <c r="V193" s="224">
        <v>0</v>
      </c>
      <c r="W193" s="222" t="s">
        <v>212</v>
      </c>
      <c r="X193" s="534">
        <v>578.5</v>
      </c>
      <c r="Y193" s="534"/>
      <c r="Z193" s="222" t="s">
        <v>212</v>
      </c>
      <c r="AA193" s="227">
        <v>7910500</v>
      </c>
      <c r="AB193" s="228">
        <v>54</v>
      </c>
      <c r="AC193" s="215"/>
    </row>
    <row r="194" spans="1:29" ht="2.25" customHeight="1">
      <c r="A194" s="215"/>
      <c r="B194" s="529" t="s">
        <v>212</v>
      </c>
      <c r="C194" s="529"/>
      <c r="D194" s="219" t="s">
        <v>212</v>
      </c>
      <c r="E194" s="222" t="s">
        <v>212</v>
      </c>
      <c r="F194" s="531" t="s">
        <v>212</v>
      </c>
      <c r="G194" s="531"/>
      <c r="H194" s="222" t="s">
        <v>212</v>
      </c>
      <c r="I194" s="531" t="s">
        <v>212</v>
      </c>
      <c r="J194" s="531"/>
      <c r="K194" s="222" t="s">
        <v>212</v>
      </c>
      <c r="L194" s="222" t="s">
        <v>212</v>
      </c>
      <c r="M194" s="222" t="s">
        <v>212</v>
      </c>
      <c r="N194" s="222" t="s">
        <v>212</v>
      </c>
      <c r="O194" s="222" t="s">
        <v>212</v>
      </c>
      <c r="P194" s="222" t="s">
        <v>212</v>
      </c>
      <c r="Q194" s="222" t="s">
        <v>212</v>
      </c>
      <c r="R194" s="222" t="s">
        <v>212</v>
      </c>
      <c r="S194" s="222" t="s">
        <v>212</v>
      </c>
      <c r="T194" s="531" t="s">
        <v>212</v>
      </c>
      <c r="U194" s="531"/>
      <c r="V194" s="222" t="s">
        <v>212</v>
      </c>
      <c r="W194" s="222" t="s">
        <v>212</v>
      </c>
      <c r="X194" s="531" t="s">
        <v>212</v>
      </c>
      <c r="Y194" s="531"/>
      <c r="Z194" s="222" t="s">
        <v>212</v>
      </c>
      <c r="AA194" s="222" t="s">
        <v>212</v>
      </c>
      <c r="AB194" s="222" t="s">
        <v>212</v>
      </c>
      <c r="AC194" s="215"/>
    </row>
    <row r="195" spans="1:29" ht="13.5" customHeight="1">
      <c r="A195" s="215"/>
      <c r="B195" s="535">
        <v>38807</v>
      </c>
      <c r="C195" s="535"/>
      <c r="D195" s="219" t="s">
        <v>212</v>
      </c>
      <c r="E195" s="229">
        <v>269.89999999999998</v>
      </c>
      <c r="F195" s="536">
        <v>24</v>
      </c>
      <c r="G195" s="536"/>
      <c r="H195" s="229">
        <v>349.4</v>
      </c>
      <c r="I195" s="536">
        <v>24</v>
      </c>
      <c r="J195" s="536"/>
      <c r="K195" s="229">
        <v>0</v>
      </c>
      <c r="L195" s="230">
        <v>1</v>
      </c>
      <c r="M195" s="229">
        <v>0</v>
      </c>
      <c r="N195" s="230">
        <v>0</v>
      </c>
      <c r="O195" s="231">
        <v>619.29999999999995</v>
      </c>
      <c r="P195" s="222" t="s">
        <v>212</v>
      </c>
      <c r="Q195" s="229">
        <v>0</v>
      </c>
      <c r="R195" s="230">
        <v>0</v>
      </c>
      <c r="S195" s="229">
        <v>0</v>
      </c>
      <c r="T195" s="536">
        <v>0</v>
      </c>
      <c r="U195" s="536"/>
      <c r="V195" s="229">
        <v>0</v>
      </c>
      <c r="W195" s="222" t="s">
        <v>212</v>
      </c>
      <c r="X195" s="530">
        <v>619.29999999999995</v>
      </c>
      <c r="Y195" s="530"/>
      <c r="Z195" s="222" t="s">
        <v>212</v>
      </c>
      <c r="AA195" s="232">
        <v>8288600</v>
      </c>
      <c r="AB195" s="233">
        <v>253</v>
      </c>
      <c r="AC195" s="215"/>
    </row>
    <row r="196" spans="1:29" ht="2.25" customHeight="1">
      <c r="A196" s="215"/>
      <c r="B196" s="529" t="s">
        <v>212</v>
      </c>
      <c r="C196" s="529"/>
      <c r="D196" s="219" t="s">
        <v>212</v>
      </c>
      <c r="E196" s="222" t="s">
        <v>212</v>
      </c>
      <c r="F196" s="531" t="s">
        <v>212</v>
      </c>
      <c r="G196" s="531"/>
      <c r="H196" s="222" t="s">
        <v>212</v>
      </c>
      <c r="I196" s="531" t="s">
        <v>212</v>
      </c>
      <c r="J196" s="531"/>
      <c r="K196" s="222" t="s">
        <v>212</v>
      </c>
      <c r="L196" s="222" t="s">
        <v>212</v>
      </c>
      <c r="M196" s="222" t="s">
        <v>212</v>
      </c>
      <c r="N196" s="222" t="s">
        <v>212</v>
      </c>
      <c r="O196" s="222" t="s">
        <v>212</v>
      </c>
      <c r="P196" s="222" t="s">
        <v>212</v>
      </c>
      <c r="Q196" s="222" t="s">
        <v>212</v>
      </c>
      <c r="R196" s="222" t="s">
        <v>212</v>
      </c>
      <c r="S196" s="222" t="s">
        <v>212</v>
      </c>
      <c r="T196" s="531" t="s">
        <v>212</v>
      </c>
      <c r="U196" s="531"/>
      <c r="V196" s="222" t="s">
        <v>212</v>
      </c>
      <c r="W196" s="222" t="s">
        <v>212</v>
      </c>
      <c r="X196" s="531" t="s">
        <v>212</v>
      </c>
      <c r="Y196" s="531"/>
      <c r="Z196" s="222" t="s">
        <v>212</v>
      </c>
      <c r="AA196" s="222" t="s">
        <v>212</v>
      </c>
      <c r="AB196" s="222" t="s">
        <v>212</v>
      </c>
      <c r="AC196" s="215"/>
    </row>
    <row r="197" spans="1:29" ht="13.5" customHeight="1">
      <c r="A197" s="215"/>
      <c r="B197" s="532">
        <v>38808</v>
      </c>
      <c r="C197" s="532"/>
      <c r="D197" s="219" t="s">
        <v>212</v>
      </c>
      <c r="E197" s="224">
        <v>266.60000000000002</v>
      </c>
      <c r="F197" s="533">
        <v>24</v>
      </c>
      <c r="G197" s="533"/>
      <c r="H197" s="224">
        <v>347.8</v>
      </c>
      <c r="I197" s="533">
        <v>24</v>
      </c>
      <c r="J197" s="533"/>
      <c r="K197" s="224">
        <v>1.2</v>
      </c>
      <c r="L197" s="225">
        <v>1</v>
      </c>
      <c r="M197" s="224">
        <v>0</v>
      </c>
      <c r="N197" s="225">
        <v>0</v>
      </c>
      <c r="O197" s="226">
        <v>615.6</v>
      </c>
      <c r="P197" s="222" t="s">
        <v>212</v>
      </c>
      <c r="Q197" s="224">
        <v>0</v>
      </c>
      <c r="R197" s="225">
        <v>0</v>
      </c>
      <c r="S197" s="224">
        <v>0</v>
      </c>
      <c r="T197" s="533">
        <v>0</v>
      </c>
      <c r="U197" s="533"/>
      <c r="V197" s="224">
        <v>0</v>
      </c>
      <c r="W197" s="222" t="s">
        <v>212</v>
      </c>
      <c r="X197" s="534">
        <v>615.6</v>
      </c>
      <c r="Y197" s="534"/>
      <c r="Z197" s="222" t="s">
        <v>212</v>
      </c>
      <c r="AA197" s="227">
        <v>8164400</v>
      </c>
      <c r="AB197" s="228">
        <v>1281</v>
      </c>
      <c r="AC197" s="215"/>
    </row>
    <row r="198" spans="1:29" ht="2.25" customHeight="1">
      <c r="A198" s="215"/>
      <c r="B198" s="529" t="s">
        <v>212</v>
      </c>
      <c r="C198" s="529"/>
      <c r="D198" s="219" t="s">
        <v>212</v>
      </c>
      <c r="E198" s="222" t="s">
        <v>212</v>
      </c>
      <c r="F198" s="531" t="s">
        <v>212</v>
      </c>
      <c r="G198" s="531"/>
      <c r="H198" s="222" t="s">
        <v>212</v>
      </c>
      <c r="I198" s="531" t="s">
        <v>212</v>
      </c>
      <c r="J198" s="531"/>
      <c r="K198" s="222" t="s">
        <v>212</v>
      </c>
      <c r="L198" s="222" t="s">
        <v>212</v>
      </c>
      <c r="M198" s="222" t="s">
        <v>212</v>
      </c>
      <c r="N198" s="222" t="s">
        <v>212</v>
      </c>
      <c r="O198" s="222" t="s">
        <v>212</v>
      </c>
      <c r="P198" s="222" t="s">
        <v>212</v>
      </c>
      <c r="Q198" s="222" t="s">
        <v>212</v>
      </c>
      <c r="R198" s="222" t="s">
        <v>212</v>
      </c>
      <c r="S198" s="222" t="s">
        <v>212</v>
      </c>
      <c r="T198" s="531" t="s">
        <v>212</v>
      </c>
      <c r="U198" s="531"/>
      <c r="V198" s="222" t="s">
        <v>212</v>
      </c>
      <c r="W198" s="222" t="s">
        <v>212</v>
      </c>
      <c r="X198" s="531" t="s">
        <v>212</v>
      </c>
      <c r="Y198" s="531"/>
      <c r="Z198" s="222" t="s">
        <v>212</v>
      </c>
      <c r="AA198" s="222" t="s">
        <v>212</v>
      </c>
      <c r="AB198" s="222" t="s">
        <v>212</v>
      </c>
      <c r="AC198" s="215"/>
    </row>
    <row r="199" spans="1:29" ht="13.5" customHeight="1">
      <c r="A199" s="215"/>
      <c r="B199" s="535">
        <v>38809</v>
      </c>
      <c r="C199" s="535"/>
      <c r="D199" s="219" t="s">
        <v>212</v>
      </c>
      <c r="E199" s="229">
        <v>286.7</v>
      </c>
      <c r="F199" s="536">
        <v>24</v>
      </c>
      <c r="G199" s="536"/>
      <c r="H199" s="229">
        <v>130.19999999999999</v>
      </c>
      <c r="I199" s="536">
        <v>9</v>
      </c>
      <c r="J199" s="536"/>
      <c r="K199" s="229">
        <v>184.5</v>
      </c>
      <c r="L199" s="230">
        <v>15</v>
      </c>
      <c r="M199" s="229">
        <v>0</v>
      </c>
      <c r="N199" s="230">
        <v>0</v>
      </c>
      <c r="O199" s="231">
        <v>601.4</v>
      </c>
      <c r="P199" s="222" t="s">
        <v>212</v>
      </c>
      <c r="Q199" s="229">
        <v>0</v>
      </c>
      <c r="R199" s="230">
        <v>0</v>
      </c>
      <c r="S199" s="229">
        <v>0</v>
      </c>
      <c r="T199" s="536">
        <v>0</v>
      </c>
      <c r="U199" s="536"/>
      <c r="V199" s="229">
        <v>0</v>
      </c>
      <c r="W199" s="222" t="s">
        <v>212</v>
      </c>
      <c r="X199" s="530">
        <v>601.4</v>
      </c>
      <c r="Y199" s="530"/>
      <c r="Z199" s="222" t="s">
        <v>212</v>
      </c>
      <c r="AA199" s="232">
        <v>5641170</v>
      </c>
      <c r="AB199" s="233">
        <v>93120</v>
      </c>
      <c r="AC199" s="215"/>
    </row>
    <row r="200" spans="1:29" ht="2.25" customHeight="1">
      <c r="A200" s="215"/>
      <c r="B200" s="529" t="s">
        <v>212</v>
      </c>
      <c r="C200" s="529"/>
      <c r="D200" s="219" t="s">
        <v>212</v>
      </c>
      <c r="E200" s="222" t="s">
        <v>212</v>
      </c>
      <c r="F200" s="531" t="s">
        <v>212</v>
      </c>
      <c r="G200" s="531"/>
      <c r="H200" s="222" t="s">
        <v>212</v>
      </c>
      <c r="I200" s="531" t="s">
        <v>212</v>
      </c>
      <c r="J200" s="531"/>
      <c r="K200" s="222" t="s">
        <v>212</v>
      </c>
      <c r="L200" s="222" t="s">
        <v>212</v>
      </c>
      <c r="M200" s="222" t="s">
        <v>212</v>
      </c>
      <c r="N200" s="222" t="s">
        <v>212</v>
      </c>
      <c r="O200" s="222" t="s">
        <v>212</v>
      </c>
      <c r="P200" s="222" t="s">
        <v>212</v>
      </c>
      <c r="Q200" s="222" t="s">
        <v>212</v>
      </c>
      <c r="R200" s="222" t="s">
        <v>212</v>
      </c>
      <c r="S200" s="222" t="s">
        <v>212</v>
      </c>
      <c r="T200" s="531" t="s">
        <v>212</v>
      </c>
      <c r="U200" s="531"/>
      <c r="V200" s="222" t="s">
        <v>212</v>
      </c>
      <c r="W200" s="222" t="s">
        <v>212</v>
      </c>
      <c r="X200" s="531" t="s">
        <v>212</v>
      </c>
      <c r="Y200" s="531"/>
      <c r="Z200" s="222" t="s">
        <v>212</v>
      </c>
      <c r="AA200" s="222" t="s">
        <v>212</v>
      </c>
      <c r="AB200" s="222" t="s">
        <v>212</v>
      </c>
      <c r="AC200" s="215"/>
    </row>
    <row r="201" spans="1:29" ht="13.5" customHeight="1">
      <c r="A201" s="215"/>
      <c r="B201" s="532">
        <v>38810</v>
      </c>
      <c r="C201" s="532"/>
      <c r="D201" s="219" t="s">
        <v>212</v>
      </c>
      <c r="E201" s="224">
        <v>293.10000000000002</v>
      </c>
      <c r="F201" s="533">
        <v>24</v>
      </c>
      <c r="G201" s="533"/>
      <c r="H201" s="224">
        <v>0</v>
      </c>
      <c r="I201" s="533">
        <v>0</v>
      </c>
      <c r="J201" s="533"/>
      <c r="K201" s="224">
        <v>297.7</v>
      </c>
      <c r="L201" s="225">
        <v>24</v>
      </c>
      <c r="M201" s="224">
        <v>0</v>
      </c>
      <c r="N201" s="225">
        <v>0</v>
      </c>
      <c r="O201" s="226">
        <v>590.79999999999995</v>
      </c>
      <c r="P201" s="222" t="s">
        <v>212</v>
      </c>
      <c r="Q201" s="224">
        <v>0</v>
      </c>
      <c r="R201" s="225">
        <v>0</v>
      </c>
      <c r="S201" s="224">
        <v>0</v>
      </c>
      <c r="T201" s="533">
        <v>0</v>
      </c>
      <c r="U201" s="533"/>
      <c r="V201" s="224">
        <v>0</v>
      </c>
      <c r="W201" s="222" t="s">
        <v>212</v>
      </c>
      <c r="X201" s="534">
        <v>590.79999999999995</v>
      </c>
      <c r="Y201" s="534"/>
      <c r="Z201" s="222" t="s">
        <v>212</v>
      </c>
      <c r="AA201" s="227">
        <v>3957100</v>
      </c>
      <c r="AB201" s="228">
        <v>147055</v>
      </c>
      <c r="AC201" s="215"/>
    </row>
    <row r="202" spans="1:29" ht="2.25" customHeight="1">
      <c r="A202" s="215"/>
      <c r="B202" s="529" t="s">
        <v>212</v>
      </c>
      <c r="C202" s="529"/>
      <c r="D202" s="219" t="s">
        <v>212</v>
      </c>
      <c r="E202" s="222" t="s">
        <v>212</v>
      </c>
      <c r="F202" s="531" t="s">
        <v>212</v>
      </c>
      <c r="G202" s="531"/>
      <c r="H202" s="222" t="s">
        <v>212</v>
      </c>
      <c r="I202" s="531" t="s">
        <v>212</v>
      </c>
      <c r="J202" s="531"/>
      <c r="K202" s="222" t="s">
        <v>212</v>
      </c>
      <c r="L202" s="222" t="s">
        <v>212</v>
      </c>
      <c r="M202" s="222" t="s">
        <v>212</v>
      </c>
      <c r="N202" s="222" t="s">
        <v>212</v>
      </c>
      <c r="O202" s="222" t="s">
        <v>212</v>
      </c>
      <c r="P202" s="222" t="s">
        <v>212</v>
      </c>
      <c r="Q202" s="222" t="s">
        <v>212</v>
      </c>
      <c r="R202" s="222" t="s">
        <v>212</v>
      </c>
      <c r="S202" s="222" t="s">
        <v>212</v>
      </c>
      <c r="T202" s="531" t="s">
        <v>212</v>
      </c>
      <c r="U202" s="531"/>
      <c r="V202" s="222" t="s">
        <v>212</v>
      </c>
      <c r="W202" s="222" t="s">
        <v>212</v>
      </c>
      <c r="X202" s="531" t="s">
        <v>212</v>
      </c>
      <c r="Y202" s="531"/>
      <c r="Z202" s="222" t="s">
        <v>212</v>
      </c>
      <c r="AA202" s="222" t="s">
        <v>212</v>
      </c>
      <c r="AB202" s="222" t="s">
        <v>212</v>
      </c>
      <c r="AC202" s="215"/>
    </row>
    <row r="203" spans="1:29" ht="13.5" customHeight="1">
      <c r="A203" s="215"/>
      <c r="B203" s="535">
        <v>38811</v>
      </c>
      <c r="C203" s="535"/>
      <c r="D203" s="219" t="s">
        <v>212</v>
      </c>
      <c r="E203" s="229">
        <v>283.7</v>
      </c>
      <c r="F203" s="536">
        <v>24</v>
      </c>
      <c r="G203" s="536"/>
      <c r="H203" s="229">
        <v>19</v>
      </c>
      <c r="I203" s="536">
        <v>4</v>
      </c>
      <c r="J203" s="536"/>
      <c r="K203" s="229">
        <v>280.8</v>
      </c>
      <c r="L203" s="230">
        <v>23</v>
      </c>
      <c r="M203" s="229">
        <v>0</v>
      </c>
      <c r="N203" s="230">
        <v>0</v>
      </c>
      <c r="O203" s="231">
        <v>583.5</v>
      </c>
      <c r="P203" s="222" t="s">
        <v>212</v>
      </c>
      <c r="Q203" s="229">
        <v>0</v>
      </c>
      <c r="R203" s="230">
        <v>0</v>
      </c>
      <c r="S203" s="229">
        <v>0</v>
      </c>
      <c r="T203" s="536">
        <v>0</v>
      </c>
      <c r="U203" s="536"/>
      <c r="V203" s="229">
        <v>0</v>
      </c>
      <c r="W203" s="222" t="s">
        <v>212</v>
      </c>
      <c r="X203" s="530">
        <v>583.5</v>
      </c>
      <c r="Y203" s="530"/>
      <c r="Z203" s="222" t="s">
        <v>212</v>
      </c>
      <c r="AA203" s="232">
        <v>4243400</v>
      </c>
      <c r="AB203" s="233">
        <v>145933</v>
      </c>
      <c r="AC203" s="215"/>
    </row>
    <row r="204" spans="1:29" ht="2.25" customHeight="1">
      <c r="A204" s="215"/>
      <c r="B204" s="529" t="s">
        <v>212</v>
      </c>
      <c r="C204" s="529"/>
      <c r="D204" s="219" t="s">
        <v>212</v>
      </c>
      <c r="E204" s="222" t="s">
        <v>212</v>
      </c>
      <c r="F204" s="531" t="s">
        <v>212</v>
      </c>
      <c r="G204" s="531"/>
      <c r="H204" s="222" t="s">
        <v>212</v>
      </c>
      <c r="I204" s="531" t="s">
        <v>212</v>
      </c>
      <c r="J204" s="531"/>
      <c r="K204" s="222" t="s">
        <v>212</v>
      </c>
      <c r="L204" s="222" t="s">
        <v>212</v>
      </c>
      <c r="M204" s="222" t="s">
        <v>212</v>
      </c>
      <c r="N204" s="222" t="s">
        <v>212</v>
      </c>
      <c r="O204" s="222" t="s">
        <v>212</v>
      </c>
      <c r="P204" s="222" t="s">
        <v>212</v>
      </c>
      <c r="Q204" s="222" t="s">
        <v>212</v>
      </c>
      <c r="R204" s="222" t="s">
        <v>212</v>
      </c>
      <c r="S204" s="222" t="s">
        <v>212</v>
      </c>
      <c r="T204" s="531" t="s">
        <v>212</v>
      </c>
      <c r="U204" s="531"/>
      <c r="V204" s="222" t="s">
        <v>212</v>
      </c>
      <c r="W204" s="222" t="s">
        <v>212</v>
      </c>
      <c r="X204" s="531" t="s">
        <v>212</v>
      </c>
      <c r="Y204" s="531"/>
      <c r="Z204" s="222" t="s">
        <v>212</v>
      </c>
      <c r="AA204" s="222" t="s">
        <v>212</v>
      </c>
      <c r="AB204" s="222" t="s">
        <v>212</v>
      </c>
      <c r="AC204" s="215"/>
    </row>
    <row r="205" spans="1:29" ht="13.5" customHeight="1">
      <c r="A205" s="215"/>
      <c r="B205" s="532">
        <v>38812</v>
      </c>
      <c r="C205" s="532"/>
      <c r="D205" s="219" t="s">
        <v>212</v>
      </c>
      <c r="E205" s="224">
        <v>310.89999999999998</v>
      </c>
      <c r="F205" s="533">
        <v>24</v>
      </c>
      <c r="G205" s="533"/>
      <c r="H205" s="224">
        <v>64.5</v>
      </c>
      <c r="I205" s="533">
        <v>7</v>
      </c>
      <c r="J205" s="533"/>
      <c r="K205" s="224">
        <v>295.2</v>
      </c>
      <c r="L205" s="225">
        <v>24</v>
      </c>
      <c r="M205" s="224">
        <v>0</v>
      </c>
      <c r="N205" s="225">
        <v>0</v>
      </c>
      <c r="O205" s="226">
        <v>670.6</v>
      </c>
      <c r="P205" s="222" t="s">
        <v>212</v>
      </c>
      <c r="Q205" s="224">
        <v>0</v>
      </c>
      <c r="R205" s="225">
        <v>0</v>
      </c>
      <c r="S205" s="224">
        <v>0</v>
      </c>
      <c r="T205" s="533">
        <v>0</v>
      </c>
      <c r="U205" s="533"/>
      <c r="V205" s="224">
        <v>0</v>
      </c>
      <c r="W205" s="222" t="s">
        <v>212</v>
      </c>
      <c r="X205" s="534">
        <v>670.6</v>
      </c>
      <c r="Y205" s="534"/>
      <c r="Z205" s="222" t="s">
        <v>212</v>
      </c>
      <c r="AA205" s="227">
        <v>4238200</v>
      </c>
      <c r="AB205" s="228">
        <v>181114</v>
      </c>
      <c r="AC205" s="215"/>
    </row>
    <row r="206" spans="1:29" ht="2.25" customHeight="1">
      <c r="A206" s="215"/>
      <c r="B206" s="529" t="s">
        <v>212</v>
      </c>
      <c r="C206" s="529"/>
      <c r="D206" s="219" t="s">
        <v>212</v>
      </c>
      <c r="E206" s="222" t="s">
        <v>212</v>
      </c>
      <c r="F206" s="531" t="s">
        <v>212</v>
      </c>
      <c r="G206" s="531"/>
      <c r="H206" s="222" t="s">
        <v>212</v>
      </c>
      <c r="I206" s="531" t="s">
        <v>212</v>
      </c>
      <c r="J206" s="531"/>
      <c r="K206" s="222" t="s">
        <v>212</v>
      </c>
      <c r="L206" s="222" t="s">
        <v>212</v>
      </c>
      <c r="M206" s="222" t="s">
        <v>212</v>
      </c>
      <c r="N206" s="222" t="s">
        <v>212</v>
      </c>
      <c r="O206" s="222" t="s">
        <v>212</v>
      </c>
      <c r="P206" s="222" t="s">
        <v>212</v>
      </c>
      <c r="Q206" s="222" t="s">
        <v>212</v>
      </c>
      <c r="R206" s="222" t="s">
        <v>212</v>
      </c>
      <c r="S206" s="222" t="s">
        <v>212</v>
      </c>
      <c r="T206" s="531" t="s">
        <v>212</v>
      </c>
      <c r="U206" s="531"/>
      <c r="V206" s="222" t="s">
        <v>212</v>
      </c>
      <c r="W206" s="222" t="s">
        <v>212</v>
      </c>
      <c r="X206" s="531" t="s">
        <v>212</v>
      </c>
      <c r="Y206" s="531"/>
      <c r="Z206" s="222" t="s">
        <v>212</v>
      </c>
      <c r="AA206" s="222" t="s">
        <v>212</v>
      </c>
      <c r="AB206" s="222" t="s">
        <v>212</v>
      </c>
      <c r="AC206" s="215"/>
    </row>
    <row r="207" spans="1:29" ht="13.5" customHeight="1">
      <c r="A207" s="215"/>
      <c r="B207" s="535">
        <v>38813</v>
      </c>
      <c r="C207" s="535"/>
      <c r="D207" s="219" t="s">
        <v>212</v>
      </c>
      <c r="E207" s="229">
        <v>275.89999999999998</v>
      </c>
      <c r="F207" s="536">
        <v>24</v>
      </c>
      <c r="G207" s="536"/>
      <c r="H207" s="229">
        <v>299.5</v>
      </c>
      <c r="I207" s="536">
        <v>24</v>
      </c>
      <c r="J207" s="536"/>
      <c r="K207" s="229">
        <v>127.5</v>
      </c>
      <c r="L207" s="230">
        <v>19</v>
      </c>
      <c r="M207" s="229">
        <v>0</v>
      </c>
      <c r="N207" s="230">
        <v>0</v>
      </c>
      <c r="O207" s="231">
        <v>702.9</v>
      </c>
      <c r="P207" s="222" t="s">
        <v>212</v>
      </c>
      <c r="Q207" s="229">
        <v>0</v>
      </c>
      <c r="R207" s="230">
        <v>0</v>
      </c>
      <c r="S207" s="229">
        <v>0</v>
      </c>
      <c r="T207" s="536">
        <v>0</v>
      </c>
      <c r="U207" s="536"/>
      <c r="V207" s="229">
        <v>0</v>
      </c>
      <c r="W207" s="222" t="s">
        <v>212</v>
      </c>
      <c r="X207" s="530">
        <v>702.9</v>
      </c>
      <c r="Y207" s="530"/>
      <c r="Z207" s="222" t="s">
        <v>212</v>
      </c>
      <c r="AA207" s="232">
        <v>3866900</v>
      </c>
      <c r="AB207" s="233">
        <v>232093</v>
      </c>
      <c r="AC207" s="215"/>
    </row>
    <row r="208" spans="1:29" ht="2.25" customHeight="1">
      <c r="A208" s="215"/>
      <c r="B208" s="529" t="s">
        <v>212</v>
      </c>
      <c r="C208" s="529"/>
      <c r="D208" s="219" t="s">
        <v>212</v>
      </c>
      <c r="E208" s="222" t="s">
        <v>212</v>
      </c>
      <c r="F208" s="531" t="s">
        <v>212</v>
      </c>
      <c r="G208" s="531"/>
      <c r="H208" s="222" t="s">
        <v>212</v>
      </c>
      <c r="I208" s="531" t="s">
        <v>212</v>
      </c>
      <c r="J208" s="531"/>
      <c r="K208" s="222" t="s">
        <v>212</v>
      </c>
      <c r="L208" s="222" t="s">
        <v>212</v>
      </c>
      <c r="M208" s="222" t="s">
        <v>212</v>
      </c>
      <c r="N208" s="222" t="s">
        <v>212</v>
      </c>
      <c r="O208" s="222" t="s">
        <v>212</v>
      </c>
      <c r="P208" s="222" t="s">
        <v>212</v>
      </c>
      <c r="Q208" s="222" t="s">
        <v>212</v>
      </c>
      <c r="R208" s="222" t="s">
        <v>212</v>
      </c>
      <c r="S208" s="222" t="s">
        <v>212</v>
      </c>
      <c r="T208" s="531" t="s">
        <v>212</v>
      </c>
      <c r="U208" s="531"/>
      <c r="V208" s="222" t="s">
        <v>212</v>
      </c>
      <c r="W208" s="222" t="s">
        <v>212</v>
      </c>
      <c r="X208" s="531" t="s">
        <v>212</v>
      </c>
      <c r="Y208" s="531"/>
      <c r="Z208" s="222" t="s">
        <v>212</v>
      </c>
      <c r="AA208" s="222" t="s">
        <v>212</v>
      </c>
      <c r="AB208" s="222" t="s">
        <v>212</v>
      </c>
      <c r="AC208" s="215"/>
    </row>
    <row r="209" spans="1:29" ht="13.5" customHeight="1">
      <c r="A209" s="215"/>
      <c r="B209" s="532">
        <v>38814</v>
      </c>
      <c r="C209" s="532"/>
      <c r="D209" s="219" t="s">
        <v>212</v>
      </c>
      <c r="E209" s="224">
        <v>268.8</v>
      </c>
      <c r="F209" s="533">
        <v>24</v>
      </c>
      <c r="G209" s="533"/>
      <c r="H209" s="224">
        <v>271.3</v>
      </c>
      <c r="I209" s="533">
        <v>21</v>
      </c>
      <c r="J209" s="533"/>
      <c r="K209" s="224">
        <v>87.8</v>
      </c>
      <c r="L209" s="225">
        <v>14</v>
      </c>
      <c r="M209" s="224">
        <v>0</v>
      </c>
      <c r="N209" s="225">
        <v>0</v>
      </c>
      <c r="O209" s="226">
        <v>627.9</v>
      </c>
      <c r="P209" s="222" t="s">
        <v>212</v>
      </c>
      <c r="Q209" s="224">
        <v>0</v>
      </c>
      <c r="R209" s="225">
        <v>0</v>
      </c>
      <c r="S209" s="224">
        <v>0</v>
      </c>
      <c r="T209" s="533">
        <v>0</v>
      </c>
      <c r="U209" s="533"/>
      <c r="V209" s="224">
        <v>0</v>
      </c>
      <c r="W209" s="222" t="s">
        <v>212</v>
      </c>
      <c r="X209" s="534">
        <v>627.9</v>
      </c>
      <c r="Y209" s="534"/>
      <c r="Z209" s="222" t="s">
        <v>212</v>
      </c>
      <c r="AA209" s="227">
        <v>4998100</v>
      </c>
      <c r="AB209" s="228">
        <v>143531</v>
      </c>
      <c r="AC209" s="215"/>
    </row>
    <row r="210" spans="1:29" ht="2.25" customHeight="1">
      <c r="A210" s="215"/>
      <c r="B210" s="529" t="s">
        <v>212</v>
      </c>
      <c r="C210" s="529"/>
      <c r="D210" s="219" t="s">
        <v>212</v>
      </c>
      <c r="E210" s="222" t="s">
        <v>212</v>
      </c>
      <c r="F210" s="531" t="s">
        <v>212</v>
      </c>
      <c r="G210" s="531"/>
      <c r="H210" s="222" t="s">
        <v>212</v>
      </c>
      <c r="I210" s="531" t="s">
        <v>212</v>
      </c>
      <c r="J210" s="531"/>
      <c r="K210" s="222" t="s">
        <v>212</v>
      </c>
      <c r="L210" s="222" t="s">
        <v>212</v>
      </c>
      <c r="M210" s="222" t="s">
        <v>212</v>
      </c>
      <c r="N210" s="222" t="s">
        <v>212</v>
      </c>
      <c r="O210" s="222" t="s">
        <v>212</v>
      </c>
      <c r="P210" s="222" t="s">
        <v>212</v>
      </c>
      <c r="Q210" s="222" t="s">
        <v>212</v>
      </c>
      <c r="R210" s="222" t="s">
        <v>212</v>
      </c>
      <c r="S210" s="222" t="s">
        <v>212</v>
      </c>
      <c r="T210" s="531" t="s">
        <v>212</v>
      </c>
      <c r="U210" s="531"/>
      <c r="V210" s="222" t="s">
        <v>212</v>
      </c>
      <c r="W210" s="222" t="s">
        <v>212</v>
      </c>
      <c r="X210" s="531" t="s">
        <v>212</v>
      </c>
      <c r="Y210" s="531"/>
      <c r="Z210" s="222" t="s">
        <v>212</v>
      </c>
      <c r="AA210" s="222" t="s">
        <v>212</v>
      </c>
      <c r="AB210" s="222" t="s">
        <v>212</v>
      </c>
      <c r="AC210" s="215"/>
    </row>
    <row r="211" spans="1:29" ht="13.5" customHeight="1">
      <c r="A211" s="215"/>
      <c r="B211" s="535">
        <v>38815</v>
      </c>
      <c r="C211" s="535"/>
      <c r="D211" s="219" t="s">
        <v>212</v>
      </c>
      <c r="E211" s="229">
        <v>247.1</v>
      </c>
      <c r="F211" s="536">
        <v>24</v>
      </c>
      <c r="G211" s="536"/>
      <c r="H211" s="229">
        <v>271.89999999999998</v>
      </c>
      <c r="I211" s="536">
        <v>24</v>
      </c>
      <c r="J211" s="536"/>
      <c r="K211" s="229">
        <v>87.2</v>
      </c>
      <c r="L211" s="230">
        <v>13</v>
      </c>
      <c r="M211" s="229">
        <v>0</v>
      </c>
      <c r="N211" s="230">
        <v>0</v>
      </c>
      <c r="O211" s="231">
        <v>606.20000000000005</v>
      </c>
      <c r="P211" s="222" t="s">
        <v>212</v>
      </c>
      <c r="Q211" s="229">
        <v>0</v>
      </c>
      <c r="R211" s="230">
        <v>0</v>
      </c>
      <c r="S211" s="229">
        <v>0</v>
      </c>
      <c r="T211" s="536">
        <v>0</v>
      </c>
      <c r="U211" s="536"/>
      <c r="V211" s="229">
        <v>0</v>
      </c>
      <c r="W211" s="222" t="s">
        <v>212</v>
      </c>
      <c r="X211" s="530">
        <v>606.20000000000005</v>
      </c>
      <c r="Y211" s="530"/>
      <c r="Z211" s="222" t="s">
        <v>212</v>
      </c>
      <c r="AA211" s="232">
        <v>7356100</v>
      </c>
      <c r="AB211" s="233">
        <v>67502</v>
      </c>
      <c r="AC211" s="215"/>
    </row>
    <row r="212" spans="1:29" ht="2.25" customHeight="1">
      <c r="A212" s="215"/>
      <c r="B212" s="529" t="s">
        <v>212</v>
      </c>
      <c r="C212" s="529"/>
      <c r="D212" s="219" t="s">
        <v>212</v>
      </c>
      <c r="E212" s="222" t="s">
        <v>212</v>
      </c>
      <c r="F212" s="531" t="s">
        <v>212</v>
      </c>
      <c r="G212" s="531"/>
      <c r="H212" s="222" t="s">
        <v>212</v>
      </c>
      <c r="I212" s="531" t="s">
        <v>212</v>
      </c>
      <c r="J212" s="531"/>
      <c r="K212" s="222" t="s">
        <v>212</v>
      </c>
      <c r="L212" s="222" t="s">
        <v>212</v>
      </c>
      <c r="M212" s="222" t="s">
        <v>212</v>
      </c>
      <c r="N212" s="222" t="s">
        <v>212</v>
      </c>
      <c r="O212" s="222" t="s">
        <v>212</v>
      </c>
      <c r="P212" s="222" t="s">
        <v>212</v>
      </c>
      <c r="Q212" s="222" t="s">
        <v>212</v>
      </c>
      <c r="R212" s="222" t="s">
        <v>212</v>
      </c>
      <c r="S212" s="222" t="s">
        <v>212</v>
      </c>
      <c r="T212" s="531" t="s">
        <v>212</v>
      </c>
      <c r="U212" s="531"/>
      <c r="V212" s="222" t="s">
        <v>212</v>
      </c>
      <c r="W212" s="222" t="s">
        <v>212</v>
      </c>
      <c r="X212" s="531" t="s">
        <v>212</v>
      </c>
      <c r="Y212" s="531"/>
      <c r="Z212" s="222" t="s">
        <v>212</v>
      </c>
      <c r="AA212" s="222" t="s">
        <v>212</v>
      </c>
      <c r="AB212" s="222" t="s">
        <v>212</v>
      </c>
      <c r="AC212" s="215"/>
    </row>
    <row r="213" spans="1:29" ht="13.5" customHeight="1">
      <c r="A213" s="215"/>
      <c r="B213" s="532">
        <v>38816</v>
      </c>
      <c r="C213" s="532"/>
      <c r="D213" s="219" t="s">
        <v>212</v>
      </c>
      <c r="E213" s="224">
        <v>262.8</v>
      </c>
      <c r="F213" s="533">
        <v>24</v>
      </c>
      <c r="G213" s="533"/>
      <c r="H213" s="224">
        <v>336.5</v>
      </c>
      <c r="I213" s="533">
        <v>24</v>
      </c>
      <c r="J213" s="533"/>
      <c r="K213" s="224">
        <v>0</v>
      </c>
      <c r="L213" s="225">
        <v>0</v>
      </c>
      <c r="M213" s="224">
        <v>0</v>
      </c>
      <c r="N213" s="225">
        <v>0</v>
      </c>
      <c r="O213" s="226">
        <v>599.29999999999995</v>
      </c>
      <c r="P213" s="222" t="s">
        <v>212</v>
      </c>
      <c r="Q213" s="224">
        <v>0</v>
      </c>
      <c r="R213" s="225">
        <v>0</v>
      </c>
      <c r="S213" s="224">
        <v>0</v>
      </c>
      <c r="T213" s="533">
        <v>0</v>
      </c>
      <c r="U213" s="533"/>
      <c r="V213" s="224">
        <v>0</v>
      </c>
      <c r="W213" s="222" t="s">
        <v>212</v>
      </c>
      <c r="X213" s="534">
        <v>599.29999999999995</v>
      </c>
      <c r="Y213" s="534"/>
      <c r="Z213" s="222" t="s">
        <v>212</v>
      </c>
      <c r="AA213" s="227">
        <v>7918800</v>
      </c>
      <c r="AB213" s="228">
        <v>0</v>
      </c>
      <c r="AC213" s="215"/>
    </row>
    <row r="214" spans="1:29" ht="2.25" customHeight="1">
      <c r="A214" s="215"/>
      <c r="B214" s="529" t="s">
        <v>212</v>
      </c>
      <c r="C214" s="529"/>
      <c r="D214" s="219" t="s">
        <v>212</v>
      </c>
      <c r="E214" s="222" t="s">
        <v>212</v>
      </c>
      <c r="F214" s="531" t="s">
        <v>212</v>
      </c>
      <c r="G214" s="531"/>
      <c r="H214" s="222" t="s">
        <v>212</v>
      </c>
      <c r="I214" s="531" t="s">
        <v>212</v>
      </c>
      <c r="J214" s="531"/>
      <c r="K214" s="222" t="s">
        <v>212</v>
      </c>
      <c r="L214" s="222" t="s">
        <v>212</v>
      </c>
      <c r="M214" s="222" t="s">
        <v>212</v>
      </c>
      <c r="N214" s="222" t="s">
        <v>212</v>
      </c>
      <c r="O214" s="222" t="s">
        <v>212</v>
      </c>
      <c r="P214" s="222" t="s">
        <v>212</v>
      </c>
      <c r="Q214" s="222" t="s">
        <v>212</v>
      </c>
      <c r="R214" s="222" t="s">
        <v>212</v>
      </c>
      <c r="S214" s="222" t="s">
        <v>212</v>
      </c>
      <c r="T214" s="531" t="s">
        <v>212</v>
      </c>
      <c r="U214" s="531"/>
      <c r="V214" s="222" t="s">
        <v>212</v>
      </c>
      <c r="W214" s="222" t="s">
        <v>212</v>
      </c>
      <c r="X214" s="531" t="s">
        <v>212</v>
      </c>
      <c r="Y214" s="531"/>
      <c r="Z214" s="222" t="s">
        <v>212</v>
      </c>
      <c r="AA214" s="222" t="s">
        <v>212</v>
      </c>
      <c r="AB214" s="222" t="s">
        <v>212</v>
      </c>
      <c r="AC214" s="215"/>
    </row>
    <row r="215" spans="1:29" ht="13.5" customHeight="1">
      <c r="A215" s="215"/>
      <c r="B215" s="535">
        <v>38817</v>
      </c>
      <c r="C215" s="535"/>
      <c r="D215" s="219" t="s">
        <v>212</v>
      </c>
      <c r="E215" s="229">
        <v>265.3</v>
      </c>
      <c r="F215" s="536">
        <v>24</v>
      </c>
      <c r="G215" s="536"/>
      <c r="H215" s="229">
        <v>335.6</v>
      </c>
      <c r="I215" s="536">
        <v>24</v>
      </c>
      <c r="J215" s="536"/>
      <c r="K215" s="229">
        <v>0</v>
      </c>
      <c r="L215" s="230">
        <v>0</v>
      </c>
      <c r="M215" s="229">
        <v>0</v>
      </c>
      <c r="N215" s="230">
        <v>0</v>
      </c>
      <c r="O215" s="231">
        <v>600.9</v>
      </c>
      <c r="P215" s="222" t="s">
        <v>212</v>
      </c>
      <c r="Q215" s="229">
        <v>0</v>
      </c>
      <c r="R215" s="230">
        <v>0</v>
      </c>
      <c r="S215" s="229">
        <v>0</v>
      </c>
      <c r="T215" s="536">
        <v>0</v>
      </c>
      <c r="U215" s="536"/>
      <c r="V215" s="229">
        <v>0</v>
      </c>
      <c r="W215" s="222" t="s">
        <v>212</v>
      </c>
      <c r="X215" s="530">
        <v>600.9</v>
      </c>
      <c r="Y215" s="530"/>
      <c r="Z215" s="222" t="s">
        <v>212</v>
      </c>
      <c r="AA215" s="232">
        <v>7937800</v>
      </c>
      <c r="AB215" s="233">
        <v>0</v>
      </c>
      <c r="AC215" s="215"/>
    </row>
    <row r="216" spans="1:29" ht="2.25" customHeight="1">
      <c r="A216" s="215"/>
      <c r="B216" s="529" t="s">
        <v>212</v>
      </c>
      <c r="C216" s="529"/>
      <c r="D216" s="219" t="s">
        <v>212</v>
      </c>
      <c r="E216" s="222" t="s">
        <v>212</v>
      </c>
      <c r="F216" s="531" t="s">
        <v>212</v>
      </c>
      <c r="G216" s="531"/>
      <c r="H216" s="222" t="s">
        <v>212</v>
      </c>
      <c r="I216" s="531" t="s">
        <v>212</v>
      </c>
      <c r="J216" s="531"/>
      <c r="K216" s="222" t="s">
        <v>212</v>
      </c>
      <c r="L216" s="222" t="s">
        <v>212</v>
      </c>
      <c r="M216" s="222" t="s">
        <v>212</v>
      </c>
      <c r="N216" s="222" t="s">
        <v>212</v>
      </c>
      <c r="O216" s="222" t="s">
        <v>212</v>
      </c>
      <c r="P216" s="222" t="s">
        <v>212</v>
      </c>
      <c r="Q216" s="222" t="s">
        <v>212</v>
      </c>
      <c r="R216" s="222" t="s">
        <v>212</v>
      </c>
      <c r="S216" s="222" t="s">
        <v>212</v>
      </c>
      <c r="T216" s="531" t="s">
        <v>212</v>
      </c>
      <c r="U216" s="531"/>
      <c r="V216" s="222" t="s">
        <v>212</v>
      </c>
      <c r="W216" s="222" t="s">
        <v>212</v>
      </c>
      <c r="X216" s="531" t="s">
        <v>212</v>
      </c>
      <c r="Y216" s="531"/>
      <c r="Z216" s="222" t="s">
        <v>212</v>
      </c>
      <c r="AA216" s="222" t="s">
        <v>212</v>
      </c>
      <c r="AB216" s="222" t="s">
        <v>212</v>
      </c>
      <c r="AC216" s="215"/>
    </row>
    <row r="217" spans="1:29" ht="13.5" customHeight="1">
      <c r="A217" s="215"/>
      <c r="B217" s="532">
        <v>38818</v>
      </c>
      <c r="C217" s="532"/>
      <c r="D217" s="219" t="s">
        <v>212</v>
      </c>
      <c r="E217" s="224">
        <v>271.3</v>
      </c>
      <c r="F217" s="533">
        <v>24</v>
      </c>
      <c r="G217" s="533"/>
      <c r="H217" s="224">
        <v>318.89999999999998</v>
      </c>
      <c r="I217" s="533">
        <v>24</v>
      </c>
      <c r="J217" s="533"/>
      <c r="K217" s="224">
        <v>3.9</v>
      </c>
      <c r="L217" s="225">
        <v>1</v>
      </c>
      <c r="M217" s="224">
        <v>0</v>
      </c>
      <c r="N217" s="225">
        <v>0</v>
      </c>
      <c r="O217" s="226">
        <v>594.1</v>
      </c>
      <c r="P217" s="222" t="s">
        <v>212</v>
      </c>
      <c r="Q217" s="224">
        <v>0</v>
      </c>
      <c r="R217" s="225">
        <v>0</v>
      </c>
      <c r="S217" s="224">
        <v>0</v>
      </c>
      <c r="T217" s="533">
        <v>0</v>
      </c>
      <c r="U217" s="533"/>
      <c r="V217" s="224">
        <v>0</v>
      </c>
      <c r="W217" s="222" t="s">
        <v>212</v>
      </c>
      <c r="X217" s="534">
        <v>594.1</v>
      </c>
      <c r="Y217" s="534"/>
      <c r="Z217" s="222" t="s">
        <v>212</v>
      </c>
      <c r="AA217" s="227">
        <v>157200</v>
      </c>
      <c r="AB217" s="228">
        <v>282940</v>
      </c>
      <c r="AC217" s="215"/>
    </row>
    <row r="218" spans="1:29" ht="2.25" customHeight="1">
      <c r="A218" s="215"/>
      <c r="B218" s="529" t="s">
        <v>212</v>
      </c>
      <c r="C218" s="529"/>
      <c r="D218" s="219" t="s">
        <v>212</v>
      </c>
      <c r="E218" s="222" t="s">
        <v>212</v>
      </c>
      <c r="F218" s="531" t="s">
        <v>212</v>
      </c>
      <c r="G218" s="531"/>
      <c r="H218" s="222" t="s">
        <v>212</v>
      </c>
      <c r="I218" s="531" t="s">
        <v>212</v>
      </c>
      <c r="J218" s="531"/>
      <c r="K218" s="222" t="s">
        <v>212</v>
      </c>
      <c r="L218" s="222" t="s">
        <v>212</v>
      </c>
      <c r="M218" s="222" t="s">
        <v>212</v>
      </c>
      <c r="N218" s="222" t="s">
        <v>212</v>
      </c>
      <c r="O218" s="222" t="s">
        <v>212</v>
      </c>
      <c r="P218" s="222" t="s">
        <v>212</v>
      </c>
      <c r="Q218" s="222" t="s">
        <v>212</v>
      </c>
      <c r="R218" s="222" t="s">
        <v>212</v>
      </c>
      <c r="S218" s="222" t="s">
        <v>212</v>
      </c>
      <c r="T218" s="531" t="s">
        <v>212</v>
      </c>
      <c r="U218" s="531"/>
      <c r="V218" s="222" t="s">
        <v>212</v>
      </c>
      <c r="W218" s="222" t="s">
        <v>212</v>
      </c>
      <c r="X218" s="531" t="s">
        <v>212</v>
      </c>
      <c r="Y218" s="531"/>
      <c r="Z218" s="222" t="s">
        <v>212</v>
      </c>
      <c r="AA218" s="222" t="s">
        <v>212</v>
      </c>
      <c r="AB218" s="222" t="s">
        <v>212</v>
      </c>
      <c r="AC218" s="215"/>
    </row>
    <row r="219" spans="1:29" ht="13.5" customHeight="1">
      <c r="A219" s="215"/>
      <c r="B219" s="535">
        <v>38819</v>
      </c>
      <c r="C219" s="535"/>
      <c r="D219" s="219" t="s">
        <v>212</v>
      </c>
      <c r="E219" s="229">
        <v>253.7</v>
      </c>
      <c r="F219" s="536">
        <v>24</v>
      </c>
      <c r="G219" s="536"/>
      <c r="H219" s="229">
        <v>306</v>
      </c>
      <c r="I219" s="536">
        <v>24</v>
      </c>
      <c r="J219" s="536"/>
      <c r="K219" s="229">
        <v>0</v>
      </c>
      <c r="L219" s="230">
        <v>0</v>
      </c>
      <c r="M219" s="229">
        <v>0</v>
      </c>
      <c r="N219" s="230">
        <v>0</v>
      </c>
      <c r="O219" s="231">
        <v>559.70000000000005</v>
      </c>
      <c r="P219" s="222" t="s">
        <v>212</v>
      </c>
      <c r="Q219" s="229">
        <v>0</v>
      </c>
      <c r="R219" s="230">
        <v>0</v>
      </c>
      <c r="S219" s="229">
        <v>0</v>
      </c>
      <c r="T219" s="536">
        <v>0</v>
      </c>
      <c r="U219" s="536"/>
      <c r="V219" s="229">
        <v>0</v>
      </c>
      <c r="W219" s="222" t="s">
        <v>212</v>
      </c>
      <c r="X219" s="530">
        <v>559.70000000000005</v>
      </c>
      <c r="Y219" s="530"/>
      <c r="Z219" s="222" t="s">
        <v>212</v>
      </c>
      <c r="AA219" s="232">
        <v>0</v>
      </c>
      <c r="AB219" s="233">
        <v>278576</v>
      </c>
      <c r="AC219" s="215"/>
    </row>
    <row r="220" spans="1:29" ht="2.25" customHeight="1">
      <c r="A220" s="215"/>
      <c r="B220" s="529" t="s">
        <v>212</v>
      </c>
      <c r="C220" s="529"/>
      <c r="D220" s="219" t="s">
        <v>212</v>
      </c>
      <c r="E220" s="222" t="s">
        <v>212</v>
      </c>
      <c r="F220" s="531" t="s">
        <v>212</v>
      </c>
      <c r="G220" s="531"/>
      <c r="H220" s="222" t="s">
        <v>212</v>
      </c>
      <c r="I220" s="531" t="s">
        <v>212</v>
      </c>
      <c r="J220" s="531"/>
      <c r="K220" s="222" t="s">
        <v>212</v>
      </c>
      <c r="L220" s="222" t="s">
        <v>212</v>
      </c>
      <c r="M220" s="222" t="s">
        <v>212</v>
      </c>
      <c r="N220" s="222" t="s">
        <v>212</v>
      </c>
      <c r="O220" s="222" t="s">
        <v>212</v>
      </c>
      <c r="P220" s="222" t="s">
        <v>212</v>
      </c>
      <c r="Q220" s="222" t="s">
        <v>212</v>
      </c>
      <c r="R220" s="222" t="s">
        <v>212</v>
      </c>
      <c r="S220" s="222" t="s">
        <v>212</v>
      </c>
      <c r="T220" s="531" t="s">
        <v>212</v>
      </c>
      <c r="U220" s="531"/>
      <c r="V220" s="222" t="s">
        <v>212</v>
      </c>
      <c r="W220" s="222" t="s">
        <v>212</v>
      </c>
      <c r="X220" s="531" t="s">
        <v>212</v>
      </c>
      <c r="Y220" s="531"/>
      <c r="Z220" s="222" t="s">
        <v>212</v>
      </c>
      <c r="AA220" s="222" t="s">
        <v>212</v>
      </c>
      <c r="AB220" s="222" t="s">
        <v>212</v>
      </c>
      <c r="AC220" s="215"/>
    </row>
    <row r="221" spans="1:29" ht="13.5" customHeight="1">
      <c r="A221" s="215"/>
      <c r="B221" s="532">
        <v>38820</v>
      </c>
      <c r="C221" s="532"/>
      <c r="D221" s="219" t="s">
        <v>212</v>
      </c>
      <c r="E221" s="224">
        <v>267.10000000000002</v>
      </c>
      <c r="F221" s="533">
        <v>24</v>
      </c>
      <c r="G221" s="533"/>
      <c r="H221" s="224">
        <v>314.89999999999998</v>
      </c>
      <c r="I221" s="533">
        <v>24</v>
      </c>
      <c r="J221" s="533"/>
      <c r="K221" s="224">
        <v>6.7</v>
      </c>
      <c r="L221" s="225">
        <v>1</v>
      </c>
      <c r="M221" s="224">
        <v>0</v>
      </c>
      <c r="N221" s="225">
        <v>0</v>
      </c>
      <c r="O221" s="226">
        <v>588.70000000000005</v>
      </c>
      <c r="P221" s="222" t="s">
        <v>212</v>
      </c>
      <c r="Q221" s="224">
        <v>0</v>
      </c>
      <c r="R221" s="225">
        <v>0</v>
      </c>
      <c r="S221" s="224">
        <v>0</v>
      </c>
      <c r="T221" s="533">
        <v>0</v>
      </c>
      <c r="U221" s="533"/>
      <c r="V221" s="224">
        <v>0</v>
      </c>
      <c r="W221" s="222" t="s">
        <v>212</v>
      </c>
      <c r="X221" s="534">
        <v>588.70000000000005</v>
      </c>
      <c r="Y221" s="534"/>
      <c r="Z221" s="222" t="s">
        <v>212</v>
      </c>
      <c r="AA221" s="227">
        <v>0</v>
      </c>
      <c r="AB221" s="228">
        <v>294338</v>
      </c>
      <c r="AC221" s="215"/>
    </row>
    <row r="222" spans="1:29" ht="2.25" customHeight="1">
      <c r="A222" s="215"/>
      <c r="B222" s="529" t="s">
        <v>212</v>
      </c>
      <c r="C222" s="529"/>
      <c r="D222" s="219" t="s">
        <v>212</v>
      </c>
      <c r="E222" s="222" t="s">
        <v>212</v>
      </c>
      <c r="F222" s="531" t="s">
        <v>212</v>
      </c>
      <c r="G222" s="531"/>
      <c r="H222" s="222" t="s">
        <v>212</v>
      </c>
      <c r="I222" s="531" t="s">
        <v>212</v>
      </c>
      <c r="J222" s="531"/>
      <c r="K222" s="222" t="s">
        <v>212</v>
      </c>
      <c r="L222" s="222" t="s">
        <v>212</v>
      </c>
      <c r="M222" s="222" t="s">
        <v>212</v>
      </c>
      <c r="N222" s="222" t="s">
        <v>212</v>
      </c>
      <c r="O222" s="222" t="s">
        <v>212</v>
      </c>
      <c r="P222" s="222" t="s">
        <v>212</v>
      </c>
      <c r="Q222" s="222" t="s">
        <v>212</v>
      </c>
      <c r="R222" s="222" t="s">
        <v>212</v>
      </c>
      <c r="S222" s="222" t="s">
        <v>212</v>
      </c>
      <c r="T222" s="531" t="s">
        <v>212</v>
      </c>
      <c r="U222" s="531"/>
      <c r="V222" s="222" t="s">
        <v>212</v>
      </c>
      <c r="W222" s="222" t="s">
        <v>212</v>
      </c>
      <c r="X222" s="531" t="s">
        <v>212</v>
      </c>
      <c r="Y222" s="531"/>
      <c r="Z222" s="222" t="s">
        <v>212</v>
      </c>
      <c r="AA222" s="222" t="s">
        <v>212</v>
      </c>
      <c r="AB222" s="222" t="s">
        <v>212</v>
      </c>
      <c r="AC222" s="215"/>
    </row>
    <row r="223" spans="1:29" ht="13.5" customHeight="1">
      <c r="A223" s="215"/>
      <c r="B223" s="535">
        <v>38821</v>
      </c>
      <c r="C223" s="535"/>
      <c r="D223" s="219" t="s">
        <v>212</v>
      </c>
      <c r="E223" s="229">
        <v>298.60000000000002</v>
      </c>
      <c r="F223" s="536">
        <v>24</v>
      </c>
      <c r="G223" s="536"/>
      <c r="H223" s="229">
        <v>354.1</v>
      </c>
      <c r="I223" s="536">
        <v>24</v>
      </c>
      <c r="J223" s="536"/>
      <c r="K223" s="229">
        <v>5.9</v>
      </c>
      <c r="L223" s="230">
        <v>4</v>
      </c>
      <c r="M223" s="229">
        <v>0</v>
      </c>
      <c r="N223" s="230">
        <v>0</v>
      </c>
      <c r="O223" s="231">
        <v>658.6</v>
      </c>
      <c r="P223" s="222" t="s">
        <v>212</v>
      </c>
      <c r="Q223" s="229">
        <v>0</v>
      </c>
      <c r="R223" s="230">
        <v>0</v>
      </c>
      <c r="S223" s="229">
        <v>0</v>
      </c>
      <c r="T223" s="536">
        <v>0</v>
      </c>
      <c r="U223" s="536"/>
      <c r="V223" s="229">
        <v>0</v>
      </c>
      <c r="W223" s="222" t="s">
        <v>212</v>
      </c>
      <c r="X223" s="530">
        <v>658.6</v>
      </c>
      <c r="Y223" s="530"/>
      <c r="Z223" s="222" t="s">
        <v>212</v>
      </c>
      <c r="AA223" s="232">
        <v>5146154</v>
      </c>
      <c r="AB223" s="233">
        <v>130710</v>
      </c>
      <c r="AC223" s="215"/>
    </row>
    <row r="224" spans="1:29" ht="2.25" customHeight="1">
      <c r="A224" s="215"/>
      <c r="B224" s="529" t="s">
        <v>212</v>
      </c>
      <c r="C224" s="529"/>
      <c r="D224" s="219" t="s">
        <v>212</v>
      </c>
      <c r="E224" s="222" t="s">
        <v>212</v>
      </c>
      <c r="F224" s="531" t="s">
        <v>212</v>
      </c>
      <c r="G224" s="531"/>
      <c r="H224" s="222" t="s">
        <v>212</v>
      </c>
      <c r="I224" s="531" t="s">
        <v>212</v>
      </c>
      <c r="J224" s="531"/>
      <c r="K224" s="222" t="s">
        <v>212</v>
      </c>
      <c r="L224" s="222" t="s">
        <v>212</v>
      </c>
      <c r="M224" s="222" t="s">
        <v>212</v>
      </c>
      <c r="N224" s="222" t="s">
        <v>212</v>
      </c>
      <c r="O224" s="222" t="s">
        <v>212</v>
      </c>
      <c r="P224" s="222" t="s">
        <v>212</v>
      </c>
      <c r="Q224" s="222" t="s">
        <v>212</v>
      </c>
      <c r="R224" s="222" t="s">
        <v>212</v>
      </c>
      <c r="S224" s="222" t="s">
        <v>212</v>
      </c>
      <c r="T224" s="531" t="s">
        <v>212</v>
      </c>
      <c r="U224" s="531"/>
      <c r="V224" s="222" t="s">
        <v>212</v>
      </c>
      <c r="W224" s="222" t="s">
        <v>212</v>
      </c>
      <c r="X224" s="531" t="s">
        <v>212</v>
      </c>
      <c r="Y224" s="531"/>
      <c r="Z224" s="222" t="s">
        <v>212</v>
      </c>
      <c r="AA224" s="222" t="s">
        <v>212</v>
      </c>
      <c r="AB224" s="222" t="s">
        <v>212</v>
      </c>
      <c r="AC224" s="215"/>
    </row>
    <row r="225" spans="1:29" ht="13.5" customHeight="1">
      <c r="A225" s="215"/>
      <c r="B225" s="532">
        <v>38822</v>
      </c>
      <c r="C225" s="532"/>
      <c r="D225" s="219" t="s">
        <v>212</v>
      </c>
      <c r="E225" s="224">
        <v>309.7</v>
      </c>
      <c r="F225" s="533">
        <v>24</v>
      </c>
      <c r="G225" s="533"/>
      <c r="H225" s="224">
        <v>370.5</v>
      </c>
      <c r="I225" s="533">
        <v>24</v>
      </c>
      <c r="J225" s="533"/>
      <c r="K225" s="224">
        <v>0</v>
      </c>
      <c r="L225" s="225">
        <v>0</v>
      </c>
      <c r="M225" s="224">
        <v>0</v>
      </c>
      <c r="N225" s="225">
        <v>0</v>
      </c>
      <c r="O225" s="226">
        <v>680.2</v>
      </c>
      <c r="P225" s="222" t="s">
        <v>212</v>
      </c>
      <c r="Q225" s="224">
        <v>0</v>
      </c>
      <c r="R225" s="225">
        <v>0</v>
      </c>
      <c r="S225" s="224">
        <v>0</v>
      </c>
      <c r="T225" s="533">
        <v>0</v>
      </c>
      <c r="U225" s="533"/>
      <c r="V225" s="224">
        <v>0</v>
      </c>
      <c r="W225" s="222" t="s">
        <v>212</v>
      </c>
      <c r="X225" s="534">
        <v>680.2</v>
      </c>
      <c r="Y225" s="534"/>
      <c r="Z225" s="222" t="s">
        <v>212</v>
      </c>
      <c r="AA225" s="227">
        <v>8586600</v>
      </c>
      <c r="AB225" s="228">
        <v>0</v>
      </c>
      <c r="AC225" s="215"/>
    </row>
    <row r="226" spans="1:29" ht="2.25" customHeight="1">
      <c r="A226" s="215"/>
      <c r="B226" s="529" t="s">
        <v>212</v>
      </c>
      <c r="C226" s="529"/>
      <c r="D226" s="219" t="s">
        <v>212</v>
      </c>
      <c r="E226" s="222" t="s">
        <v>212</v>
      </c>
      <c r="F226" s="531" t="s">
        <v>212</v>
      </c>
      <c r="G226" s="531"/>
      <c r="H226" s="222" t="s">
        <v>212</v>
      </c>
      <c r="I226" s="531" t="s">
        <v>212</v>
      </c>
      <c r="J226" s="531"/>
      <c r="K226" s="222" t="s">
        <v>212</v>
      </c>
      <c r="L226" s="222" t="s">
        <v>212</v>
      </c>
      <c r="M226" s="222" t="s">
        <v>212</v>
      </c>
      <c r="N226" s="222" t="s">
        <v>212</v>
      </c>
      <c r="O226" s="222" t="s">
        <v>212</v>
      </c>
      <c r="P226" s="222" t="s">
        <v>212</v>
      </c>
      <c r="Q226" s="222" t="s">
        <v>212</v>
      </c>
      <c r="R226" s="222" t="s">
        <v>212</v>
      </c>
      <c r="S226" s="222" t="s">
        <v>212</v>
      </c>
      <c r="T226" s="531" t="s">
        <v>212</v>
      </c>
      <c r="U226" s="531"/>
      <c r="V226" s="222" t="s">
        <v>212</v>
      </c>
      <c r="W226" s="222" t="s">
        <v>212</v>
      </c>
      <c r="X226" s="531" t="s">
        <v>212</v>
      </c>
      <c r="Y226" s="531"/>
      <c r="Z226" s="222" t="s">
        <v>212</v>
      </c>
      <c r="AA226" s="222" t="s">
        <v>212</v>
      </c>
      <c r="AB226" s="222" t="s">
        <v>212</v>
      </c>
      <c r="AC226" s="215"/>
    </row>
    <row r="227" spans="1:29" ht="13.5" customHeight="1">
      <c r="A227" s="215"/>
      <c r="B227" s="535">
        <v>38823</v>
      </c>
      <c r="C227" s="535"/>
      <c r="D227" s="219" t="s">
        <v>212</v>
      </c>
      <c r="E227" s="229">
        <v>315.60000000000002</v>
      </c>
      <c r="F227" s="536">
        <v>24</v>
      </c>
      <c r="G227" s="536"/>
      <c r="H227" s="229">
        <v>369.1</v>
      </c>
      <c r="I227" s="536">
        <v>24</v>
      </c>
      <c r="J227" s="536"/>
      <c r="K227" s="229">
        <v>57.8</v>
      </c>
      <c r="L227" s="230">
        <v>12</v>
      </c>
      <c r="M227" s="229">
        <v>0</v>
      </c>
      <c r="N227" s="230">
        <v>0</v>
      </c>
      <c r="O227" s="231">
        <v>742.5</v>
      </c>
      <c r="P227" s="222" t="s">
        <v>212</v>
      </c>
      <c r="Q227" s="229">
        <v>0</v>
      </c>
      <c r="R227" s="230">
        <v>0</v>
      </c>
      <c r="S227" s="229">
        <v>0</v>
      </c>
      <c r="T227" s="536">
        <v>0</v>
      </c>
      <c r="U227" s="536"/>
      <c r="V227" s="229">
        <v>0</v>
      </c>
      <c r="W227" s="222" t="s">
        <v>212</v>
      </c>
      <c r="X227" s="530">
        <v>742.5</v>
      </c>
      <c r="Y227" s="530"/>
      <c r="Z227" s="222" t="s">
        <v>212</v>
      </c>
      <c r="AA227" s="232">
        <v>8412300</v>
      </c>
      <c r="AB227" s="233">
        <v>48561</v>
      </c>
      <c r="AC227" s="215"/>
    </row>
    <row r="228" spans="1:29" ht="2.25" customHeight="1">
      <c r="A228" s="215"/>
      <c r="B228" s="529" t="s">
        <v>212</v>
      </c>
      <c r="C228" s="529"/>
      <c r="D228" s="219" t="s">
        <v>212</v>
      </c>
      <c r="E228" s="222" t="s">
        <v>212</v>
      </c>
      <c r="F228" s="531" t="s">
        <v>212</v>
      </c>
      <c r="G228" s="531"/>
      <c r="H228" s="222" t="s">
        <v>212</v>
      </c>
      <c r="I228" s="531" t="s">
        <v>212</v>
      </c>
      <c r="J228" s="531"/>
      <c r="K228" s="222" t="s">
        <v>212</v>
      </c>
      <c r="L228" s="222" t="s">
        <v>212</v>
      </c>
      <c r="M228" s="222" t="s">
        <v>212</v>
      </c>
      <c r="N228" s="222" t="s">
        <v>212</v>
      </c>
      <c r="O228" s="222" t="s">
        <v>212</v>
      </c>
      <c r="P228" s="222" t="s">
        <v>212</v>
      </c>
      <c r="Q228" s="222" t="s">
        <v>212</v>
      </c>
      <c r="R228" s="222" t="s">
        <v>212</v>
      </c>
      <c r="S228" s="222" t="s">
        <v>212</v>
      </c>
      <c r="T228" s="531" t="s">
        <v>212</v>
      </c>
      <c r="U228" s="531"/>
      <c r="V228" s="222" t="s">
        <v>212</v>
      </c>
      <c r="W228" s="222" t="s">
        <v>212</v>
      </c>
      <c r="X228" s="531" t="s">
        <v>212</v>
      </c>
      <c r="Y228" s="531"/>
      <c r="Z228" s="222" t="s">
        <v>212</v>
      </c>
      <c r="AA228" s="222" t="s">
        <v>212</v>
      </c>
      <c r="AB228" s="222" t="s">
        <v>212</v>
      </c>
      <c r="AC228" s="215"/>
    </row>
    <row r="229" spans="1:29" ht="13.5" customHeight="1">
      <c r="A229" s="215"/>
      <c r="B229" s="532">
        <v>38824</v>
      </c>
      <c r="C229" s="532"/>
      <c r="D229" s="219" t="s">
        <v>212</v>
      </c>
      <c r="E229" s="224">
        <v>263.7</v>
      </c>
      <c r="F229" s="533">
        <v>24</v>
      </c>
      <c r="G229" s="533"/>
      <c r="H229" s="224">
        <v>345.4</v>
      </c>
      <c r="I229" s="533">
        <v>24</v>
      </c>
      <c r="J229" s="533"/>
      <c r="K229" s="224">
        <v>0</v>
      </c>
      <c r="L229" s="225">
        <v>0</v>
      </c>
      <c r="M229" s="224">
        <v>0</v>
      </c>
      <c r="N229" s="225">
        <v>0</v>
      </c>
      <c r="O229" s="226">
        <v>609.1</v>
      </c>
      <c r="P229" s="222" t="s">
        <v>212</v>
      </c>
      <c r="Q229" s="224">
        <v>0</v>
      </c>
      <c r="R229" s="225">
        <v>0</v>
      </c>
      <c r="S229" s="224">
        <v>0</v>
      </c>
      <c r="T229" s="533">
        <v>0</v>
      </c>
      <c r="U229" s="533"/>
      <c r="V229" s="224">
        <v>0</v>
      </c>
      <c r="W229" s="222" t="s">
        <v>212</v>
      </c>
      <c r="X229" s="534">
        <v>609.1</v>
      </c>
      <c r="Y229" s="534"/>
      <c r="Z229" s="222" t="s">
        <v>212</v>
      </c>
      <c r="AA229" s="227">
        <v>8041900</v>
      </c>
      <c r="AB229" s="228">
        <v>1434</v>
      </c>
      <c r="AC229" s="215"/>
    </row>
    <row r="230" spans="1:29" ht="2.25" customHeight="1">
      <c r="A230" s="215"/>
      <c r="B230" s="529" t="s">
        <v>212</v>
      </c>
      <c r="C230" s="529"/>
      <c r="D230" s="219" t="s">
        <v>212</v>
      </c>
      <c r="E230" s="222" t="s">
        <v>212</v>
      </c>
      <c r="F230" s="531" t="s">
        <v>212</v>
      </c>
      <c r="G230" s="531"/>
      <c r="H230" s="222" t="s">
        <v>212</v>
      </c>
      <c r="I230" s="531" t="s">
        <v>212</v>
      </c>
      <c r="J230" s="531"/>
      <c r="K230" s="222" t="s">
        <v>212</v>
      </c>
      <c r="L230" s="222" t="s">
        <v>212</v>
      </c>
      <c r="M230" s="222" t="s">
        <v>212</v>
      </c>
      <c r="N230" s="222" t="s">
        <v>212</v>
      </c>
      <c r="O230" s="222" t="s">
        <v>212</v>
      </c>
      <c r="P230" s="222" t="s">
        <v>212</v>
      </c>
      <c r="Q230" s="222" t="s">
        <v>212</v>
      </c>
      <c r="R230" s="222" t="s">
        <v>212</v>
      </c>
      <c r="S230" s="222" t="s">
        <v>212</v>
      </c>
      <c r="T230" s="531" t="s">
        <v>212</v>
      </c>
      <c r="U230" s="531"/>
      <c r="V230" s="222" t="s">
        <v>212</v>
      </c>
      <c r="W230" s="222" t="s">
        <v>212</v>
      </c>
      <c r="X230" s="531" t="s">
        <v>212</v>
      </c>
      <c r="Y230" s="531"/>
      <c r="Z230" s="222" t="s">
        <v>212</v>
      </c>
      <c r="AA230" s="222" t="s">
        <v>212</v>
      </c>
      <c r="AB230" s="222" t="s">
        <v>212</v>
      </c>
      <c r="AC230" s="215"/>
    </row>
    <row r="231" spans="1:29" ht="13.5" customHeight="1">
      <c r="A231" s="215"/>
      <c r="B231" s="535">
        <v>38825</v>
      </c>
      <c r="C231" s="535"/>
      <c r="D231" s="219" t="s">
        <v>212</v>
      </c>
      <c r="E231" s="229">
        <v>307.2</v>
      </c>
      <c r="F231" s="536">
        <v>24</v>
      </c>
      <c r="G231" s="536"/>
      <c r="H231" s="229">
        <v>288.7</v>
      </c>
      <c r="I231" s="536">
        <v>20</v>
      </c>
      <c r="J231" s="536"/>
      <c r="K231" s="229">
        <v>73.7</v>
      </c>
      <c r="L231" s="230">
        <v>8</v>
      </c>
      <c r="M231" s="229">
        <v>0</v>
      </c>
      <c r="N231" s="230">
        <v>0</v>
      </c>
      <c r="O231" s="231">
        <v>669.6</v>
      </c>
      <c r="P231" s="222" t="s">
        <v>212</v>
      </c>
      <c r="Q231" s="229">
        <v>0</v>
      </c>
      <c r="R231" s="230">
        <v>0</v>
      </c>
      <c r="S231" s="229">
        <v>0</v>
      </c>
      <c r="T231" s="536">
        <v>0</v>
      </c>
      <c r="U231" s="536"/>
      <c r="V231" s="229">
        <v>0</v>
      </c>
      <c r="W231" s="222" t="s">
        <v>212</v>
      </c>
      <c r="X231" s="530">
        <v>669.6</v>
      </c>
      <c r="Y231" s="530"/>
      <c r="Z231" s="222" t="s">
        <v>212</v>
      </c>
      <c r="AA231" s="232">
        <v>7492200</v>
      </c>
      <c r="AB231" s="233">
        <v>49220</v>
      </c>
      <c r="AC231" s="215"/>
    </row>
    <row r="232" spans="1:29" ht="2.25" customHeight="1">
      <c r="A232" s="215"/>
      <c r="B232" s="529" t="s">
        <v>212</v>
      </c>
      <c r="C232" s="529"/>
      <c r="D232" s="219" t="s">
        <v>212</v>
      </c>
      <c r="E232" s="222" t="s">
        <v>212</v>
      </c>
      <c r="F232" s="531" t="s">
        <v>212</v>
      </c>
      <c r="G232" s="531"/>
      <c r="H232" s="222" t="s">
        <v>212</v>
      </c>
      <c r="I232" s="531" t="s">
        <v>212</v>
      </c>
      <c r="J232" s="531"/>
      <c r="K232" s="222" t="s">
        <v>212</v>
      </c>
      <c r="L232" s="222" t="s">
        <v>212</v>
      </c>
      <c r="M232" s="222" t="s">
        <v>212</v>
      </c>
      <c r="N232" s="222" t="s">
        <v>212</v>
      </c>
      <c r="O232" s="222" t="s">
        <v>212</v>
      </c>
      <c r="P232" s="222" t="s">
        <v>212</v>
      </c>
      <c r="Q232" s="222" t="s">
        <v>212</v>
      </c>
      <c r="R232" s="222" t="s">
        <v>212</v>
      </c>
      <c r="S232" s="222" t="s">
        <v>212</v>
      </c>
      <c r="T232" s="531" t="s">
        <v>212</v>
      </c>
      <c r="U232" s="531"/>
      <c r="V232" s="222" t="s">
        <v>212</v>
      </c>
      <c r="W232" s="222" t="s">
        <v>212</v>
      </c>
      <c r="X232" s="531" t="s">
        <v>212</v>
      </c>
      <c r="Y232" s="531"/>
      <c r="Z232" s="222" t="s">
        <v>212</v>
      </c>
      <c r="AA232" s="222" t="s">
        <v>212</v>
      </c>
      <c r="AB232" s="222" t="s">
        <v>212</v>
      </c>
      <c r="AC232" s="215"/>
    </row>
    <row r="233" spans="1:29" ht="13.5" customHeight="1">
      <c r="A233" s="215"/>
      <c r="B233" s="532">
        <v>38826</v>
      </c>
      <c r="C233" s="532"/>
      <c r="D233" s="219" t="s">
        <v>212</v>
      </c>
      <c r="E233" s="224">
        <v>309.10000000000002</v>
      </c>
      <c r="F233" s="533">
        <v>24</v>
      </c>
      <c r="G233" s="533"/>
      <c r="H233" s="224">
        <v>401.5</v>
      </c>
      <c r="I233" s="533">
        <v>24</v>
      </c>
      <c r="J233" s="533"/>
      <c r="K233" s="224">
        <v>0</v>
      </c>
      <c r="L233" s="225">
        <v>0</v>
      </c>
      <c r="M233" s="224">
        <v>0</v>
      </c>
      <c r="N233" s="225">
        <v>0</v>
      </c>
      <c r="O233" s="226">
        <v>710.6</v>
      </c>
      <c r="P233" s="222" t="s">
        <v>212</v>
      </c>
      <c r="Q233" s="224">
        <v>0</v>
      </c>
      <c r="R233" s="225">
        <v>0</v>
      </c>
      <c r="S233" s="224">
        <v>0</v>
      </c>
      <c r="T233" s="533">
        <v>0</v>
      </c>
      <c r="U233" s="533"/>
      <c r="V233" s="224">
        <v>0</v>
      </c>
      <c r="W233" s="222" t="s">
        <v>212</v>
      </c>
      <c r="X233" s="534">
        <v>710.6</v>
      </c>
      <c r="Y233" s="534"/>
      <c r="Z233" s="222" t="s">
        <v>212</v>
      </c>
      <c r="AA233" s="227">
        <v>8810600</v>
      </c>
      <c r="AB233" s="228">
        <v>0</v>
      </c>
      <c r="AC233" s="215"/>
    </row>
    <row r="234" spans="1:29" ht="2.25" customHeight="1">
      <c r="A234" s="215"/>
      <c r="B234" s="529" t="s">
        <v>212</v>
      </c>
      <c r="C234" s="529"/>
      <c r="D234" s="219" t="s">
        <v>212</v>
      </c>
      <c r="E234" s="222" t="s">
        <v>212</v>
      </c>
      <c r="F234" s="531" t="s">
        <v>212</v>
      </c>
      <c r="G234" s="531"/>
      <c r="H234" s="222" t="s">
        <v>212</v>
      </c>
      <c r="I234" s="531" t="s">
        <v>212</v>
      </c>
      <c r="J234" s="531"/>
      <c r="K234" s="222" t="s">
        <v>212</v>
      </c>
      <c r="L234" s="222" t="s">
        <v>212</v>
      </c>
      <c r="M234" s="222" t="s">
        <v>212</v>
      </c>
      <c r="N234" s="222" t="s">
        <v>212</v>
      </c>
      <c r="O234" s="222" t="s">
        <v>212</v>
      </c>
      <c r="P234" s="222" t="s">
        <v>212</v>
      </c>
      <c r="Q234" s="222" t="s">
        <v>212</v>
      </c>
      <c r="R234" s="222" t="s">
        <v>212</v>
      </c>
      <c r="S234" s="222" t="s">
        <v>212</v>
      </c>
      <c r="T234" s="531" t="s">
        <v>212</v>
      </c>
      <c r="U234" s="531"/>
      <c r="V234" s="222" t="s">
        <v>212</v>
      </c>
      <c r="W234" s="222" t="s">
        <v>212</v>
      </c>
      <c r="X234" s="531" t="s">
        <v>212</v>
      </c>
      <c r="Y234" s="531"/>
      <c r="Z234" s="222" t="s">
        <v>212</v>
      </c>
      <c r="AA234" s="222" t="s">
        <v>212</v>
      </c>
      <c r="AB234" s="222" t="s">
        <v>212</v>
      </c>
      <c r="AC234" s="215"/>
    </row>
    <row r="235" spans="1:29" ht="13.5" customHeight="1">
      <c r="A235" s="215"/>
      <c r="B235" s="535">
        <v>38827</v>
      </c>
      <c r="C235" s="535"/>
      <c r="D235" s="219" t="s">
        <v>212</v>
      </c>
      <c r="E235" s="229">
        <v>280.39999999999998</v>
      </c>
      <c r="F235" s="536">
        <v>24</v>
      </c>
      <c r="G235" s="536"/>
      <c r="H235" s="229">
        <v>316.39999999999998</v>
      </c>
      <c r="I235" s="536">
        <v>24</v>
      </c>
      <c r="J235" s="536"/>
      <c r="K235" s="229">
        <v>93.6</v>
      </c>
      <c r="L235" s="230">
        <v>14</v>
      </c>
      <c r="M235" s="229">
        <v>0</v>
      </c>
      <c r="N235" s="230">
        <v>0</v>
      </c>
      <c r="O235" s="231">
        <v>690.4</v>
      </c>
      <c r="P235" s="222" t="s">
        <v>212</v>
      </c>
      <c r="Q235" s="229">
        <v>0</v>
      </c>
      <c r="R235" s="230">
        <v>0</v>
      </c>
      <c r="S235" s="229">
        <v>0</v>
      </c>
      <c r="T235" s="536">
        <v>0</v>
      </c>
      <c r="U235" s="536"/>
      <c r="V235" s="229">
        <v>0</v>
      </c>
      <c r="W235" s="222" t="s">
        <v>212</v>
      </c>
      <c r="X235" s="530">
        <v>690.4</v>
      </c>
      <c r="Y235" s="530"/>
      <c r="Z235" s="222" t="s">
        <v>212</v>
      </c>
      <c r="AA235" s="232">
        <v>8098464</v>
      </c>
      <c r="AB235" s="233">
        <v>59995</v>
      </c>
      <c r="AC235" s="215"/>
    </row>
    <row r="236" spans="1:29" ht="2.25" customHeight="1">
      <c r="A236" s="215"/>
      <c r="B236" s="529" t="s">
        <v>212</v>
      </c>
      <c r="C236" s="529"/>
      <c r="D236" s="219" t="s">
        <v>212</v>
      </c>
      <c r="E236" s="222" t="s">
        <v>212</v>
      </c>
      <c r="F236" s="531" t="s">
        <v>212</v>
      </c>
      <c r="G236" s="531"/>
      <c r="H236" s="222" t="s">
        <v>212</v>
      </c>
      <c r="I236" s="531" t="s">
        <v>212</v>
      </c>
      <c r="J236" s="531"/>
      <c r="K236" s="222" t="s">
        <v>212</v>
      </c>
      <c r="L236" s="222" t="s">
        <v>212</v>
      </c>
      <c r="M236" s="222" t="s">
        <v>212</v>
      </c>
      <c r="N236" s="222" t="s">
        <v>212</v>
      </c>
      <c r="O236" s="222" t="s">
        <v>212</v>
      </c>
      <c r="P236" s="222" t="s">
        <v>212</v>
      </c>
      <c r="Q236" s="222" t="s">
        <v>212</v>
      </c>
      <c r="R236" s="222" t="s">
        <v>212</v>
      </c>
      <c r="S236" s="222" t="s">
        <v>212</v>
      </c>
      <c r="T236" s="531" t="s">
        <v>212</v>
      </c>
      <c r="U236" s="531"/>
      <c r="V236" s="222" t="s">
        <v>212</v>
      </c>
      <c r="W236" s="222" t="s">
        <v>212</v>
      </c>
      <c r="X236" s="531" t="s">
        <v>212</v>
      </c>
      <c r="Y236" s="531"/>
      <c r="Z236" s="222" t="s">
        <v>212</v>
      </c>
      <c r="AA236" s="222" t="s">
        <v>212</v>
      </c>
      <c r="AB236" s="222" t="s">
        <v>212</v>
      </c>
      <c r="AC236" s="215"/>
    </row>
    <row r="237" spans="1:29" ht="13.5" customHeight="1">
      <c r="A237" s="215"/>
      <c r="B237" s="532">
        <v>38828</v>
      </c>
      <c r="C237" s="532"/>
      <c r="D237" s="219" t="s">
        <v>212</v>
      </c>
      <c r="E237" s="224">
        <v>267.39999999999998</v>
      </c>
      <c r="F237" s="533">
        <v>24</v>
      </c>
      <c r="G237" s="533"/>
      <c r="H237" s="224">
        <v>334.5</v>
      </c>
      <c r="I237" s="533">
        <v>24</v>
      </c>
      <c r="J237" s="533"/>
      <c r="K237" s="224">
        <v>90</v>
      </c>
      <c r="L237" s="225">
        <v>14</v>
      </c>
      <c r="M237" s="224">
        <v>0</v>
      </c>
      <c r="N237" s="225">
        <v>0</v>
      </c>
      <c r="O237" s="226">
        <v>691.9</v>
      </c>
      <c r="P237" s="222" t="s">
        <v>212</v>
      </c>
      <c r="Q237" s="224">
        <v>0</v>
      </c>
      <c r="R237" s="225">
        <v>0</v>
      </c>
      <c r="S237" s="224">
        <v>0</v>
      </c>
      <c r="T237" s="533">
        <v>0</v>
      </c>
      <c r="U237" s="533"/>
      <c r="V237" s="224">
        <v>0</v>
      </c>
      <c r="W237" s="222" t="s">
        <v>212</v>
      </c>
      <c r="X237" s="534">
        <v>691.9</v>
      </c>
      <c r="Y237" s="534"/>
      <c r="Z237" s="222" t="s">
        <v>212</v>
      </c>
      <c r="AA237" s="227">
        <v>8035500</v>
      </c>
      <c r="AB237" s="228">
        <v>63885</v>
      </c>
      <c r="AC237" s="215"/>
    </row>
    <row r="238" spans="1:29" ht="2.25" customHeight="1">
      <c r="A238" s="215"/>
      <c r="B238" s="529" t="s">
        <v>212</v>
      </c>
      <c r="C238" s="529"/>
      <c r="D238" s="219" t="s">
        <v>212</v>
      </c>
      <c r="E238" s="222" t="s">
        <v>212</v>
      </c>
      <c r="F238" s="531" t="s">
        <v>212</v>
      </c>
      <c r="G238" s="531"/>
      <c r="H238" s="222" t="s">
        <v>212</v>
      </c>
      <c r="I238" s="531" t="s">
        <v>212</v>
      </c>
      <c r="J238" s="531"/>
      <c r="K238" s="222" t="s">
        <v>212</v>
      </c>
      <c r="L238" s="222" t="s">
        <v>212</v>
      </c>
      <c r="M238" s="222" t="s">
        <v>212</v>
      </c>
      <c r="N238" s="222" t="s">
        <v>212</v>
      </c>
      <c r="O238" s="222" t="s">
        <v>212</v>
      </c>
      <c r="P238" s="222" t="s">
        <v>212</v>
      </c>
      <c r="Q238" s="222" t="s">
        <v>212</v>
      </c>
      <c r="R238" s="222" t="s">
        <v>212</v>
      </c>
      <c r="S238" s="222" t="s">
        <v>212</v>
      </c>
      <c r="T238" s="531" t="s">
        <v>212</v>
      </c>
      <c r="U238" s="531"/>
      <c r="V238" s="222" t="s">
        <v>212</v>
      </c>
      <c r="W238" s="222" t="s">
        <v>212</v>
      </c>
      <c r="X238" s="531" t="s">
        <v>212</v>
      </c>
      <c r="Y238" s="531"/>
      <c r="Z238" s="222" t="s">
        <v>212</v>
      </c>
      <c r="AA238" s="222" t="s">
        <v>212</v>
      </c>
      <c r="AB238" s="222" t="s">
        <v>212</v>
      </c>
      <c r="AC238" s="215"/>
    </row>
    <row r="239" spans="1:29" ht="13.5" customHeight="1">
      <c r="A239" s="215"/>
      <c r="B239" s="535">
        <v>38829</v>
      </c>
      <c r="C239" s="535"/>
      <c r="D239" s="219" t="s">
        <v>212</v>
      </c>
      <c r="E239" s="229">
        <v>253.2</v>
      </c>
      <c r="F239" s="536">
        <v>24</v>
      </c>
      <c r="G239" s="536"/>
      <c r="H239" s="229">
        <v>316.10000000000002</v>
      </c>
      <c r="I239" s="536">
        <v>24</v>
      </c>
      <c r="J239" s="536"/>
      <c r="K239" s="229">
        <v>45.3</v>
      </c>
      <c r="L239" s="230">
        <v>9</v>
      </c>
      <c r="M239" s="229">
        <v>0</v>
      </c>
      <c r="N239" s="230">
        <v>0</v>
      </c>
      <c r="O239" s="231">
        <v>614.6</v>
      </c>
      <c r="P239" s="222" t="s">
        <v>212</v>
      </c>
      <c r="Q239" s="229">
        <v>0</v>
      </c>
      <c r="R239" s="230">
        <v>0</v>
      </c>
      <c r="S239" s="229">
        <v>0</v>
      </c>
      <c r="T239" s="536">
        <v>0</v>
      </c>
      <c r="U239" s="536"/>
      <c r="V239" s="229">
        <v>0</v>
      </c>
      <c r="W239" s="222" t="s">
        <v>212</v>
      </c>
      <c r="X239" s="530">
        <v>614.6</v>
      </c>
      <c r="Y239" s="530"/>
      <c r="Z239" s="222" t="s">
        <v>212</v>
      </c>
      <c r="AA239" s="232">
        <v>7728600</v>
      </c>
      <c r="AB239" s="233">
        <v>39134</v>
      </c>
      <c r="AC239" s="215"/>
    </row>
    <row r="240" spans="1:29" ht="2.25" customHeight="1">
      <c r="A240" s="215"/>
      <c r="B240" s="529" t="s">
        <v>212</v>
      </c>
      <c r="C240" s="529"/>
      <c r="D240" s="219" t="s">
        <v>212</v>
      </c>
      <c r="E240" s="222" t="s">
        <v>212</v>
      </c>
      <c r="F240" s="531" t="s">
        <v>212</v>
      </c>
      <c r="G240" s="531"/>
      <c r="H240" s="222" t="s">
        <v>212</v>
      </c>
      <c r="I240" s="531" t="s">
        <v>212</v>
      </c>
      <c r="J240" s="531"/>
      <c r="K240" s="222" t="s">
        <v>212</v>
      </c>
      <c r="L240" s="222" t="s">
        <v>212</v>
      </c>
      <c r="M240" s="222" t="s">
        <v>212</v>
      </c>
      <c r="N240" s="222" t="s">
        <v>212</v>
      </c>
      <c r="O240" s="222" t="s">
        <v>212</v>
      </c>
      <c r="P240" s="222" t="s">
        <v>212</v>
      </c>
      <c r="Q240" s="222" t="s">
        <v>212</v>
      </c>
      <c r="R240" s="222" t="s">
        <v>212</v>
      </c>
      <c r="S240" s="222" t="s">
        <v>212</v>
      </c>
      <c r="T240" s="531" t="s">
        <v>212</v>
      </c>
      <c r="U240" s="531"/>
      <c r="V240" s="222" t="s">
        <v>212</v>
      </c>
      <c r="W240" s="222" t="s">
        <v>212</v>
      </c>
      <c r="X240" s="531" t="s">
        <v>212</v>
      </c>
      <c r="Y240" s="531"/>
      <c r="Z240" s="222" t="s">
        <v>212</v>
      </c>
      <c r="AA240" s="222" t="s">
        <v>212</v>
      </c>
      <c r="AB240" s="222" t="s">
        <v>212</v>
      </c>
      <c r="AC240" s="215"/>
    </row>
    <row r="241" spans="1:29" ht="13.5" customHeight="1">
      <c r="A241" s="215"/>
      <c r="B241" s="532">
        <v>38830</v>
      </c>
      <c r="C241" s="532"/>
      <c r="D241" s="219" t="s">
        <v>212</v>
      </c>
      <c r="E241" s="224">
        <v>269.7</v>
      </c>
      <c r="F241" s="533">
        <v>24</v>
      </c>
      <c r="G241" s="533"/>
      <c r="H241" s="224">
        <v>353</v>
      </c>
      <c r="I241" s="533">
        <v>24</v>
      </c>
      <c r="J241" s="533"/>
      <c r="K241" s="224">
        <v>0</v>
      </c>
      <c r="L241" s="225">
        <v>0</v>
      </c>
      <c r="M241" s="224">
        <v>0</v>
      </c>
      <c r="N241" s="225">
        <v>0</v>
      </c>
      <c r="O241" s="226">
        <v>622.70000000000005</v>
      </c>
      <c r="P241" s="222" t="s">
        <v>212</v>
      </c>
      <c r="Q241" s="224">
        <v>0</v>
      </c>
      <c r="R241" s="225">
        <v>0</v>
      </c>
      <c r="S241" s="224">
        <v>0</v>
      </c>
      <c r="T241" s="533">
        <v>0</v>
      </c>
      <c r="U241" s="533"/>
      <c r="V241" s="224">
        <v>0</v>
      </c>
      <c r="W241" s="222" t="s">
        <v>212</v>
      </c>
      <c r="X241" s="534">
        <v>622.70000000000005</v>
      </c>
      <c r="Y241" s="534"/>
      <c r="Z241" s="222" t="s">
        <v>212</v>
      </c>
      <c r="AA241" s="227">
        <v>8170400</v>
      </c>
      <c r="AB241" s="228">
        <v>0</v>
      </c>
      <c r="AC241" s="215"/>
    </row>
    <row r="242" spans="1:29" ht="2.25" customHeight="1">
      <c r="A242" s="215"/>
      <c r="B242" s="529" t="s">
        <v>212</v>
      </c>
      <c r="C242" s="529"/>
      <c r="D242" s="219" t="s">
        <v>212</v>
      </c>
      <c r="E242" s="222" t="s">
        <v>212</v>
      </c>
      <c r="F242" s="531" t="s">
        <v>212</v>
      </c>
      <c r="G242" s="531"/>
      <c r="H242" s="222" t="s">
        <v>212</v>
      </c>
      <c r="I242" s="531" t="s">
        <v>212</v>
      </c>
      <c r="J242" s="531"/>
      <c r="K242" s="222" t="s">
        <v>212</v>
      </c>
      <c r="L242" s="222" t="s">
        <v>212</v>
      </c>
      <c r="M242" s="222" t="s">
        <v>212</v>
      </c>
      <c r="N242" s="222" t="s">
        <v>212</v>
      </c>
      <c r="O242" s="222" t="s">
        <v>212</v>
      </c>
      <c r="P242" s="222" t="s">
        <v>212</v>
      </c>
      <c r="Q242" s="222" t="s">
        <v>212</v>
      </c>
      <c r="R242" s="222" t="s">
        <v>212</v>
      </c>
      <c r="S242" s="222" t="s">
        <v>212</v>
      </c>
      <c r="T242" s="531" t="s">
        <v>212</v>
      </c>
      <c r="U242" s="531"/>
      <c r="V242" s="222" t="s">
        <v>212</v>
      </c>
      <c r="W242" s="222" t="s">
        <v>212</v>
      </c>
      <c r="X242" s="531" t="s">
        <v>212</v>
      </c>
      <c r="Y242" s="531"/>
      <c r="Z242" s="222" t="s">
        <v>212</v>
      </c>
      <c r="AA242" s="222" t="s">
        <v>212</v>
      </c>
      <c r="AB242" s="222" t="s">
        <v>212</v>
      </c>
      <c r="AC242" s="215"/>
    </row>
    <row r="243" spans="1:29" ht="13.5" customHeight="1">
      <c r="A243" s="215"/>
      <c r="B243" s="535">
        <v>38831</v>
      </c>
      <c r="C243" s="535"/>
      <c r="D243" s="219" t="s">
        <v>212</v>
      </c>
      <c r="E243" s="229">
        <v>277.60000000000002</v>
      </c>
      <c r="F243" s="536">
        <v>24</v>
      </c>
      <c r="G243" s="536"/>
      <c r="H243" s="229">
        <v>360.6</v>
      </c>
      <c r="I243" s="536">
        <v>24</v>
      </c>
      <c r="J243" s="536"/>
      <c r="K243" s="229">
        <v>0</v>
      </c>
      <c r="L243" s="230">
        <v>0</v>
      </c>
      <c r="M243" s="229">
        <v>0</v>
      </c>
      <c r="N243" s="230">
        <v>0</v>
      </c>
      <c r="O243" s="231">
        <v>638.20000000000005</v>
      </c>
      <c r="P243" s="222" t="s">
        <v>212</v>
      </c>
      <c r="Q243" s="229">
        <v>0</v>
      </c>
      <c r="R243" s="230">
        <v>0</v>
      </c>
      <c r="S243" s="229">
        <v>0</v>
      </c>
      <c r="T243" s="536">
        <v>0</v>
      </c>
      <c r="U243" s="536"/>
      <c r="V243" s="229">
        <v>0</v>
      </c>
      <c r="W243" s="222" t="s">
        <v>212</v>
      </c>
      <c r="X243" s="530">
        <v>638.20000000000005</v>
      </c>
      <c r="Y243" s="530"/>
      <c r="Z243" s="222" t="s">
        <v>212</v>
      </c>
      <c r="AA243" s="232">
        <v>8289700</v>
      </c>
      <c r="AB243" s="233">
        <v>0</v>
      </c>
      <c r="AC243" s="215"/>
    </row>
    <row r="244" spans="1:29" ht="2.25" customHeight="1">
      <c r="A244" s="215"/>
      <c r="B244" s="529" t="s">
        <v>212</v>
      </c>
      <c r="C244" s="529"/>
      <c r="D244" s="219" t="s">
        <v>212</v>
      </c>
      <c r="E244" s="222" t="s">
        <v>212</v>
      </c>
      <c r="F244" s="531" t="s">
        <v>212</v>
      </c>
      <c r="G244" s="531"/>
      <c r="H244" s="222" t="s">
        <v>212</v>
      </c>
      <c r="I244" s="531" t="s">
        <v>212</v>
      </c>
      <c r="J244" s="531"/>
      <c r="K244" s="222" t="s">
        <v>212</v>
      </c>
      <c r="L244" s="222" t="s">
        <v>212</v>
      </c>
      <c r="M244" s="222" t="s">
        <v>212</v>
      </c>
      <c r="N244" s="222" t="s">
        <v>212</v>
      </c>
      <c r="O244" s="222" t="s">
        <v>212</v>
      </c>
      <c r="P244" s="222" t="s">
        <v>212</v>
      </c>
      <c r="Q244" s="222" t="s">
        <v>212</v>
      </c>
      <c r="R244" s="222" t="s">
        <v>212</v>
      </c>
      <c r="S244" s="222" t="s">
        <v>212</v>
      </c>
      <c r="T244" s="531" t="s">
        <v>212</v>
      </c>
      <c r="U244" s="531"/>
      <c r="V244" s="222" t="s">
        <v>212</v>
      </c>
      <c r="W244" s="222" t="s">
        <v>212</v>
      </c>
      <c r="X244" s="531" t="s">
        <v>212</v>
      </c>
      <c r="Y244" s="531"/>
      <c r="Z244" s="222" t="s">
        <v>212</v>
      </c>
      <c r="AA244" s="222" t="s">
        <v>212</v>
      </c>
      <c r="AB244" s="222" t="s">
        <v>212</v>
      </c>
      <c r="AC244" s="215"/>
    </row>
    <row r="245" spans="1:29" ht="13.5" customHeight="1">
      <c r="A245" s="215"/>
      <c r="B245" s="532">
        <v>38832</v>
      </c>
      <c r="C245" s="532"/>
      <c r="D245" s="219" t="s">
        <v>212</v>
      </c>
      <c r="E245" s="224">
        <v>284.2</v>
      </c>
      <c r="F245" s="533">
        <v>24</v>
      </c>
      <c r="G245" s="533"/>
      <c r="H245" s="224">
        <v>168.3</v>
      </c>
      <c r="I245" s="533">
        <v>13</v>
      </c>
      <c r="J245" s="533"/>
      <c r="K245" s="224">
        <v>150</v>
      </c>
      <c r="L245" s="225">
        <v>12</v>
      </c>
      <c r="M245" s="224">
        <v>0</v>
      </c>
      <c r="N245" s="225">
        <v>0</v>
      </c>
      <c r="O245" s="226">
        <v>602.5</v>
      </c>
      <c r="P245" s="222" t="s">
        <v>212</v>
      </c>
      <c r="Q245" s="224">
        <v>0</v>
      </c>
      <c r="R245" s="225">
        <v>0</v>
      </c>
      <c r="S245" s="224">
        <v>0</v>
      </c>
      <c r="T245" s="533">
        <v>0</v>
      </c>
      <c r="U245" s="533"/>
      <c r="V245" s="224">
        <v>0</v>
      </c>
      <c r="W245" s="222" t="s">
        <v>212</v>
      </c>
      <c r="X245" s="534">
        <v>602.5</v>
      </c>
      <c r="Y245" s="534"/>
      <c r="Z245" s="222" t="s">
        <v>212</v>
      </c>
      <c r="AA245" s="227">
        <v>6096944</v>
      </c>
      <c r="AB245" s="228">
        <v>74457</v>
      </c>
      <c r="AC245" s="215"/>
    </row>
    <row r="246" spans="1:29" ht="2.25" customHeight="1">
      <c r="A246" s="215"/>
      <c r="B246" s="529" t="s">
        <v>212</v>
      </c>
      <c r="C246" s="529"/>
      <c r="D246" s="219" t="s">
        <v>212</v>
      </c>
      <c r="E246" s="222" t="s">
        <v>212</v>
      </c>
      <c r="F246" s="531" t="s">
        <v>212</v>
      </c>
      <c r="G246" s="531"/>
      <c r="H246" s="222" t="s">
        <v>212</v>
      </c>
      <c r="I246" s="531" t="s">
        <v>212</v>
      </c>
      <c r="J246" s="531"/>
      <c r="K246" s="222" t="s">
        <v>212</v>
      </c>
      <c r="L246" s="222" t="s">
        <v>212</v>
      </c>
      <c r="M246" s="222" t="s">
        <v>212</v>
      </c>
      <c r="N246" s="222" t="s">
        <v>212</v>
      </c>
      <c r="O246" s="222" t="s">
        <v>212</v>
      </c>
      <c r="P246" s="222" t="s">
        <v>212</v>
      </c>
      <c r="Q246" s="222" t="s">
        <v>212</v>
      </c>
      <c r="R246" s="222" t="s">
        <v>212</v>
      </c>
      <c r="S246" s="222" t="s">
        <v>212</v>
      </c>
      <c r="T246" s="531" t="s">
        <v>212</v>
      </c>
      <c r="U246" s="531"/>
      <c r="V246" s="222" t="s">
        <v>212</v>
      </c>
      <c r="W246" s="222" t="s">
        <v>212</v>
      </c>
      <c r="X246" s="531" t="s">
        <v>212</v>
      </c>
      <c r="Y246" s="531"/>
      <c r="Z246" s="222" t="s">
        <v>212</v>
      </c>
      <c r="AA246" s="222" t="s">
        <v>212</v>
      </c>
      <c r="AB246" s="222" t="s">
        <v>212</v>
      </c>
      <c r="AC246" s="215"/>
    </row>
    <row r="247" spans="1:29" ht="13.5" customHeight="1">
      <c r="A247" s="215"/>
      <c r="B247" s="535">
        <v>38833</v>
      </c>
      <c r="C247" s="535"/>
      <c r="D247" s="219" t="s">
        <v>212</v>
      </c>
      <c r="E247" s="229">
        <v>302.5</v>
      </c>
      <c r="F247" s="536">
        <v>24</v>
      </c>
      <c r="G247" s="536"/>
      <c r="H247" s="229">
        <v>68.400000000000006</v>
      </c>
      <c r="I247" s="536">
        <v>6</v>
      </c>
      <c r="J247" s="536"/>
      <c r="K247" s="229">
        <v>245.5</v>
      </c>
      <c r="L247" s="230">
        <v>20</v>
      </c>
      <c r="M247" s="229">
        <v>0</v>
      </c>
      <c r="N247" s="230">
        <v>0</v>
      </c>
      <c r="O247" s="231">
        <v>616.4</v>
      </c>
      <c r="P247" s="222" t="s">
        <v>212</v>
      </c>
      <c r="Q247" s="229">
        <v>0</v>
      </c>
      <c r="R247" s="230">
        <v>0</v>
      </c>
      <c r="S247" s="229">
        <v>0</v>
      </c>
      <c r="T247" s="536">
        <v>0</v>
      </c>
      <c r="U247" s="536"/>
      <c r="V247" s="229">
        <v>0</v>
      </c>
      <c r="W247" s="222" t="s">
        <v>212</v>
      </c>
      <c r="X247" s="530">
        <v>616.4</v>
      </c>
      <c r="Y247" s="530"/>
      <c r="Z247" s="222" t="s">
        <v>212</v>
      </c>
      <c r="AA247" s="232">
        <v>5095500</v>
      </c>
      <c r="AB247" s="233">
        <v>122874</v>
      </c>
      <c r="AC247" s="215"/>
    </row>
    <row r="248" spans="1:29" ht="2.25" customHeight="1">
      <c r="A248" s="215"/>
      <c r="B248" s="529" t="s">
        <v>212</v>
      </c>
      <c r="C248" s="529"/>
      <c r="D248" s="219" t="s">
        <v>212</v>
      </c>
      <c r="E248" s="222" t="s">
        <v>212</v>
      </c>
      <c r="F248" s="531" t="s">
        <v>212</v>
      </c>
      <c r="G248" s="531"/>
      <c r="H248" s="222" t="s">
        <v>212</v>
      </c>
      <c r="I248" s="531" t="s">
        <v>212</v>
      </c>
      <c r="J248" s="531"/>
      <c r="K248" s="222" t="s">
        <v>212</v>
      </c>
      <c r="L248" s="222" t="s">
        <v>212</v>
      </c>
      <c r="M248" s="222" t="s">
        <v>212</v>
      </c>
      <c r="N248" s="222" t="s">
        <v>212</v>
      </c>
      <c r="O248" s="222" t="s">
        <v>212</v>
      </c>
      <c r="P248" s="222" t="s">
        <v>212</v>
      </c>
      <c r="Q248" s="222" t="s">
        <v>212</v>
      </c>
      <c r="R248" s="222" t="s">
        <v>212</v>
      </c>
      <c r="S248" s="222" t="s">
        <v>212</v>
      </c>
      <c r="T248" s="531" t="s">
        <v>212</v>
      </c>
      <c r="U248" s="531"/>
      <c r="V248" s="222" t="s">
        <v>212</v>
      </c>
      <c r="W248" s="222" t="s">
        <v>212</v>
      </c>
      <c r="X248" s="531" t="s">
        <v>212</v>
      </c>
      <c r="Y248" s="531"/>
      <c r="Z248" s="222" t="s">
        <v>212</v>
      </c>
      <c r="AA248" s="222" t="s">
        <v>212</v>
      </c>
      <c r="AB248" s="222" t="s">
        <v>212</v>
      </c>
      <c r="AC248" s="215"/>
    </row>
    <row r="249" spans="1:29" ht="13.5" customHeight="1">
      <c r="A249" s="215"/>
      <c r="B249" s="532">
        <v>38834</v>
      </c>
      <c r="C249" s="532"/>
      <c r="D249" s="219" t="s">
        <v>212</v>
      </c>
      <c r="E249" s="224">
        <v>275.89999999999998</v>
      </c>
      <c r="F249" s="533">
        <v>24</v>
      </c>
      <c r="G249" s="533"/>
      <c r="H249" s="224">
        <v>330.3</v>
      </c>
      <c r="I249" s="533">
        <v>24</v>
      </c>
      <c r="J249" s="533"/>
      <c r="K249" s="224">
        <v>57.6</v>
      </c>
      <c r="L249" s="225">
        <v>9</v>
      </c>
      <c r="M249" s="224">
        <v>0</v>
      </c>
      <c r="N249" s="225">
        <v>0</v>
      </c>
      <c r="O249" s="226">
        <v>663.8</v>
      </c>
      <c r="P249" s="222" t="s">
        <v>212</v>
      </c>
      <c r="Q249" s="224">
        <v>0</v>
      </c>
      <c r="R249" s="225">
        <v>0</v>
      </c>
      <c r="S249" s="224">
        <v>0</v>
      </c>
      <c r="T249" s="533">
        <v>0</v>
      </c>
      <c r="U249" s="533"/>
      <c r="V249" s="224">
        <v>0</v>
      </c>
      <c r="W249" s="222" t="s">
        <v>212</v>
      </c>
      <c r="X249" s="534">
        <v>663.8</v>
      </c>
      <c r="Y249" s="534"/>
      <c r="Z249" s="222" t="s">
        <v>212</v>
      </c>
      <c r="AA249" s="227">
        <v>8069340</v>
      </c>
      <c r="AB249" s="228">
        <v>39085</v>
      </c>
      <c r="AC249" s="215"/>
    </row>
    <row r="250" spans="1:29" ht="2.25" customHeight="1">
      <c r="A250" s="215"/>
      <c r="B250" s="529" t="s">
        <v>212</v>
      </c>
      <c r="C250" s="529"/>
      <c r="D250" s="219" t="s">
        <v>212</v>
      </c>
      <c r="E250" s="222" t="s">
        <v>212</v>
      </c>
      <c r="F250" s="531" t="s">
        <v>212</v>
      </c>
      <c r="G250" s="531"/>
      <c r="H250" s="222" t="s">
        <v>212</v>
      </c>
      <c r="I250" s="531" t="s">
        <v>212</v>
      </c>
      <c r="J250" s="531"/>
      <c r="K250" s="222" t="s">
        <v>212</v>
      </c>
      <c r="L250" s="222" t="s">
        <v>212</v>
      </c>
      <c r="M250" s="222" t="s">
        <v>212</v>
      </c>
      <c r="N250" s="222" t="s">
        <v>212</v>
      </c>
      <c r="O250" s="222" t="s">
        <v>212</v>
      </c>
      <c r="P250" s="222" t="s">
        <v>212</v>
      </c>
      <c r="Q250" s="222" t="s">
        <v>212</v>
      </c>
      <c r="R250" s="222" t="s">
        <v>212</v>
      </c>
      <c r="S250" s="222" t="s">
        <v>212</v>
      </c>
      <c r="T250" s="531" t="s">
        <v>212</v>
      </c>
      <c r="U250" s="531"/>
      <c r="V250" s="222" t="s">
        <v>212</v>
      </c>
      <c r="W250" s="222" t="s">
        <v>212</v>
      </c>
      <c r="X250" s="531" t="s">
        <v>212</v>
      </c>
      <c r="Y250" s="531"/>
      <c r="Z250" s="222" t="s">
        <v>212</v>
      </c>
      <c r="AA250" s="222" t="s">
        <v>212</v>
      </c>
      <c r="AB250" s="222" t="s">
        <v>212</v>
      </c>
      <c r="AC250" s="215"/>
    </row>
    <row r="251" spans="1:29" ht="13.5" customHeight="1">
      <c r="A251" s="215"/>
      <c r="B251" s="535">
        <v>38835</v>
      </c>
      <c r="C251" s="535"/>
      <c r="D251" s="219" t="s">
        <v>212</v>
      </c>
      <c r="E251" s="229">
        <v>279.3</v>
      </c>
      <c r="F251" s="536">
        <v>24</v>
      </c>
      <c r="G251" s="536"/>
      <c r="H251" s="229">
        <v>354</v>
      </c>
      <c r="I251" s="536">
        <v>24</v>
      </c>
      <c r="J251" s="536"/>
      <c r="K251" s="229">
        <v>0</v>
      </c>
      <c r="L251" s="230">
        <v>0</v>
      </c>
      <c r="M251" s="229">
        <v>0</v>
      </c>
      <c r="N251" s="230">
        <v>0</v>
      </c>
      <c r="O251" s="231">
        <v>633.29999999999995</v>
      </c>
      <c r="P251" s="222" t="s">
        <v>212</v>
      </c>
      <c r="Q251" s="229">
        <v>0</v>
      </c>
      <c r="R251" s="230">
        <v>0</v>
      </c>
      <c r="S251" s="229">
        <v>0</v>
      </c>
      <c r="T251" s="536">
        <v>0</v>
      </c>
      <c r="U251" s="536"/>
      <c r="V251" s="229">
        <v>0</v>
      </c>
      <c r="W251" s="222" t="s">
        <v>212</v>
      </c>
      <c r="X251" s="530">
        <v>633.29999999999995</v>
      </c>
      <c r="Y251" s="530"/>
      <c r="Z251" s="222" t="s">
        <v>212</v>
      </c>
      <c r="AA251" s="232">
        <v>8305100</v>
      </c>
      <c r="AB251" s="233">
        <v>0</v>
      </c>
      <c r="AC251" s="215"/>
    </row>
    <row r="252" spans="1:29" ht="2.25" customHeight="1">
      <c r="A252" s="215"/>
      <c r="B252" s="529" t="s">
        <v>212</v>
      </c>
      <c r="C252" s="529"/>
      <c r="D252" s="219" t="s">
        <v>212</v>
      </c>
      <c r="E252" s="222" t="s">
        <v>212</v>
      </c>
      <c r="F252" s="531" t="s">
        <v>212</v>
      </c>
      <c r="G252" s="531"/>
      <c r="H252" s="222" t="s">
        <v>212</v>
      </c>
      <c r="I252" s="531" t="s">
        <v>212</v>
      </c>
      <c r="J252" s="531"/>
      <c r="K252" s="222" t="s">
        <v>212</v>
      </c>
      <c r="L252" s="222" t="s">
        <v>212</v>
      </c>
      <c r="M252" s="222" t="s">
        <v>212</v>
      </c>
      <c r="N252" s="222" t="s">
        <v>212</v>
      </c>
      <c r="O252" s="222" t="s">
        <v>212</v>
      </c>
      <c r="P252" s="222" t="s">
        <v>212</v>
      </c>
      <c r="Q252" s="222" t="s">
        <v>212</v>
      </c>
      <c r="R252" s="222" t="s">
        <v>212</v>
      </c>
      <c r="S252" s="222" t="s">
        <v>212</v>
      </c>
      <c r="T252" s="531" t="s">
        <v>212</v>
      </c>
      <c r="U252" s="531"/>
      <c r="V252" s="222" t="s">
        <v>212</v>
      </c>
      <c r="W252" s="222" t="s">
        <v>212</v>
      </c>
      <c r="X252" s="531" t="s">
        <v>212</v>
      </c>
      <c r="Y252" s="531"/>
      <c r="Z252" s="222" t="s">
        <v>212</v>
      </c>
      <c r="AA252" s="222" t="s">
        <v>212</v>
      </c>
      <c r="AB252" s="222" t="s">
        <v>212</v>
      </c>
      <c r="AC252" s="215"/>
    </row>
    <row r="253" spans="1:29" ht="13.5" customHeight="1">
      <c r="A253" s="215"/>
      <c r="B253" s="532">
        <v>38836</v>
      </c>
      <c r="C253" s="532"/>
      <c r="D253" s="219" t="s">
        <v>212</v>
      </c>
      <c r="E253" s="224">
        <v>242.6</v>
      </c>
      <c r="F253" s="533">
        <v>24</v>
      </c>
      <c r="G253" s="533"/>
      <c r="H253" s="224">
        <v>306.3</v>
      </c>
      <c r="I253" s="533">
        <v>24</v>
      </c>
      <c r="J253" s="533"/>
      <c r="K253" s="224">
        <v>64.099999999999994</v>
      </c>
      <c r="L253" s="225">
        <v>8</v>
      </c>
      <c r="M253" s="224">
        <v>0</v>
      </c>
      <c r="N253" s="225">
        <v>0</v>
      </c>
      <c r="O253" s="226">
        <v>613</v>
      </c>
      <c r="P253" s="222" t="s">
        <v>212</v>
      </c>
      <c r="Q253" s="224">
        <v>0</v>
      </c>
      <c r="R253" s="225">
        <v>0</v>
      </c>
      <c r="S253" s="224">
        <v>0</v>
      </c>
      <c r="T253" s="533">
        <v>0</v>
      </c>
      <c r="U253" s="533"/>
      <c r="V253" s="224">
        <v>0</v>
      </c>
      <c r="W253" s="222" t="s">
        <v>212</v>
      </c>
      <c r="X253" s="534">
        <v>613</v>
      </c>
      <c r="Y253" s="534"/>
      <c r="Z253" s="222" t="s">
        <v>212</v>
      </c>
      <c r="AA253" s="227">
        <v>7550936</v>
      </c>
      <c r="AB253" s="228">
        <v>37463</v>
      </c>
      <c r="AC253" s="215"/>
    </row>
    <row r="254" spans="1:29" ht="2.25" customHeight="1">
      <c r="A254" s="215"/>
      <c r="B254" s="529" t="s">
        <v>212</v>
      </c>
      <c r="C254" s="529"/>
      <c r="D254" s="219" t="s">
        <v>212</v>
      </c>
      <c r="E254" s="222" t="s">
        <v>212</v>
      </c>
      <c r="F254" s="531" t="s">
        <v>212</v>
      </c>
      <c r="G254" s="531"/>
      <c r="H254" s="222" t="s">
        <v>212</v>
      </c>
      <c r="I254" s="531" t="s">
        <v>212</v>
      </c>
      <c r="J254" s="531"/>
      <c r="K254" s="222" t="s">
        <v>212</v>
      </c>
      <c r="L254" s="222" t="s">
        <v>212</v>
      </c>
      <c r="M254" s="222" t="s">
        <v>212</v>
      </c>
      <c r="N254" s="222" t="s">
        <v>212</v>
      </c>
      <c r="O254" s="222" t="s">
        <v>212</v>
      </c>
      <c r="P254" s="222" t="s">
        <v>212</v>
      </c>
      <c r="Q254" s="222" t="s">
        <v>212</v>
      </c>
      <c r="R254" s="222" t="s">
        <v>212</v>
      </c>
      <c r="S254" s="222" t="s">
        <v>212</v>
      </c>
      <c r="T254" s="531" t="s">
        <v>212</v>
      </c>
      <c r="U254" s="531"/>
      <c r="V254" s="222" t="s">
        <v>212</v>
      </c>
      <c r="W254" s="222" t="s">
        <v>212</v>
      </c>
      <c r="X254" s="531" t="s">
        <v>212</v>
      </c>
      <c r="Y254" s="531"/>
      <c r="Z254" s="222" t="s">
        <v>212</v>
      </c>
      <c r="AA254" s="222" t="s">
        <v>212</v>
      </c>
      <c r="AB254" s="222" t="s">
        <v>212</v>
      </c>
      <c r="AC254" s="215"/>
    </row>
    <row r="255" spans="1:29" ht="13.5" customHeight="1">
      <c r="A255" s="215"/>
      <c r="B255" s="535">
        <v>38837</v>
      </c>
      <c r="C255" s="535"/>
      <c r="D255" s="219" t="s">
        <v>212</v>
      </c>
      <c r="E255" s="229">
        <v>272.5</v>
      </c>
      <c r="F255" s="536">
        <v>24</v>
      </c>
      <c r="G255" s="536"/>
      <c r="H255" s="229">
        <v>330.9</v>
      </c>
      <c r="I255" s="536">
        <v>24</v>
      </c>
      <c r="J255" s="536"/>
      <c r="K255" s="229">
        <v>46.9</v>
      </c>
      <c r="L255" s="230">
        <v>6</v>
      </c>
      <c r="M255" s="229">
        <v>0</v>
      </c>
      <c r="N255" s="230">
        <v>0</v>
      </c>
      <c r="O255" s="231">
        <v>650.29999999999995</v>
      </c>
      <c r="P255" s="222" t="s">
        <v>212</v>
      </c>
      <c r="Q255" s="229">
        <v>0</v>
      </c>
      <c r="R255" s="230">
        <v>0</v>
      </c>
      <c r="S255" s="229">
        <v>0</v>
      </c>
      <c r="T255" s="536">
        <v>0</v>
      </c>
      <c r="U255" s="536"/>
      <c r="V255" s="229">
        <v>0</v>
      </c>
      <c r="W255" s="222" t="s">
        <v>212</v>
      </c>
      <c r="X255" s="530">
        <v>650.29999999999995</v>
      </c>
      <c r="Y255" s="530"/>
      <c r="Z255" s="222" t="s">
        <v>212</v>
      </c>
      <c r="AA255" s="232">
        <v>8006100</v>
      </c>
      <c r="AB255" s="233">
        <v>30473</v>
      </c>
      <c r="AC255" s="215"/>
    </row>
    <row r="256" spans="1:29" ht="2.25" customHeight="1">
      <c r="A256" s="215"/>
      <c r="B256" s="529" t="s">
        <v>212</v>
      </c>
      <c r="C256" s="529"/>
      <c r="D256" s="219" t="s">
        <v>212</v>
      </c>
      <c r="E256" s="222" t="s">
        <v>212</v>
      </c>
      <c r="F256" s="531" t="s">
        <v>212</v>
      </c>
      <c r="G256" s="531"/>
      <c r="H256" s="222" t="s">
        <v>212</v>
      </c>
      <c r="I256" s="531" t="s">
        <v>212</v>
      </c>
      <c r="J256" s="531"/>
      <c r="K256" s="222" t="s">
        <v>212</v>
      </c>
      <c r="L256" s="222" t="s">
        <v>212</v>
      </c>
      <c r="M256" s="222" t="s">
        <v>212</v>
      </c>
      <c r="N256" s="222" t="s">
        <v>212</v>
      </c>
      <c r="O256" s="222" t="s">
        <v>212</v>
      </c>
      <c r="P256" s="222" t="s">
        <v>212</v>
      </c>
      <c r="Q256" s="222" t="s">
        <v>212</v>
      </c>
      <c r="R256" s="222" t="s">
        <v>212</v>
      </c>
      <c r="S256" s="222" t="s">
        <v>212</v>
      </c>
      <c r="T256" s="531" t="s">
        <v>212</v>
      </c>
      <c r="U256" s="531"/>
      <c r="V256" s="222" t="s">
        <v>212</v>
      </c>
      <c r="W256" s="222" t="s">
        <v>212</v>
      </c>
      <c r="X256" s="531" t="s">
        <v>212</v>
      </c>
      <c r="Y256" s="531"/>
      <c r="Z256" s="222" t="s">
        <v>212</v>
      </c>
      <c r="AA256" s="222" t="s">
        <v>212</v>
      </c>
      <c r="AB256" s="222" t="s">
        <v>212</v>
      </c>
      <c r="AC256" s="215"/>
    </row>
    <row r="257" spans="1:29" ht="13.5" customHeight="1">
      <c r="A257" s="215"/>
      <c r="B257" s="532">
        <v>38838</v>
      </c>
      <c r="C257" s="532"/>
      <c r="D257" s="219" t="s">
        <v>212</v>
      </c>
      <c r="E257" s="224">
        <v>293.39999999999998</v>
      </c>
      <c r="F257" s="533">
        <v>24</v>
      </c>
      <c r="G257" s="533"/>
      <c r="H257" s="224">
        <v>383</v>
      </c>
      <c r="I257" s="533">
        <v>24</v>
      </c>
      <c r="J257" s="533"/>
      <c r="K257" s="224">
        <v>0</v>
      </c>
      <c r="L257" s="225">
        <v>0</v>
      </c>
      <c r="M257" s="224">
        <v>0</v>
      </c>
      <c r="N257" s="225">
        <v>0</v>
      </c>
      <c r="O257" s="226">
        <v>676.4</v>
      </c>
      <c r="P257" s="222" t="s">
        <v>212</v>
      </c>
      <c r="Q257" s="224">
        <v>0</v>
      </c>
      <c r="R257" s="225">
        <v>0</v>
      </c>
      <c r="S257" s="224">
        <v>0</v>
      </c>
      <c r="T257" s="533">
        <v>0</v>
      </c>
      <c r="U257" s="533"/>
      <c r="V257" s="224">
        <v>0</v>
      </c>
      <c r="W257" s="222" t="s">
        <v>212</v>
      </c>
      <c r="X257" s="534">
        <v>676.4</v>
      </c>
      <c r="Y257" s="534"/>
      <c r="Z257" s="222" t="s">
        <v>212</v>
      </c>
      <c r="AA257" s="227">
        <v>8556500</v>
      </c>
      <c r="AB257" s="228">
        <v>0</v>
      </c>
      <c r="AC257" s="215"/>
    </row>
    <row r="258" spans="1:29" ht="2.25" customHeight="1">
      <c r="A258" s="215"/>
      <c r="B258" s="529" t="s">
        <v>212</v>
      </c>
      <c r="C258" s="529"/>
      <c r="D258" s="219" t="s">
        <v>212</v>
      </c>
      <c r="E258" s="222" t="s">
        <v>212</v>
      </c>
      <c r="F258" s="531" t="s">
        <v>212</v>
      </c>
      <c r="G258" s="531"/>
      <c r="H258" s="222" t="s">
        <v>212</v>
      </c>
      <c r="I258" s="531" t="s">
        <v>212</v>
      </c>
      <c r="J258" s="531"/>
      <c r="K258" s="222" t="s">
        <v>212</v>
      </c>
      <c r="L258" s="222" t="s">
        <v>212</v>
      </c>
      <c r="M258" s="222" t="s">
        <v>212</v>
      </c>
      <c r="N258" s="222" t="s">
        <v>212</v>
      </c>
      <c r="O258" s="222" t="s">
        <v>212</v>
      </c>
      <c r="P258" s="222" t="s">
        <v>212</v>
      </c>
      <c r="Q258" s="222" t="s">
        <v>212</v>
      </c>
      <c r="R258" s="222" t="s">
        <v>212</v>
      </c>
      <c r="S258" s="222" t="s">
        <v>212</v>
      </c>
      <c r="T258" s="531" t="s">
        <v>212</v>
      </c>
      <c r="U258" s="531"/>
      <c r="V258" s="222" t="s">
        <v>212</v>
      </c>
      <c r="W258" s="222" t="s">
        <v>212</v>
      </c>
      <c r="X258" s="531" t="s">
        <v>212</v>
      </c>
      <c r="Y258" s="531"/>
      <c r="Z258" s="222" t="s">
        <v>212</v>
      </c>
      <c r="AA258" s="222" t="s">
        <v>212</v>
      </c>
      <c r="AB258" s="222" t="s">
        <v>212</v>
      </c>
      <c r="AC258" s="215"/>
    </row>
    <row r="259" spans="1:29" ht="13.5" customHeight="1">
      <c r="A259" s="215"/>
      <c r="B259" s="535">
        <v>38839</v>
      </c>
      <c r="C259" s="535"/>
      <c r="D259" s="219" t="s">
        <v>212</v>
      </c>
      <c r="E259" s="229">
        <v>271.2</v>
      </c>
      <c r="F259" s="536">
        <v>24</v>
      </c>
      <c r="G259" s="536"/>
      <c r="H259" s="229">
        <v>369</v>
      </c>
      <c r="I259" s="536">
        <v>24</v>
      </c>
      <c r="J259" s="536"/>
      <c r="K259" s="229">
        <v>0</v>
      </c>
      <c r="L259" s="230">
        <v>0</v>
      </c>
      <c r="M259" s="229">
        <v>0</v>
      </c>
      <c r="N259" s="230">
        <v>0</v>
      </c>
      <c r="O259" s="231">
        <v>640.20000000000005</v>
      </c>
      <c r="P259" s="222" t="s">
        <v>212</v>
      </c>
      <c r="Q259" s="229">
        <v>0</v>
      </c>
      <c r="R259" s="230">
        <v>0</v>
      </c>
      <c r="S259" s="229">
        <v>0</v>
      </c>
      <c r="T259" s="536">
        <v>0</v>
      </c>
      <c r="U259" s="536"/>
      <c r="V259" s="229">
        <v>0</v>
      </c>
      <c r="W259" s="222" t="s">
        <v>212</v>
      </c>
      <c r="X259" s="530">
        <v>640.20000000000005</v>
      </c>
      <c r="Y259" s="530"/>
      <c r="Z259" s="222" t="s">
        <v>212</v>
      </c>
      <c r="AA259" s="232">
        <v>8250200</v>
      </c>
      <c r="AB259" s="233">
        <v>0</v>
      </c>
      <c r="AC259" s="215"/>
    </row>
    <row r="260" spans="1:29" ht="2.25" customHeight="1">
      <c r="A260" s="215"/>
      <c r="B260" s="529" t="s">
        <v>212</v>
      </c>
      <c r="C260" s="529"/>
      <c r="D260" s="219" t="s">
        <v>212</v>
      </c>
      <c r="E260" s="222" t="s">
        <v>212</v>
      </c>
      <c r="F260" s="531" t="s">
        <v>212</v>
      </c>
      <c r="G260" s="531"/>
      <c r="H260" s="222" t="s">
        <v>212</v>
      </c>
      <c r="I260" s="531" t="s">
        <v>212</v>
      </c>
      <c r="J260" s="531"/>
      <c r="K260" s="222" t="s">
        <v>212</v>
      </c>
      <c r="L260" s="222" t="s">
        <v>212</v>
      </c>
      <c r="M260" s="222" t="s">
        <v>212</v>
      </c>
      <c r="N260" s="222" t="s">
        <v>212</v>
      </c>
      <c r="O260" s="222" t="s">
        <v>212</v>
      </c>
      <c r="P260" s="222" t="s">
        <v>212</v>
      </c>
      <c r="Q260" s="222" t="s">
        <v>212</v>
      </c>
      <c r="R260" s="222" t="s">
        <v>212</v>
      </c>
      <c r="S260" s="222" t="s">
        <v>212</v>
      </c>
      <c r="T260" s="531" t="s">
        <v>212</v>
      </c>
      <c r="U260" s="531"/>
      <c r="V260" s="222" t="s">
        <v>212</v>
      </c>
      <c r="W260" s="222" t="s">
        <v>212</v>
      </c>
      <c r="X260" s="531" t="s">
        <v>212</v>
      </c>
      <c r="Y260" s="531"/>
      <c r="Z260" s="222" t="s">
        <v>212</v>
      </c>
      <c r="AA260" s="222" t="s">
        <v>212</v>
      </c>
      <c r="AB260" s="222" t="s">
        <v>212</v>
      </c>
      <c r="AC260" s="215"/>
    </row>
    <row r="261" spans="1:29" ht="13.5" customHeight="1">
      <c r="A261" s="215"/>
      <c r="B261" s="532">
        <v>38840</v>
      </c>
      <c r="C261" s="532"/>
      <c r="D261" s="219" t="s">
        <v>212</v>
      </c>
      <c r="E261" s="224">
        <v>253.8</v>
      </c>
      <c r="F261" s="533">
        <v>24</v>
      </c>
      <c r="G261" s="533"/>
      <c r="H261" s="224">
        <v>333.6</v>
      </c>
      <c r="I261" s="533">
        <v>24</v>
      </c>
      <c r="J261" s="533"/>
      <c r="K261" s="224">
        <v>0</v>
      </c>
      <c r="L261" s="225">
        <v>0</v>
      </c>
      <c r="M261" s="224">
        <v>0</v>
      </c>
      <c r="N261" s="225">
        <v>0</v>
      </c>
      <c r="O261" s="226">
        <v>587.4</v>
      </c>
      <c r="P261" s="222" t="s">
        <v>212</v>
      </c>
      <c r="Q261" s="224">
        <v>0</v>
      </c>
      <c r="R261" s="225">
        <v>0</v>
      </c>
      <c r="S261" s="224">
        <v>0</v>
      </c>
      <c r="T261" s="533">
        <v>0</v>
      </c>
      <c r="U261" s="533"/>
      <c r="V261" s="224">
        <v>0</v>
      </c>
      <c r="W261" s="222" t="s">
        <v>212</v>
      </c>
      <c r="X261" s="534">
        <v>587.4</v>
      </c>
      <c r="Y261" s="534"/>
      <c r="Z261" s="222" t="s">
        <v>212</v>
      </c>
      <c r="AA261" s="227">
        <v>7903900</v>
      </c>
      <c r="AB261" s="228">
        <v>777</v>
      </c>
      <c r="AC261" s="215"/>
    </row>
    <row r="262" spans="1:29" ht="2.25" customHeight="1">
      <c r="A262" s="215"/>
      <c r="B262" s="529" t="s">
        <v>212</v>
      </c>
      <c r="C262" s="529"/>
      <c r="D262" s="219" t="s">
        <v>212</v>
      </c>
      <c r="E262" s="222" t="s">
        <v>212</v>
      </c>
      <c r="F262" s="531" t="s">
        <v>212</v>
      </c>
      <c r="G262" s="531"/>
      <c r="H262" s="222" t="s">
        <v>212</v>
      </c>
      <c r="I262" s="531" t="s">
        <v>212</v>
      </c>
      <c r="J262" s="531"/>
      <c r="K262" s="222" t="s">
        <v>212</v>
      </c>
      <c r="L262" s="222" t="s">
        <v>212</v>
      </c>
      <c r="M262" s="222" t="s">
        <v>212</v>
      </c>
      <c r="N262" s="222" t="s">
        <v>212</v>
      </c>
      <c r="O262" s="222" t="s">
        <v>212</v>
      </c>
      <c r="P262" s="222" t="s">
        <v>212</v>
      </c>
      <c r="Q262" s="222" t="s">
        <v>212</v>
      </c>
      <c r="R262" s="222" t="s">
        <v>212</v>
      </c>
      <c r="S262" s="222" t="s">
        <v>212</v>
      </c>
      <c r="T262" s="531" t="s">
        <v>212</v>
      </c>
      <c r="U262" s="531"/>
      <c r="V262" s="222" t="s">
        <v>212</v>
      </c>
      <c r="W262" s="222" t="s">
        <v>212</v>
      </c>
      <c r="X262" s="531" t="s">
        <v>212</v>
      </c>
      <c r="Y262" s="531"/>
      <c r="Z262" s="222" t="s">
        <v>212</v>
      </c>
      <c r="AA262" s="222" t="s">
        <v>212</v>
      </c>
      <c r="AB262" s="222" t="s">
        <v>212</v>
      </c>
      <c r="AC262" s="215"/>
    </row>
    <row r="263" spans="1:29" ht="13.5" customHeight="1">
      <c r="A263" s="215"/>
      <c r="B263" s="535">
        <v>38841</v>
      </c>
      <c r="C263" s="535"/>
      <c r="D263" s="219" t="s">
        <v>212</v>
      </c>
      <c r="E263" s="229">
        <v>235.7</v>
      </c>
      <c r="F263" s="536">
        <v>24</v>
      </c>
      <c r="G263" s="536"/>
      <c r="H263" s="229">
        <v>291</v>
      </c>
      <c r="I263" s="536">
        <v>24</v>
      </c>
      <c r="J263" s="536"/>
      <c r="K263" s="229">
        <v>0</v>
      </c>
      <c r="L263" s="230">
        <v>0</v>
      </c>
      <c r="M263" s="229">
        <v>0</v>
      </c>
      <c r="N263" s="230">
        <v>0</v>
      </c>
      <c r="O263" s="231">
        <v>526.70000000000005</v>
      </c>
      <c r="P263" s="222" t="s">
        <v>212</v>
      </c>
      <c r="Q263" s="229">
        <v>0</v>
      </c>
      <c r="R263" s="230">
        <v>0</v>
      </c>
      <c r="S263" s="229">
        <v>0</v>
      </c>
      <c r="T263" s="536">
        <v>0</v>
      </c>
      <c r="U263" s="536"/>
      <c r="V263" s="229">
        <v>0</v>
      </c>
      <c r="W263" s="222" t="s">
        <v>212</v>
      </c>
      <c r="X263" s="530">
        <v>526.70000000000005</v>
      </c>
      <c r="Y263" s="530"/>
      <c r="Z263" s="222" t="s">
        <v>212</v>
      </c>
      <c r="AA263" s="232">
        <v>7409800</v>
      </c>
      <c r="AB263" s="233">
        <v>0</v>
      </c>
      <c r="AC263" s="215"/>
    </row>
    <row r="264" spans="1:29" ht="2.25" customHeight="1">
      <c r="A264" s="215"/>
      <c r="B264" s="529" t="s">
        <v>212</v>
      </c>
      <c r="C264" s="529"/>
      <c r="D264" s="219" t="s">
        <v>212</v>
      </c>
      <c r="E264" s="222" t="s">
        <v>212</v>
      </c>
      <c r="F264" s="531" t="s">
        <v>212</v>
      </c>
      <c r="G264" s="531"/>
      <c r="H264" s="222" t="s">
        <v>212</v>
      </c>
      <c r="I264" s="531" t="s">
        <v>212</v>
      </c>
      <c r="J264" s="531"/>
      <c r="K264" s="222" t="s">
        <v>212</v>
      </c>
      <c r="L264" s="222" t="s">
        <v>212</v>
      </c>
      <c r="M264" s="222" t="s">
        <v>212</v>
      </c>
      <c r="N264" s="222" t="s">
        <v>212</v>
      </c>
      <c r="O264" s="222" t="s">
        <v>212</v>
      </c>
      <c r="P264" s="222" t="s">
        <v>212</v>
      </c>
      <c r="Q264" s="222" t="s">
        <v>212</v>
      </c>
      <c r="R264" s="222" t="s">
        <v>212</v>
      </c>
      <c r="S264" s="222" t="s">
        <v>212</v>
      </c>
      <c r="T264" s="531" t="s">
        <v>212</v>
      </c>
      <c r="U264" s="531"/>
      <c r="V264" s="222" t="s">
        <v>212</v>
      </c>
      <c r="W264" s="222" t="s">
        <v>212</v>
      </c>
      <c r="X264" s="531" t="s">
        <v>212</v>
      </c>
      <c r="Y264" s="531"/>
      <c r="Z264" s="222" t="s">
        <v>212</v>
      </c>
      <c r="AA264" s="222" t="s">
        <v>212</v>
      </c>
      <c r="AB264" s="222" t="s">
        <v>212</v>
      </c>
      <c r="AC264" s="215"/>
    </row>
    <row r="265" spans="1:29" ht="13.5" customHeight="1">
      <c r="A265" s="215"/>
      <c r="B265" s="532">
        <v>38842</v>
      </c>
      <c r="C265" s="532"/>
      <c r="D265" s="219" t="s">
        <v>212</v>
      </c>
      <c r="E265" s="224">
        <v>247.8</v>
      </c>
      <c r="F265" s="533">
        <v>24</v>
      </c>
      <c r="G265" s="533"/>
      <c r="H265" s="224">
        <v>290.8</v>
      </c>
      <c r="I265" s="533">
        <v>24</v>
      </c>
      <c r="J265" s="533"/>
      <c r="K265" s="224">
        <v>0</v>
      </c>
      <c r="L265" s="225">
        <v>0</v>
      </c>
      <c r="M265" s="224">
        <v>0</v>
      </c>
      <c r="N265" s="225">
        <v>0</v>
      </c>
      <c r="O265" s="226">
        <v>538.6</v>
      </c>
      <c r="P265" s="222" t="s">
        <v>212</v>
      </c>
      <c r="Q265" s="224">
        <v>0</v>
      </c>
      <c r="R265" s="225">
        <v>0</v>
      </c>
      <c r="S265" s="224">
        <v>0</v>
      </c>
      <c r="T265" s="533">
        <v>0</v>
      </c>
      <c r="U265" s="533"/>
      <c r="V265" s="224">
        <v>0</v>
      </c>
      <c r="W265" s="222" t="s">
        <v>212</v>
      </c>
      <c r="X265" s="534">
        <v>538.6</v>
      </c>
      <c r="Y265" s="534"/>
      <c r="Z265" s="222" t="s">
        <v>212</v>
      </c>
      <c r="AA265" s="227">
        <v>7468000</v>
      </c>
      <c r="AB265" s="228">
        <v>392</v>
      </c>
      <c r="AC265" s="215"/>
    </row>
    <row r="266" spans="1:29" ht="2.25" customHeight="1">
      <c r="A266" s="215"/>
      <c r="B266" s="529" t="s">
        <v>212</v>
      </c>
      <c r="C266" s="529"/>
      <c r="D266" s="219" t="s">
        <v>212</v>
      </c>
      <c r="E266" s="222" t="s">
        <v>212</v>
      </c>
      <c r="F266" s="531" t="s">
        <v>212</v>
      </c>
      <c r="G266" s="531"/>
      <c r="H266" s="222" t="s">
        <v>212</v>
      </c>
      <c r="I266" s="531" t="s">
        <v>212</v>
      </c>
      <c r="J266" s="531"/>
      <c r="K266" s="222" t="s">
        <v>212</v>
      </c>
      <c r="L266" s="222" t="s">
        <v>212</v>
      </c>
      <c r="M266" s="222" t="s">
        <v>212</v>
      </c>
      <c r="N266" s="222" t="s">
        <v>212</v>
      </c>
      <c r="O266" s="222" t="s">
        <v>212</v>
      </c>
      <c r="P266" s="222" t="s">
        <v>212</v>
      </c>
      <c r="Q266" s="222" t="s">
        <v>212</v>
      </c>
      <c r="R266" s="222" t="s">
        <v>212</v>
      </c>
      <c r="S266" s="222" t="s">
        <v>212</v>
      </c>
      <c r="T266" s="531" t="s">
        <v>212</v>
      </c>
      <c r="U266" s="531"/>
      <c r="V266" s="222" t="s">
        <v>212</v>
      </c>
      <c r="W266" s="222" t="s">
        <v>212</v>
      </c>
      <c r="X266" s="531" t="s">
        <v>212</v>
      </c>
      <c r="Y266" s="531"/>
      <c r="Z266" s="222" t="s">
        <v>212</v>
      </c>
      <c r="AA266" s="222" t="s">
        <v>212</v>
      </c>
      <c r="AB266" s="222" t="s">
        <v>212</v>
      </c>
      <c r="AC266" s="215"/>
    </row>
    <row r="267" spans="1:29" ht="13.5" customHeight="1">
      <c r="A267" s="215"/>
      <c r="B267" s="535">
        <v>38843</v>
      </c>
      <c r="C267" s="535"/>
      <c r="D267" s="219" t="s">
        <v>212</v>
      </c>
      <c r="E267" s="229">
        <v>254.6</v>
      </c>
      <c r="F267" s="536">
        <v>24</v>
      </c>
      <c r="G267" s="536"/>
      <c r="H267" s="229">
        <v>303.39999999999998</v>
      </c>
      <c r="I267" s="536">
        <v>24</v>
      </c>
      <c r="J267" s="536"/>
      <c r="K267" s="229">
        <v>0</v>
      </c>
      <c r="L267" s="230">
        <v>0</v>
      </c>
      <c r="M267" s="229">
        <v>0</v>
      </c>
      <c r="N267" s="230">
        <v>0</v>
      </c>
      <c r="O267" s="231">
        <v>558</v>
      </c>
      <c r="P267" s="222" t="s">
        <v>212</v>
      </c>
      <c r="Q267" s="229">
        <v>0</v>
      </c>
      <c r="R267" s="230">
        <v>0</v>
      </c>
      <c r="S267" s="229">
        <v>0</v>
      </c>
      <c r="T267" s="536">
        <v>0</v>
      </c>
      <c r="U267" s="536"/>
      <c r="V267" s="229">
        <v>0</v>
      </c>
      <c r="W267" s="222" t="s">
        <v>212</v>
      </c>
      <c r="X267" s="530">
        <v>558</v>
      </c>
      <c r="Y267" s="530"/>
      <c r="Z267" s="222" t="s">
        <v>212</v>
      </c>
      <c r="AA267" s="232">
        <v>7683000</v>
      </c>
      <c r="AB267" s="233">
        <v>0</v>
      </c>
      <c r="AC267" s="215"/>
    </row>
    <row r="268" spans="1:29" ht="2.25" customHeight="1">
      <c r="A268" s="215"/>
      <c r="B268" s="529" t="s">
        <v>212</v>
      </c>
      <c r="C268" s="529"/>
      <c r="D268" s="219" t="s">
        <v>212</v>
      </c>
      <c r="E268" s="222" t="s">
        <v>212</v>
      </c>
      <c r="F268" s="531" t="s">
        <v>212</v>
      </c>
      <c r="G268" s="531"/>
      <c r="H268" s="222" t="s">
        <v>212</v>
      </c>
      <c r="I268" s="531" t="s">
        <v>212</v>
      </c>
      <c r="J268" s="531"/>
      <c r="K268" s="222" t="s">
        <v>212</v>
      </c>
      <c r="L268" s="222" t="s">
        <v>212</v>
      </c>
      <c r="M268" s="222" t="s">
        <v>212</v>
      </c>
      <c r="N268" s="222" t="s">
        <v>212</v>
      </c>
      <c r="O268" s="222" t="s">
        <v>212</v>
      </c>
      <c r="P268" s="222" t="s">
        <v>212</v>
      </c>
      <c r="Q268" s="222" t="s">
        <v>212</v>
      </c>
      <c r="R268" s="222" t="s">
        <v>212</v>
      </c>
      <c r="S268" s="222" t="s">
        <v>212</v>
      </c>
      <c r="T268" s="531" t="s">
        <v>212</v>
      </c>
      <c r="U268" s="531"/>
      <c r="V268" s="222" t="s">
        <v>212</v>
      </c>
      <c r="W268" s="222" t="s">
        <v>212</v>
      </c>
      <c r="X268" s="531" t="s">
        <v>212</v>
      </c>
      <c r="Y268" s="531"/>
      <c r="Z268" s="222" t="s">
        <v>212</v>
      </c>
      <c r="AA268" s="222" t="s">
        <v>212</v>
      </c>
      <c r="AB268" s="222" t="s">
        <v>212</v>
      </c>
      <c r="AC268" s="215"/>
    </row>
    <row r="269" spans="1:29" ht="13.5" customHeight="1">
      <c r="A269" s="215"/>
      <c r="B269" s="532">
        <v>38844</v>
      </c>
      <c r="C269" s="532"/>
      <c r="D269" s="219" t="s">
        <v>212</v>
      </c>
      <c r="E269" s="224">
        <v>251.7</v>
      </c>
      <c r="F269" s="533">
        <v>24</v>
      </c>
      <c r="G269" s="533"/>
      <c r="H269" s="224">
        <v>313.60000000000002</v>
      </c>
      <c r="I269" s="533">
        <v>24</v>
      </c>
      <c r="J269" s="533"/>
      <c r="K269" s="224">
        <v>0</v>
      </c>
      <c r="L269" s="225">
        <v>0</v>
      </c>
      <c r="M269" s="224">
        <v>0</v>
      </c>
      <c r="N269" s="225">
        <v>0</v>
      </c>
      <c r="O269" s="226">
        <v>565.29999999999995</v>
      </c>
      <c r="P269" s="222" t="s">
        <v>212</v>
      </c>
      <c r="Q269" s="224">
        <v>0</v>
      </c>
      <c r="R269" s="225">
        <v>0</v>
      </c>
      <c r="S269" s="224">
        <v>0</v>
      </c>
      <c r="T269" s="533">
        <v>0</v>
      </c>
      <c r="U269" s="533"/>
      <c r="V269" s="224">
        <v>0</v>
      </c>
      <c r="W269" s="222" t="s">
        <v>212</v>
      </c>
      <c r="X269" s="534">
        <v>565.29999999999995</v>
      </c>
      <c r="Y269" s="534"/>
      <c r="Z269" s="222" t="s">
        <v>212</v>
      </c>
      <c r="AA269" s="227">
        <v>7717000</v>
      </c>
      <c r="AB269" s="228">
        <v>0</v>
      </c>
      <c r="AC269" s="215"/>
    </row>
    <row r="270" spans="1:29" ht="2.25" customHeight="1">
      <c r="A270" s="215"/>
      <c r="B270" s="529" t="s">
        <v>212</v>
      </c>
      <c r="C270" s="529"/>
      <c r="D270" s="219" t="s">
        <v>212</v>
      </c>
      <c r="E270" s="222" t="s">
        <v>212</v>
      </c>
      <c r="F270" s="531" t="s">
        <v>212</v>
      </c>
      <c r="G270" s="531"/>
      <c r="H270" s="222" t="s">
        <v>212</v>
      </c>
      <c r="I270" s="531" t="s">
        <v>212</v>
      </c>
      <c r="J270" s="531"/>
      <c r="K270" s="222" t="s">
        <v>212</v>
      </c>
      <c r="L270" s="222" t="s">
        <v>212</v>
      </c>
      <c r="M270" s="222" t="s">
        <v>212</v>
      </c>
      <c r="N270" s="222" t="s">
        <v>212</v>
      </c>
      <c r="O270" s="222" t="s">
        <v>212</v>
      </c>
      <c r="P270" s="222" t="s">
        <v>212</v>
      </c>
      <c r="Q270" s="222" t="s">
        <v>212</v>
      </c>
      <c r="R270" s="222" t="s">
        <v>212</v>
      </c>
      <c r="S270" s="222" t="s">
        <v>212</v>
      </c>
      <c r="T270" s="531" t="s">
        <v>212</v>
      </c>
      <c r="U270" s="531"/>
      <c r="V270" s="222" t="s">
        <v>212</v>
      </c>
      <c r="W270" s="222" t="s">
        <v>212</v>
      </c>
      <c r="X270" s="531" t="s">
        <v>212</v>
      </c>
      <c r="Y270" s="531"/>
      <c r="Z270" s="222" t="s">
        <v>212</v>
      </c>
      <c r="AA270" s="222" t="s">
        <v>212</v>
      </c>
      <c r="AB270" s="222" t="s">
        <v>212</v>
      </c>
      <c r="AC270" s="215"/>
    </row>
    <row r="271" spans="1:29" ht="13.5" customHeight="1">
      <c r="A271" s="215"/>
      <c r="B271" s="535">
        <v>38845</v>
      </c>
      <c r="C271" s="535"/>
      <c r="D271" s="219" t="s">
        <v>212</v>
      </c>
      <c r="E271" s="229">
        <v>234.7</v>
      </c>
      <c r="F271" s="536">
        <v>24</v>
      </c>
      <c r="G271" s="536"/>
      <c r="H271" s="229">
        <v>282.7</v>
      </c>
      <c r="I271" s="536">
        <v>24</v>
      </c>
      <c r="J271" s="536"/>
      <c r="K271" s="229">
        <v>0</v>
      </c>
      <c r="L271" s="230">
        <v>0</v>
      </c>
      <c r="M271" s="229">
        <v>0</v>
      </c>
      <c r="N271" s="230">
        <v>0</v>
      </c>
      <c r="O271" s="231">
        <v>517.4</v>
      </c>
      <c r="P271" s="222" t="s">
        <v>212</v>
      </c>
      <c r="Q271" s="229">
        <v>0</v>
      </c>
      <c r="R271" s="230">
        <v>0</v>
      </c>
      <c r="S271" s="229">
        <v>0</v>
      </c>
      <c r="T271" s="536">
        <v>0</v>
      </c>
      <c r="U271" s="536"/>
      <c r="V271" s="229">
        <v>0</v>
      </c>
      <c r="W271" s="222" t="s">
        <v>212</v>
      </c>
      <c r="X271" s="530">
        <v>517.4</v>
      </c>
      <c r="Y271" s="530"/>
      <c r="Z271" s="222" t="s">
        <v>212</v>
      </c>
      <c r="AA271" s="232">
        <v>7297200</v>
      </c>
      <c r="AB271" s="233">
        <v>0</v>
      </c>
      <c r="AC271" s="215"/>
    </row>
    <row r="272" spans="1:29" ht="2.25" customHeight="1">
      <c r="A272" s="215"/>
      <c r="B272" s="529" t="s">
        <v>212</v>
      </c>
      <c r="C272" s="529"/>
      <c r="D272" s="219" t="s">
        <v>212</v>
      </c>
      <c r="E272" s="222" t="s">
        <v>212</v>
      </c>
      <c r="F272" s="531" t="s">
        <v>212</v>
      </c>
      <c r="G272" s="531"/>
      <c r="H272" s="222" t="s">
        <v>212</v>
      </c>
      <c r="I272" s="531" t="s">
        <v>212</v>
      </c>
      <c r="J272" s="531"/>
      <c r="K272" s="222" t="s">
        <v>212</v>
      </c>
      <c r="L272" s="222" t="s">
        <v>212</v>
      </c>
      <c r="M272" s="222" t="s">
        <v>212</v>
      </c>
      <c r="N272" s="222" t="s">
        <v>212</v>
      </c>
      <c r="O272" s="222" t="s">
        <v>212</v>
      </c>
      <c r="P272" s="222" t="s">
        <v>212</v>
      </c>
      <c r="Q272" s="222" t="s">
        <v>212</v>
      </c>
      <c r="R272" s="222" t="s">
        <v>212</v>
      </c>
      <c r="S272" s="222" t="s">
        <v>212</v>
      </c>
      <c r="T272" s="531" t="s">
        <v>212</v>
      </c>
      <c r="U272" s="531"/>
      <c r="V272" s="222" t="s">
        <v>212</v>
      </c>
      <c r="W272" s="222" t="s">
        <v>212</v>
      </c>
      <c r="X272" s="531" t="s">
        <v>212</v>
      </c>
      <c r="Y272" s="531"/>
      <c r="Z272" s="222" t="s">
        <v>212</v>
      </c>
      <c r="AA272" s="222" t="s">
        <v>212</v>
      </c>
      <c r="AB272" s="222" t="s">
        <v>212</v>
      </c>
      <c r="AC272" s="215"/>
    </row>
    <row r="273" spans="1:29" ht="13.5" customHeight="1">
      <c r="A273" s="215"/>
      <c r="B273" s="532">
        <v>38846</v>
      </c>
      <c r="C273" s="532"/>
      <c r="D273" s="219" t="s">
        <v>212</v>
      </c>
      <c r="E273" s="224">
        <v>122</v>
      </c>
      <c r="F273" s="533">
        <v>14</v>
      </c>
      <c r="G273" s="533"/>
      <c r="H273" s="224">
        <v>288.89999999999998</v>
      </c>
      <c r="I273" s="533">
        <v>24</v>
      </c>
      <c r="J273" s="533"/>
      <c r="K273" s="224">
        <v>84.6</v>
      </c>
      <c r="L273" s="225">
        <v>10</v>
      </c>
      <c r="M273" s="224">
        <v>0</v>
      </c>
      <c r="N273" s="225">
        <v>0</v>
      </c>
      <c r="O273" s="226">
        <v>495.5</v>
      </c>
      <c r="P273" s="222" t="s">
        <v>212</v>
      </c>
      <c r="Q273" s="224">
        <v>0</v>
      </c>
      <c r="R273" s="225">
        <v>0</v>
      </c>
      <c r="S273" s="224">
        <v>0</v>
      </c>
      <c r="T273" s="533">
        <v>0</v>
      </c>
      <c r="U273" s="533"/>
      <c r="V273" s="224">
        <v>0</v>
      </c>
      <c r="W273" s="222" t="s">
        <v>212</v>
      </c>
      <c r="X273" s="534">
        <v>495.5</v>
      </c>
      <c r="Y273" s="534"/>
      <c r="Z273" s="222" t="s">
        <v>212</v>
      </c>
      <c r="AA273" s="227">
        <v>5835500</v>
      </c>
      <c r="AB273" s="228">
        <v>55954</v>
      </c>
      <c r="AC273" s="215"/>
    </row>
    <row r="274" spans="1:29" ht="2.25" customHeight="1">
      <c r="A274" s="215"/>
      <c r="B274" s="529" t="s">
        <v>212</v>
      </c>
      <c r="C274" s="529"/>
      <c r="D274" s="219" t="s">
        <v>212</v>
      </c>
      <c r="E274" s="222" t="s">
        <v>212</v>
      </c>
      <c r="F274" s="531" t="s">
        <v>212</v>
      </c>
      <c r="G274" s="531"/>
      <c r="H274" s="222" t="s">
        <v>212</v>
      </c>
      <c r="I274" s="531" t="s">
        <v>212</v>
      </c>
      <c r="J274" s="531"/>
      <c r="K274" s="222" t="s">
        <v>212</v>
      </c>
      <c r="L274" s="222" t="s">
        <v>212</v>
      </c>
      <c r="M274" s="222" t="s">
        <v>212</v>
      </c>
      <c r="N274" s="222" t="s">
        <v>212</v>
      </c>
      <c r="O274" s="222" t="s">
        <v>212</v>
      </c>
      <c r="P274" s="222" t="s">
        <v>212</v>
      </c>
      <c r="Q274" s="222" t="s">
        <v>212</v>
      </c>
      <c r="R274" s="222" t="s">
        <v>212</v>
      </c>
      <c r="S274" s="222" t="s">
        <v>212</v>
      </c>
      <c r="T274" s="531" t="s">
        <v>212</v>
      </c>
      <c r="U274" s="531"/>
      <c r="V274" s="222" t="s">
        <v>212</v>
      </c>
      <c r="W274" s="222" t="s">
        <v>212</v>
      </c>
      <c r="X274" s="531" t="s">
        <v>212</v>
      </c>
      <c r="Y274" s="531"/>
      <c r="Z274" s="222" t="s">
        <v>212</v>
      </c>
      <c r="AA274" s="222" t="s">
        <v>212</v>
      </c>
      <c r="AB274" s="222" t="s">
        <v>212</v>
      </c>
      <c r="AC274" s="215"/>
    </row>
    <row r="275" spans="1:29" ht="13.5" customHeight="1">
      <c r="A275" s="215"/>
      <c r="B275" s="535">
        <v>38847</v>
      </c>
      <c r="C275" s="535"/>
      <c r="D275" s="219" t="s">
        <v>212</v>
      </c>
      <c r="E275" s="229">
        <v>0</v>
      </c>
      <c r="F275" s="536">
        <v>0</v>
      </c>
      <c r="G275" s="536"/>
      <c r="H275" s="229">
        <v>288.10000000000002</v>
      </c>
      <c r="I275" s="536">
        <v>24</v>
      </c>
      <c r="J275" s="536"/>
      <c r="K275" s="229">
        <v>202.5</v>
      </c>
      <c r="L275" s="230">
        <v>24</v>
      </c>
      <c r="M275" s="229">
        <v>0</v>
      </c>
      <c r="N275" s="230">
        <v>0</v>
      </c>
      <c r="O275" s="231">
        <v>490.6</v>
      </c>
      <c r="P275" s="222" t="s">
        <v>212</v>
      </c>
      <c r="Q275" s="229">
        <v>0</v>
      </c>
      <c r="R275" s="230">
        <v>0</v>
      </c>
      <c r="S275" s="229">
        <v>0</v>
      </c>
      <c r="T275" s="536">
        <v>0</v>
      </c>
      <c r="U275" s="536"/>
      <c r="V275" s="229">
        <v>0</v>
      </c>
      <c r="W275" s="222" t="s">
        <v>212</v>
      </c>
      <c r="X275" s="530">
        <v>490.6</v>
      </c>
      <c r="Y275" s="530"/>
      <c r="Z275" s="222" t="s">
        <v>212</v>
      </c>
      <c r="AA275" s="232">
        <v>3793400</v>
      </c>
      <c r="AB275" s="233">
        <v>122055</v>
      </c>
      <c r="AC275" s="215"/>
    </row>
    <row r="276" spans="1:29" ht="2.25" customHeight="1">
      <c r="A276" s="215"/>
      <c r="B276" s="529" t="s">
        <v>212</v>
      </c>
      <c r="C276" s="529"/>
      <c r="D276" s="219" t="s">
        <v>212</v>
      </c>
      <c r="E276" s="222" t="s">
        <v>212</v>
      </c>
      <c r="F276" s="531" t="s">
        <v>212</v>
      </c>
      <c r="G276" s="531"/>
      <c r="H276" s="222" t="s">
        <v>212</v>
      </c>
      <c r="I276" s="531" t="s">
        <v>212</v>
      </c>
      <c r="J276" s="531"/>
      <c r="K276" s="222" t="s">
        <v>212</v>
      </c>
      <c r="L276" s="222" t="s">
        <v>212</v>
      </c>
      <c r="M276" s="222" t="s">
        <v>212</v>
      </c>
      <c r="N276" s="222" t="s">
        <v>212</v>
      </c>
      <c r="O276" s="222" t="s">
        <v>212</v>
      </c>
      <c r="P276" s="222" t="s">
        <v>212</v>
      </c>
      <c r="Q276" s="222" t="s">
        <v>212</v>
      </c>
      <c r="R276" s="222" t="s">
        <v>212</v>
      </c>
      <c r="S276" s="222" t="s">
        <v>212</v>
      </c>
      <c r="T276" s="531" t="s">
        <v>212</v>
      </c>
      <c r="U276" s="531"/>
      <c r="V276" s="222" t="s">
        <v>212</v>
      </c>
      <c r="W276" s="222" t="s">
        <v>212</v>
      </c>
      <c r="X276" s="531" t="s">
        <v>212</v>
      </c>
      <c r="Y276" s="531"/>
      <c r="Z276" s="222" t="s">
        <v>212</v>
      </c>
      <c r="AA276" s="222" t="s">
        <v>212</v>
      </c>
      <c r="AB276" s="222" t="s">
        <v>212</v>
      </c>
      <c r="AC276" s="215"/>
    </row>
    <row r="277" spans="1:29" ht="13.5" customHeight="1">
      <c r="A277" s="215"/>
      <c r="B277" s="532">
        <v>38848</v>
      </c>
      <c r="C277" s="532"/>
      <c r="D277" s="219" t="s">
        <v>212</v>
      </c>
      <c r="E277" s="224">
        <v>0</v>
      </c>
      <c r="F277" s="533">
        <v>0</v>
      </c>
      <c r="G277" s="533"/>
      <c r="H277" s="224">
        <v>312.5</v>
      </c>
      <c r="I277" s="533">
        <v>24</v>
      </c>
      <c r="J277" s="533"/>
      <c r="K277" s="224">
        <v>222</v>
      </c>
      <c r="L277" s="225">
        <v>24</v>
      </c>
      <c r="M277" s="224">
        <v>0</v>
      </c>
      <c r="N277" s="225">
        <v>0</v>
      </c>
      <c r="O277" s="226">
        <v>534.5</v>
      </c>
      <c r="P277" s="222" t="s">
        <v>212</v>
      </c>
      <c r="Q277" s="224">
        <v>0</v>
      </c>
      <c r="R277" s="225">
        <v>0</v>
      </c>
      <c r="S277" s="224">
        <v>0</v>
      </c>
      <c r="T277" s="533">
        <v>0</v>
      </c>
      <c r="U277" s="533"/>
      <c r="V277" s="224">
        <v>0</v>
      </c>
      <c r="W277" s="222" t="s">
        <v>212</v>
      </c>
      <c r="X277" s="534">
        <v>534.5</v>
      </c>
      <c r="Y277" s="534"/>
      <c r="Z277" s="222" t="s">
        <v>212</v>
      </c>
      <c r="AA277" s="227">
        <v>3968000</v>
      </c>
      <c r="AB277" s="228">
        <v>126798</v>
      </c>
      <c r="AC277" s="215"/>
    </row>
    <row r="278" spans="1:29" ht="2.25" customHeight="1">
      <c r="A278" s="215"/>
      <c r="B278" s="529" t="s">
        <v>212</v>
      </c>
      <c r="C278" s="529"/>
      <c r="D278" s="219" t="s">
        <v>212</v>
      </c>
      <c r="E278" s="222" t="s">
        <v>212</v>
      </c>
      <c r="F278" s="531" t="s">
        <v>212</v>
      </c>
      <c r="G278" s="531"/>
      <c r="H278" s="222" t="s">
        <v>212</v>
      </c>
      <c r="I278" s="531" t="s">
        <v>212</v>
      </c>
      <c r="J278" s="531"/>
      <c r="K278" s="222" t="s">
        <v>212</v>
      </c>
      <c r="L278" s="222" t="s">
        <v>212</v>
      </c>
      <c r="M278" s="222" t="s">
        <v>212</v>
      </c>
      <c r="N278" s="222" t="s">
        <v>212</v>
      </c>
      <c r="O278" s="222" t="s">
        <v>212</v>
      </c>
      <c r="P278" s="222" t="s">
        <v>212</v>
      </c>
      <c r="Q278" s="222" t="s">
        <v>212</v>
      </c>
      <c r="R278" s="222" t="s">
        <v>212</v>
      </c>
      <c r="S278" s="222" t="s">
        <v>212</v>
      </c>
      <c r="T278" s="531" t="s">
        <v>212</v>
      </c>
      <c r="U278" s="531"/>
      <c r="V278" s="222" t="s">
        <v>212</v>
      </c>
      <c r="W278" s="222" t="s">
        <v>212</v>
      </c>
      <c r="X278" s="531" t="s">
        <v>212</v>
      </c>
      <c r="Y278" s="531"/>
      <c r="Z278" s="222" t="s">
        <v>212</v>
      </c>
      <c r="AA278" s="222" t="s">
        <v>212</v>
      </c>
      <c r="AB278" s="222" t="s">
        <v>212</v>
      </c>
      <c r="AC278" s="215"/>
    </row>
    <row r="279" spans="1:29" ht="13.5" customHeight="1">
      <c r="A279" s="215"/>
      <c r="B279" s="535">
        <v>38849</v>
      </c>
      <c r="C279" s="535"/>
      <c r="D279" s="219" t="s">
        <v>212</v>
      </c>
      <c r="E279" s="229">
        <v>0</v>
      </c>
      <c r="F279" s="536">
        <v>0</v>
      </c>
      <c r="G279" s="536"/>
      <c r="H279" s="229">
        <v>301.3</v>
      </c>
      <c r="I279" s="536">
        <v>24</v>
      </c>
      <c r="J279" s="536"/>
      <c r="K279" s="229">
        <v>234.6</v>
      </c>
      <c r="L279" s="230">
        <v>24</v>
      </c>
      <c r="M279" s="229">
        <v>0</v>
      </c>
      <c r="N279" s="230">
        <v>0</v>
      </c>
      <c r="O279" s="231">
        <v>535.9</v>
      </c>
      <c r="P279" s="222" t="s">
        <v>212</v>
      </c>
      <c r="Q279" s="229">
        <v>0</v>
      </c>
      <c r="R279" s="230">
        <v>0</v>
      </c>
      <c r="S279" s="229">
        <v>0</v>
      </c>
      <c r="T279" s="536">
        <v>0</v>
      </c>
      <c r="U279" s="536"/>
      <c r="V279" s="229">
        <v>0</v>
      </c>
      <c r="W279" s="222" t="s">
        <v>212</v>
      </c>
      <c r="X279" s="530">
        <v>535.9</v>
      </c>
      <c r="Y279" s="530"/>
      <c r="Z279" s="222" t="s">
        <v>212</v>
      </c>
      <c r="AA279" s="232">
        <v>3895900</v>
      </c>
      <c r="AB279" s="233">
        <v>131105</v>
      </c>
      <c r="AC279" s="215"/>
    </row>
    <row r="280" spans="1:29" ht="2.25" customHeight="1">
      <c r="A280" s="215"/>
      <c r="B280" s="529" t="s">
        <v>212</v>
      </c>
      <c r="C280" s="529"/>
      <c r="D280" s="219" t="s">
        <v>212</v>
      </c>
      <c r="E280" s="222" t="s">
        <v>212</v>
      </c>
      <c r="F280" s="531" t="s">
        <v>212</v>
      </c>
      <c r="G280" s="531"/>
      <c r="H280" s="222" t="s">
        <v>212</v>
      </c>
      <c r="I280" s="531" t="s">
        <v>212</v>
      </c>
      <c r="J280" s="531"/>
      <c r="K280" s="222" t="s">
        <v>212</v>
      </c>
      <c r="L280" s="222" t="s">
        <v>212</v>
      </c>
      <c r="M280" s="222" t="s">
        <v>212</v>
      </c>
      <c r="N280" s="222" t="s">
        <v>212</v>
      </c>
      <c r="O280" s="222" t="s">
        <v>212</v>
      </c>
      <c r="P280" s="222" t="s">
        <v>212</v>
      </c>
      <c r="Q280" s="222" t="s">
        <v>212</v>
      </c>
      <c r="R280" s="222" t="s">
        <v>212</v>
      </c>
      <c r="S280" s="222" t="s">
        <v>212</v>
      </c>
      <c r="T280" s="531" t="s">
        <v>212</v>
      </c>
      <c r="U280" s="531"/>
      <c r="V280" s="222" t="s">
        <v>212</v>
      </c>
      <c r="W280" s="222" t="s">
        <v>212</v>
      </c>
      <c r="X280" s="531" t="s">
        <v>212</v>
      </c>
      <c r="Y280" s="531"/>
      <c r="Z280" s="222" t="s">
        <v>212</v>
      </c>
      <c r="AA280" s="222" t="s">
        <v>212</v>
      </c>
      <c r="AB280" s="222" t="s">
        <v>212</v>
      </c>
      <c r="AC280" s="215"/>
    </row>
    <row r="281" spans="1:29" ht="13.5" customHeight="1">
      <c r="A281" s="215"/>
      <c r="B281" s="532">
        <v>38850</v>
      </c>
      <c r="C281" s="532"/>
      <c r="D281" s="219" t="s">
        <v>212</v>
      </c>
      <c r="E281" s="224">
        <v>0</v>
      </c>
      <c r="F281" s="533">
        <v>0</v>
      </c>
      <c r="G281" s="533"/>
      <c r="H281" s="224">
        <v>301.10000000000002</v>
      </c>
      <c r="I281" s="533">
        <v>24</v>
      </c>
      <c r="J281" s="533"/>
      <c r="K281" s="224">
        <v>254.9</v>
      </c>
      <c r="L281" s="225">
        <v>24</v>
      </c>
      <c r="M281" s="224">
        <v>0</v>
      </c>
      <c r="N281" s="225">
        <v>0</v>
      </c>
      <c r="O281" s="226">
        <v>556</v>
      </c>
      <c r="P281" s="222" t="s">
        <v>212</v>
      </c>
      <c r="Q281" s="224">
        <v>0</v>
      </c>
      <c r="R281" s="225">
        <v>0</v>
      </c>
      <c r="S281" s="224">
        <v>0</v>
      </c>
      <c r="T281" s="533">
        <v>0</v>
      </c>
      <c r="U281" s="533"/>
      <c r="V281" s="224">
        <v>0</v>
      </c>
      <c r="W281" s="222" t="s">
        <v>212</v>
      </c>
      <c r="X281" s="534">
        <v>556</v>
      </c>
      <c r="Y281" s="534"/>
      <c r="Z281" s="222" t="s">
        <v>212</v>
      </c>
      <c r="AA281" s="227">
        <v>3866600</v>
      </c>
      <c r="AB281" s="228">
        <v>133365</v>
      </c>
      <c r="AC281" s="215"/>
    </row>
    <row r="282" spans="1:29" ht="2.25" customHeight="1">
      <c r="A282" s="215"/>
      <c r="B282" s="529" t="s">
        <v>212</v>
      </c>
      <c r="C282" s="529"/>
      <c r="D282" s="219" t="s">
        <v>212</v>
      </c>
      <c r="E282" s="222" t="s">
        <v>212</v>
      </c>
      <c r="F282" s="531" t="s">
        <v>212</v>
      </c>
      <c r="G282" s="531"/>
      <c r="H282" s="222" t="s">
        <v>212</v>
      </c>
      <c r="I282" s="531" t="s">
        <v>212</v>
      </c>
      <c r="J282" s="531"/>
      <c r="K282" s="222" t="s">
        <v>212</v>
      </c>
      <c r="L282" s="222" t="s">
        <v>212</v>
      </c>
      <c r="M282" s="222" t="s">
        <v>212</v>
      </c>
      <c r="N282" s="222" t="s">
        <v>212</v>
      </c>
      <c r="O282" s="222" t="s">
        <v>212</v>
      </c>
      <c r="P282" s="222" t="s">
        <v>212</v>
      </c>
      <c r="Q282" s="222" t="s">
        <v>212</v>
      </c>
      <c r="R282" s="222" t="s">
        <v>212</v>
      </c>
      <c r="S282" s="222" t="s">
        <v>212</v>
      </c>
      <c r="T282" s="531" t="s">
        <v>212</v>
      </c>
      <c r="U282" s="531"/>
      <c r="V282" s="222" t="s">
        <v>212</v>
      </c>
      <c r="W282" s="222" t="s">
        <v>212</v>
      </c>
      <c r="X282" s="531" t="s">
        <v>212</v>
      </c>
      <c r="Y282" s="531"/>
      <c r="Z282" s="222" t="s">
        <v>212</v>
      </c>
      <c r="AA282" s="222" t="s">
        <v>212</v>
      </c>
      <c r="AB282" s="222" t="s">
        <v>212</v>
      </c>
      <c r="AC282" s="215"/>
    </row>
    <row r="283" spans="1:29" ht="13.5" customHeight="1">
      <c r="A283" s="215"/>
      <c r="B283" s="535">
        <v>38851</v>
      </c>
      <c r="C283" s="535"/>
      <c r="D283" s="219" t="s">
        <v>212</v>
      </c>
      <c r="E283" s="229">
        <v>0</v>
      </c>
      <c r="F283" s="536">
        <v>0</v>
      </c>
      <c r="G283" s="536"/>
      <c r="H283" s="229">
        <v>302.3</v>
      </c>
      <c r="I283" s="536">
        <v>24</v>
      </c>
      <c r="J283" s="536"/>
      <c r="K283" s="229">
        <v>203.3</v>
      </c>
      <c r="L283" s="230">
        <v>24</v>
      </c>
      <c r="M283" s="229">
        <v>0</v>
      </c>
      <c r="N283" s="230">
        <v>0</v>
      </c>
      <c r="O283" s="231">
        <v>505.6</v>
      </c>
      <c r="P283" s="222" t="s">
        <v>212</v>
      </c>
      <c r="Q283" s="229">
        <v>0</v>
      </c>
      <c r="R283" s="230">
        <v>0</v>
      </c>
      <c r="S283" s="229">
        <v>0</v>
      </c>
      <c r="T283" s="536">
        <v>0</v>
      </c>
      <c r="U283" s="536"/>
      <c r="V283" s="229">
        <v>0</v>
      </c>
      <c r="W283" s="222" t="s">
        <v>212</v>
      </c>
      <c r="X283" s="530">
        <v>505.6</v>
      </c>
      <c r="Y283" s="530"/>
      <c r="Z283" s="222" t="s">
        <v>212</v>
      </c>
      <c r="AA283" s="232">
        <v>3892500</v>
      </c>
      <c r="AB283" s="233">
        <v>121587</v>
      </c>
      <c r="AC283" s="215"/>
    </row>
    <row r="284" spans="1:29" ht="2.25" customHeight="1">
      <c r="A284" s="215"/>
      <c r="B284" s="529" t="s">
        <v>212</v>
      </c>
      <c r="C284" s="529"/>
      <c r="D284" s="219" t="s">
        <v>212</v>
      </c>
      <c r="E284" s="222" t="s">
        <v>212</v>
      </c>
      <c r="F284" s="531" t="s">
        <v>212</v>
      </c>
      <c r="G284" s="531"/>
      <c r="H284" s="222" t="s">
        <v>212</v>
      </c>
      <c r="I284" s="531" t="s">
        <v>212</v>
      </c>
      <c r="J284" s="531"/>
      <c r="K284" s="222" t="s">
        <v>212</v>
      </c>
      <c r="L284" s="222" t="s">
        <v>212</v>
      </c>
      <c r="M284" s="222" t="s">
        <v>212</v>
      </c>
      <c r="N284" s="222" t="s">
        <v>212</v>
      </c>
      <c r="O284" s="222" t="s">
        <v>212</v>
      </c>
      <c r="P284" s="222" t="s">
        <v>212</v>
      </c>
      <c r="Q284" s="222" t="s">
        <v>212</v>
      </c>
      <c r="R284" s="222" t="s">
        <v>212</v>
      </c>
      <c r="S284" s="222" t="s">
        <v>212</v>
      </c>
      <c r="T284" s="531" t="s">
        <v>212</v>
      </c>
      <c r="U284" s="531"/>
      <c r="V284" s="222" t="s">
        <v>212</v>
      </c>
      <c r="W284" s="222" t="s">
        <v>212</v>
      </c>
      <c r="X284" s="531" t="s">
        <v>212</v>
      </c>
      <c r="Y284" s="531"/>
      <c r="Z284" s="222" t="s">
        <v>212</v>
      </c>
      <c r="AA284" s="222" t="s">
        <v>212</v>
      </c>
      <c r="AB284" s="222" t="s">
        <v>212</v>
      </c>
      <c r="AC284" s="215"/>
    </row>
    <row r="285" spans="1:29" ht="13.5" customHeight="1">
      <c r="A285" s="215"/>
      <c r="B285" s="532">
        <v>38852</v>
      </c>
      <c r="C285" s="532"/>
      <c r="D285" s="219" t="s">
        <v>212</v>
      </c>
      <c r="E285" s="224">
        <v>0</v>
      </c>
      <c r="F285" s="533">
        <v>0</v>
      </c>
      <c r="G285" s="533"/>
      <c r="H285" s="224">
        <v>316.8</v>
      </c>
      <c r="I285" s="533">
        <v>24</v>
      </c>
      <c r="J285" s="533"/>
      <c r="K285" s="224">
        <v>206.8</v>
      </c>
      <c r="L285" s="225">
        <v>24</v>
      </c>
      <c r="M285" s="224">
        <v>0</v>
      </c>
      <c r="N285" s="225">
        <v>0</v>
      </c>
      <c r="O285" s="226">
        <v>523.6</v>
      </c>
      <c r="P285" s="222" t="s">
        <v>212</v>
      </c>
      <c r="Q285" s="224">
        <v>0</v>
      </c>
      <c r="R285" s="225">
        <v>0</v>
      </c>
      <c r="S285" s="224">
        <v>0</v>
      </c>
      <c r="T285" s="533">
        <v>0</v>
      </c>
      <c r="U285" s="533"/>
      <c r="V285" s="224">
        <v>0</v>
      </c>
      <c r="W285" s="222" t="s">
        <v>212</v>
      </c>
      <c r="X285" s="534">
        <v>523.6</v>
      </c>
      <c r="Y285" s="534"/>
      <c r="Z285" s="222" t="s">
        <v>212</v>
      </c>
      <c r="AA285" s="227">
        <v>4005300</v>
      </c>
      <c r="AB285" s="228">
        <v>122635</v>
      </c>
      <c r="AC285" s="215"/>
    </row>
    <row r="286" spans="1:29" ht="2.25" customHeight="1">
      <c r="A286" s="215"/>
      <c r="B286" s="529" t="s">
        <v>212</v>
      </c>
      <c r="C286" s="529"/>
      <c r="D286" s="219" t="s">
        <v>212</v>
      </c>
      <c r="E286" s="222" t="s">
        <v>212</v>
      </c>
      <c r="F286" s="531" t="s">
        <v>212</v>
      </c>
      <c r="G286" s="531"/>
      <c r="H286" s="222" t="s">
        <v>212</v>
      </c>
      <c r="I286" s="531" t="s">
        <v>212</v>
      </c>
      <c r="J286" s="531"/>
      <c r="K286" s="222" t="s">
        <v>212</v>
      </c>
      <c r="L286" s="222" t="s">
        <v>212</v>
      </c>
      <c r="M286" s="222" t="s">
        <v>212</v>
      </c>
      <c r="N286" s="222" t="s">
        <v>212</v>
      </c>
      <c r="O286" s="222" t="s">
        <v>212</v>
      </c>
      <c r="P286" s="222" t="s">
        <v>212</v>
      </c>
      <c r="Q286" s="222" t="s">
        <v>212</v>
      </c>
      <c r="R286" s="222" t="s">
        <v>212</v>
      </c>
      <c r="S286" s="222" t="s">
        <v>212</v>
      </c>
      <c r="T286" s="531" t="s">
        <v>212</v>
      </c>
      <c r="U286" s="531"/>
      <c r="V286" s="222" t="s">
        <v>212</v>
      </c>
      <c r="W286" s="222" t="s">
        <v>212</v>
      </c>
      <c r="X286" s="531" t="s">
        <v>212</v>
      </c>
      <c r="Y286" s="531"/>
      <c r="Z286" s="222" t="s">
        <v>212</v>
      </c>
      <c r="AA286" s="222" t="s">
        <v>212</v>
      </c>
      <c r="AB286" s="222" t="s">
        <v>212</v>
      </c>
      <c r="AC286" s="215"/>
    </row>
    <row r="287" spans="1:29" ht="13.5" customHeight="1">
      <c r="A287" s="215"/>
      <c r="B287" s="535">
        <v>38853</v>
      </c>
      <c r="C287" s="535"/>
      <c r="D287" s="219" t="s">
        <v>212</v>
      </c>
      <c r="E287" s="229">
        <v>0</v>
      </c>
      <c r="F287" s="536">
        <v>0</v>
      </c>
      <c r="G287" s="536"/>
      <c r="H287" s="229">
        <v>293.10000000000002</v>
      </c>
      <c r="I287" s="536">
        <v>24</v>
      </c>
      <c r="J287" s="536"/>
      <c r="K287" s="229">
        <v>197.5</v>
      </c>
      <c r="L287" s="230">
        <v>24</v>
      </c>
      <c r="M287" s="229">
        <v>0</v>
      </c>
      <c r="N287" s="230">
        <v>0</v>
      </c>
      <c r="O287" s="231">
        <v>490.6</v>
      </c>
      <c r="P287" s="222" t="s">
        <v>212</v>
      </c>
      <c r="Q287" s="229">
        <v>0</v>
      </c>
      <c r="R287" s="230">
        <v>0</v>
      </c>
      <c r="S287" s="229">
        <v>0</v>
      </c>
      <c r="T287" s="536">
        <v>0</v>
      </c>
      <c r="U287" s="536"/>
      <c r="V287" s="229">
        <v>0</v>
      </c>
      <c r="W287" s="222" t="s">
        <v>212</v>
      </c>
      <c r="X287" s="530">
        <v>490.6</v>
      </c>
      <c r="Y287" s="530"/>
      <c r="Z287" s="222" t="s">
        <v>212</v>
      </c>
      <c r="AA287" s="232">
        <v>3812400</v>
      </c>
      <c r="AB287" s="233">
        <v>119540</v>
      </c>
      <c r="AC287" s="215"/>
    </row>
    <row r="288" spans="1:29" ht="2.25" customHeight="1">
      <c r="A288" s="215"/>
      <c r="B288" s="529" t="s">
        <v>212</v>
      </c>
      <c r="C288" s="529"/>
      <c r="D288" s="219" t="s">
        <v>212</v>
      </c>
      <c r="E288" s="222" t="s">
        <v>212</v>
      </c>
      <c r="F288" s="531" t="s">
        <v>212</v>
      </c>
      <c r="G288" s="531"/>
      <c r="H288" s="222" t="s">
        <v>212</v>
      </c>
      <c r="I288" s="531" t="s">
        <v>212</v>
      </c>
      <c r="J288" s="531"/>
      <c r="K288" s="222" t="s">
        <v>212</v>
      </c>
      <c r="L288" s="222" t="s">
        <v>212</v>
      </c>
      <c r="M288" s="222" t="s">
        <v>212</v>
      </c>
      <c r="N288" s="222" t="s">
        <v>212</v>
      </c>
      <c r="O288" s="222" t="s">
        <v>212</v>
      </c>
      <c r="P288" s="222" t="s">
        <v>212</v>
      </c>
      <c r="Q288" s="222" t="s">
        <v>212</v>
      </c>
      <c r="R288" s="222" t="s">
        <v>212</v>
      </c>
      <c r="S288" s="222" t="s">
        <v>212</v>
      </c>
      <c r="T288" s="531" t="s">
        <v>212</v>
      </c>
      <c r="U288" s="531"/>
      <c r="V288" s="222" t="s">
        <v>212</v>
      </c>
      <c r="W288" s="222" t="s">
        <v>212</v>
      </c>
      <c r="X288" s="531" t="s">
        <v>212</v>
      </c>
      <c r="Y288" s="531"/>
      <c r="Z288" s="222" t="s">
        <v>212</v>
      </c>
      <c r="AA288" s="222" t="s">
        <v>212</v>
      </c>
      <c r="AB288" s="222" t="s">
        <v>212</v>
      </c>
      <c r="AC288" s="215"/>
    </row>
    <row r="289" spans="1:29" ht="13.5" customHeight="1">
      <c r="A289" s="215"/>
      <c r="B289" s="532">
        <v>38854</v>
      </c>
      <c r="C289" s="532"/>
      <c r="D289" s="219" t="s">
        <v>212</v>
      </c>
      <c r="E289" s="224">
        <v>0</v>
      </c>
      <c r="F289" s="533">
        <v>0</v>
      </c>
      <c r="G289" s="533"/>
      <c r="H289" s="224">
        <v>309.39999999999998</v>
      </c>
      <c r="I289" s="533">
        <v>24</v>
      </c>
      <c r="J289" s="533"/>
      <c r="K289" s="224">
        <v>237.9</v>
      </c>
      <c r="L289" s="225">
        <v>24</v>
      </c>
      <c r="M289" s="224">
        <v>0</v>
      </c>
      <c r="N289" s="225">
        <v>0</v>
      </c>
      <c r="O289" s="226">
        <v>547.29999999999995</v>
      </c>
      <c r="P289" s="222" t="s">
        <v>212</v>
      </c>
      <c r="Q289" s="224">
        <v>0</v>
      </c>
      <c r="R289" s="225">
        <v>0</v>
      </c>
      <c r="S289" s="224">
        <v>0</v>
      </c>
      <c r="T289" s="533">
        <v>0</v>
      </c>
      <c r="U289" s="533"/>
      <c r="V289" s="224">
        <v>0</v>
      </c>
      <c r="W289" s="222" t="s">
        <v>212</v>
      </c>
      <c r="X289" s="534">
        <v>547.29999999999995</v>
      </c>
      <c r="Y289" s="534"/>
      <c r="Z289" s="222" t="s">
        <v>212</v>
      </c>
      <c r="AA289" s="227">
        <v>3962500</v>
      </c>
      <c r="AB289" s="228">
        <v>131560</v>
      </c>
      <c r="AC289" s="215"/>
    </row>
    <row r="290" spans="1:29" ht="2.25" customHeight="1">
      <c r="A290" s="215"/>
      <c r="B290" s="529" t="s">
        <v>212</v>
      </c>
      <c r="C290" s="529"/>
      <c r="D290" s="219" t="s">
        <v>212</v>
      </c>
      <c r="E290" s="222" t="s">
        <v>212</v>
      </c>
      <c r="F290" s="531" t="s">
        <v>212</v>
      </c>
      <c r="G290" s="531"/>
      <c r="H290" s="222" t="s">
        <v>212</v>
      </c>
      <c r="I290" s="531" t="s">
        <v>212</v>
      </c>
      <c r="J290" s="531"/>
      <c r="K290" s="222" t="s">
        <v>212</v>
      </c>
      <c r="L290" s="222" t="s">
        <v>212</v>
      </c>
      <c r="M290" s="222" t="s">
        <v>212</v>
      </c>
      <c r="N290" s="222" t="s">
        <v>212</v>
      </c>
      <c r="O290" s="222" t="s">
        <v>212</v>
      </c>
      <c r="P290" s="222" t="s">
        <v>212</v>
      </c>
      <c r="Q290" s="222" t="s">
        <v>212</v>
      </c>
      <c r="R290" s="222" t="s">
        <v>212</v>
      </c>
      <c r="S290" s="222" t="s">
        <v>212</v>
      </c>
      <c r="T290" s="531" t="s">
        <v>212</v>
      </c>
      <c r="U290" s="531"/>
      <c r="V290" s="222" t="s">
        <v>212</v>
      </c>
      <c r="W290" s="222" t="s">
        <v>212</v>
      </c>
      <c r="X290" s="531" t="s">
        <v>212</v>
      </c>
      <c r="Y290" s="531"/>
      <c r="Z290" s="222" t="s">
        <v>212</v>
      </c>
      <c r="AA290" s="222" t="s">
        <v>212</v>
      </c>
      <c r="AB290" s="222" t="s">
        <v>212</v>
      </c>
      <c r="AC290" s="215"/>
    </row>
    <row r="291" spans="1:29" ht="13.5" customHeight="1">
      <c r="A291" s="215"/>
      <c r="B291" s="535">
        <v>38855</v>
      </c>
      <c r="C291" s="535"/>
      <c r="D291" s="219" t="s">
        <v>212</v>
      </c>
      <c r="E291" s="229">
        <v>0</v>
      </c>
      <c r="F291" s="536">
        <v>1</v>
      </c>
      <c r="G291" s="536"/>
      <c r="H291" s="229">
        <v>338.1</v>
      </c>
      <c r="I291" s="536">
        <v>24</v>
      </c>
      <c r="J291" s="536"/>
      <c r="K291" s="229">
        <v>256.7</v>
      </c>
      <c r="L291" s="230">
        <v>24</v>
      </c>
      <c r="M291" s="229">
        <v>0</v>
      </c>
      <c r="N291" s="230">
        <v>0</v>
      </c>
      <c r="O291" s="231">
        <v>594.79999999999995</v>
      </c>
      <c r="P291" s="222" t="s">
        <v>212</v>
      </c>
      <c r="Q291" s="229">
        <v>0</v>
      </c>
      <c r="R291" s="230">
        <v>0</v>
      </c>
      <c r="S291" s="229">
        <v>0</v>
      </c>
      <c r="T291" s="536">
        <v>0</v>
      </c>
      <c r="U291" s="536"/>
      <c r="V291" s="229">
        <v>0</v>
      </c>
      <c r="W291" s="222" t="s">
        <v>212</v>
      </c>
      <c r="X291" s="530">
        <v>594.79999999999995</v>
      </c>
      <c r="Y291" s="530"/>
      <c r="Z291" s="222" t="s">
        <v>212</v>
      </c>
      <c r="AA291" s="232">
        <v>4155720</v>
      </c>
      <c r="AB291" s="233">
        <v>138279</v>
      </c>
      <c r="AC291" s="215"/>
    </row>
    <row r="292" spans="1:29" ht="2.25" customHeight="1">
      <c r="A292" s="215"/>
      <c r="B292" s="529" t="s">
        <v>212</v>
      </c>
      <c r="C292" s="529"/>
      <c r="D292" s="219" t="s">
        <v>212</v>
      </c>
      <c r="E292" s="222" t="s">
        <v>212</v>
      </c>
      <c r="F292" s="531" t="s">
        <v>212</v>
      </c>
      <c r="G292" s="531"/>
      <c r="H292" s="222" t="s">
        <v>212</v>
      </c>
      <c r="I292" s="531" t="s">
        <v>212</v>
      </c>
      <c r="J292" s="531"/>
      <c r="K292" s="222" t="s">
        <v>212</v>
      </c>
      <c r="L292" s="222" t="s">
        <v>212</v>
      </c>
      <c r="M292" s="222" t="s">
        <v>212</v>
      </c>
      <c r="N292" s="222" t="s">
        <v>212</v>
      </c>
      <c r="O292" s="222" t="s">
        <v>212</v>
      </c>
      <c r="P292" s="222" t="s">
        <v>212</v>
      </c>
      <c r="Q292" s="222" t="s">
        <v>212</v>
      </c>
      <c r="R292" s="222" t="s">
        <v>212</v>
      </c>
      <c r="S292" s="222" t="s">
        <v>212</v>
      </c>
      <c r="T292" s="531" t="s">
        <v>212</v>
      </c>
      <c r="U292" s="531"/>
      <c r="V292" s="222" t="s">
        <v>212</v>
      </c>
      <c r="W292" s="222" t="s">
        <v>212</v>
      </c>
      <c r="X292" s="531" t="s">
        <v>212</v>
      </c>
      <c r="Y292" s="531"/>
      <c r="Z292" s="222" t="s">
        <v>212</v>
      </c>
      <c r="AA292" s="222" t="s">
        <v>212</v>
      </c>
      <c r="AB292" s="222" t="s">
        <v>212</v>
      </c>
      <c r="AC292" s="215"/>
    </row>
    <row r="293" spans="1:29" ht="13.5" customHeight="1">
      <c r="A293" s="215"/>
      <c r="B293" s="532">
        <v>38856</v>
      </c>
      <c r="C293" s="532"/>
      <c r="D293" s="219" t="s">
        <v>212</v>
      </c>
      <c r="E293" s="224">
        <v>0</v>
      </c>
      <c r="F293" s="533">
        <v>0</v>
      </c>
      <c r="G293" s="533"/>
      <c r="H293" s="224">
        <v>383.9</v>
      </c>
      <c r="I293" s="533">
        <v>24</v>
      </c>
      <c r="J293" s="533"/>
      <c r="K293" s="224">
        <v>297</v>
      </c>
      <c r="L293" s="225">
        <v>24</v>
      </c>
      <c r="M293" s="224">
        <v>0</v>
      </c>
      <c r="N293" s="225">
        <v>0</v>
      </c>
      <c r="O293" s="226">
        <v>680.9</v>
      </c>
      <c r="P293" s="222" t="s">
        <v>212</v>
      </c>
      <c r="Q293" s="224">
        <v>0</v>
      </c>
      <c r="R293" s="225">
        <v>0</v>
      </c>
      <c r="S293" s="224">
        <v>0</v>
      </c>
      <c r="T293" s="533">
        <v>0</v>
      </c>
      <c r="U293" s="533"/>
      <c r="V293" s="224">
        <v>0</v>
      </c>
      <c r="W293" s="222" t="s">
        <v>212</v>
      </c>
      <c r="X293" s="534">
        <v>680.9</v>
      </c>
      <c r="Y293" s="534"/>
      <c r="Z293" s="222" t="s">
        <v>212</v>
      </c>
      <c r="AA293" s="227">
        <v>4521100</v>
      </c>
      <c r="AB293" s="228">
        <v>150727</v>
      </c>
      <c r="AC293" s="215"/>
    </row>
    <row r="294" spans="1:29" ht="2.25" customHeight="1">
      <c r="A294" s="215"/>
      <c r="B294" s="529" t="s">
        <v>212</v>
      </c>
      <c r="C294" s="529"/>
      <c r="D294" s="219" t="s">
        <v>212</v>
      </c>
      <c r="E294" s="222" t="s">
        <v>212</v>
      </c>
      <c r="F294" s="531" t="s">
        <v>212</v>
      </c>
      <c r="G294" s="531"/>
      <c r="H294" s="222" t="s">
        <v>212</v>
      </c>
      <c r="I294" s="531" t="s">
        <v>212</v>
      </c>
      <c r="J294" s="531"/>
      <c r="K294" s="222" t="s">
        <v>212</v>
      </c>
      <c r="L294" s="222" t="s">
        <v>212</v>
      </c>
      <c r="M294" s="222" t="s">
        <v>212</v>
      </c>
      <c r="N294" s="222" t="s">
        <v>212</v>
      </c>
      <c r="O294" s="222" t="s">
        <v>212</v>
      </c>
      <c r="P294" s="222" t="s">
        <v>212</v>
      </c>
      <c r="Q294" s="222" t="s">
        <v>212</v>
      </c>
      <c r="R294" s="222" t="s">
        <v>212</v>
      </c>
      <c r="S294" s="222" t="s">
        <v>212</v>
      </c>
      <c r="T294" s="531" t="s">
        <v>212</v>
      </c>
      <c r="U294" s="531"/>
      <c r="V294" s="222" t="s">
        <v>212</v>
      </c>
      <c r="W294" s="222" t="s">
        <v>212</v>
      </c>
      <c r="X294" s="531" t="s">
        <v>212</v>
      </c>
      <c r="Y294" s="531"/>
      <c r="Z294" s="222" t="s">
        <v>212</v>
      </c>
      <c r="AA294" s="222" t="s">
        <v>212</v>
      </c>
      <c r="AB294" s="222" t="s">
        <v>212</v>
      </c>
      <c r="AC294" s="215"/>
    </row>
    <row r="295" spans="1:29" ht="13.5" customHeight="1">
      <c r="A295" s="215"/>
      <c r="B295" s="535">
        <v>38857</v>
      </c>
      <c r="C295" s="535"/>
      <c r="D295" s="219" t="s">
        <v>212</v>
      </c>
      <c r="E295" s="229">
        <v>0</v>
      </c>
      <c r="F295" s="536">
        <v>0</v>
      </c>
      <c r="G295" s="536"/>
      <c r="H295" s="229">
        <v>364</v>
      </c>
      <c r="I295" s="536">
        <v>24</v>
      </c>
      <c r="J295" s="536"/>
      <c r="K295" s="229">
        <v>289.89999999999998</v>
      </c>
      <c r="L295" s="230">
        <v>24</v>
      </c>
      <c r="M295" s="229">
        <v>0</v>
      </c>
      <c r="N295" s="230">
        <v>0</v>
      </c>
      <c r="O295" s="231">
        <v>653.9</v>
      </c>
      <c r="P295" s="222" t="s">
        <v>212</v>
      </c>
      <c r="Q295" s="229">
        <v>0</v>
      </c>
      <c r="R295" s="230">
        <v>0</v>
      </c>
      <c r="S295" s="229">
        <v>0</v>
      </c>
      <c r="T295" s="536">
        <v>0</v>
      </c>
      <c r="U295" s="536"/>
      <c r="V295" s="229">
        <v>0</v>
      </c>
      <c r="W295" s="222" t="s">
        <v>212</v>
      </c>
      <c r="X295" s="530">
        <v>653.9</v>
      </c>
      <c r="Y295" s="530"/>
      <c r="Z295" s="222" t="s">
        <v>212</v>
      </c>
      <c r="AA295" s="232">
        <v>4375200</v>
      </c>
      <c r="AB295" s="233">
        <v>145918</v>
      </c>
      <c r="AC295" s="215"/>
    </row>
    <row r="296" spans="1:29" ht="2.25" customHeight="1">
      <c r="A296" s="215"/>
      <c r="B296" s="529" t="s">
        <v>212</v>
      </c>
      <c r="C296" s="529"/>
      <c r="D296" s="219" t="s">
        <v>212</v>
      </c>
      <c r="E296" s="222" t="s">
        <v>212</v>
      </c>
      <c r="F296" s="531" t="s">
        <v>212</v>
      </c>
      <c r="G296" s="531"/>
      <c r="H296" s="222" t="s">
        <v>212</v>
      </c>
      <c r="I296" s="531" t="s">
        <v>212</v>
      </c>
      <c r="J296" s="531"/>
      <c r="K296" s="222" t="s">
        <v>212</v>
      </c>
      <c r="L296" s="222" t="s">
        <v>212</v>
      </c>
      <c r="M296" s="222" t="s">
        <v>212</v>
      </c>
      <c r="N296" s="222" t="s">
        <v>212</v>
      </c>
      <c r="O296" s="222" t="s">
        <v>212</v>
      </c>
      <c r="P296" s="222" t="s">
        <v>212</v>
      </c>
      <c r="Q296" s="222" t="s">
        <v>212</v>
      </c>
      <c r="R296" s="222" t="s">
        <v>212</v>
      </c>
      <c r="S296" s="222" t="s">
        <v>212</v>
      </c>
      <c r="T296" s="531" t="s">
        <v>212</v>
      </c>
      <c r="U296" s="531"/>
      <c r="V296" s="222" t="s">
        <v>212</v>
      </c>
      <c r="W296" s="222" t="s">
        <v>212</v>
      </c>
      <c r="X296" s="531" t="s">
        <v>212</v>
      </c>
      <c r="Y296" s="531"/>
      <c r="Z296" s="222" t="s">
        <v>212</v>
      </c>
      <c r="AA296" s="222" t="s">
        <v>212</v>
      </c>
      <c r="AB296" s="222" t="s">
        <v>212</v>
      </c>
      <c r="AC296" s="215"/>
    </row>
    <row r="297" spans="1:29" ht="13.5" customHeight="1">
      <c r="A297" s="215"/>
      <c r="B297" s="532">
        <v>38858</v>
      </c>
      <c r="C297" s="532"/>
      <c r="D297" s="219" t="s">
        <v>212</v>
      </c>
      <c r="E297" s="224">
        <v>161.1</v>
      </c>
      <c r="F297" s="533">
        <v>15</v>
      </c>
      <c r="G297" s="533"/>
      <c r="H297" s="224">
        <v>304.8</v>
      </c>
      <c r="I297" s="533">
        <v>24</v>
      </c>
      <c r="J297" s="533"/>
      <c r="K297" s="224">
        <v>105.9</v>
      </c>
      <c r="L297" s="225">
        <v>9</v>
      </c>
      <c r="M297" s="224">
        <v>0</v>
      </c>
      <c r="N297" s="225">
        <v>0</v>
      </c>
      <c r="O297" s="226">
        <v>571.79999999999995</v>
      </c>
      <c r="P297" s="222" t="s">
        <v>212</v>
      </c>
      <c r="Q297" s="224">
        <v>0</v>
      </c>
      <c r="R297" s="225">
        <v>0</v>
      </c>
      <c r="S297" s="224">
        <v>0</v>
      </c>
      <c r="T297" s="533">
        <v>0</v>
      </c>
      <c r="U297" s="533"/>
      <c r="V297" s="224">
        <v>0</v>
      </c>
      <c r="W297" s="222" t="s">
        <v>212</v>
      </c>
      <c r="X297" s="534">
        <v>571.79999999999995</v>
      </c>
      <c r="Y297" s="534"/>
      <c r="Z297" s="222" t="s">
        <v>212</v>
      </c>
      <c r="AA297" s="227">
        <v>6243000</v>
      </c>
      <c r="AB297" s="228">
        <v>69740</v>
      </c>
      <c r="AC297" s="215"/>
    </row>
    <row r="298" spans="1:29" ht="2.25" customHeight="1">
      <c r="A298" s="215"/>
      <c r="B298" s="529" t="s">
        <v>212</v>
      </c>
      <c r="C298" s="529"/>
      <c r="D298" s="219" t="s">
        <v>212</v>
      </c>
      <c r="E298" s="222" t="s">
        <v>212</v>
      </c>
      <c r="F298" s="531" t="s">
        <v>212</v>
      </c>
      <c r="G298" s="531"/>
      <c r="H298" s="222" t="s">
        <v>212</v>
      </c>
      <c r="I298" s="531" t="s">
        <v>212</v>
      </c>
      <c r="J298" s="531"/>
      <c r="K298" s="222" t="s">
        <v>212</v>
      </c>
      <c r="L298" s="222" t="s">
        <v>212</v>
      </c>
      <c r="M298" s="222" t="s">
        <v>212</v>
      </c>
      <c r="N298" s="222" t="s">
        <v>212</v>
      </c>
      <c r="O298" s="222" t="s">
        <v>212</v>
      </c>
      <c r="P298" s="222" t="s">
        <v>212</v>
      </c>
      <c r="Q298" s="222" t="s">
        <v>212</v>
      </c>
      <c r="R298" s="222" t="s">
        <v>212</v>
      </c>
      <c r="S298" s="222" t="s">
        <v>212</v>
      </c>
      <c r="T298" s="531" t="s">
        <v>212</v>
      </c>
      <c r="U298" s="531"/>
      <c r="V298" s="222" t="s">
        <v>212</v>
      </c>
      <c r="W298" s="222" t="s">
        <v>212</v>
      </c>
      <c r="X298" s="531" t="s">
        <v>212</v>
      </c>
      <c r="Y298" s="531"/>
      <c r="Z298" s="222" t="s">
        <v>212</v>
      </c>
      <c r="AA298" s="222" t="s">
        <v>212</v>
      </c>
      <c r="AB298" s="222" t="s">
        <v>212</v>
      </c>
      <c r="AC298" s="215"/>
    </row>
    <row r="299" spans="1:29" ht="13.5" customHeight="1">
      <c r="A299" s="215"/>
      <c r="B299" s="535">
        <v>38859</v>
      </c>
      <c r="C299" s="535"/>
      <c r="D299" s="219" t="s">
        <v>212</v>
      </c>
      <c r="E299" s="229">
        <v>229.4</v>
      </c>
      <c r="F299" s="536">
        <v>24</v>
      </c>
      <c r="G299" s="536"/>
      <c r="H299" s="229">
        <v>282.8</v>
      </c>
      <c r="I299" s="536">
        <v>24</v>
      </c>
      <c r="J299" s="536"/>
      <c r="K299" s="229">
        <v>0</v>
      </c>
      <c r="L299" s="230">
        <v>0</v>
      </c>
      <c r="M299" s="229">
        <v>0</v>
      </c>
      <c r="N299" s="230">
        <v>0</v>
      </c>
      <c r="O299" s="231">
        <v>512.20000000000005</v>
      </c>
      <c r="P299" s="222" t="s">
        <v>212</v>
      </c>
      <c r="Q299" s="229">
        <v>0</v>
      </c>
      <c r="R299" s="230">
        <v>0</v>
      </c>
      <c r="S299" s="229">
        <v>0</v>
      </c>
      <c r="T299" s="536">
        <v>0</v>
      </c>
      <c r="U299" s="536"/>
      <c r="V299" s="229">
        <v>0</v>
      </c>
      <c r="W299" s="222" t="s">
        <v>212</v>
      </c>
      <c r="X299" s="530">
        <v>512.20000000000005</v>
      </c>
      <c r="Y299" s="530"/>
      <c r="Z299" s="222" t="s">
        <v>212</v>
      </c>
      <c r="AA299" s="232">
        <v>7287000</v>
      </c>
      <c r="AB299" s="233">
        <v>0</v>
      </c>
      <c r="AC299" s="215"/>
    </row>
    <row r="300" spans="1:29" ht="2.25" customHeight="1">
      <c r="A300" s="215"/>
      <c r="B300" s="529" t="s">
        <v>212</v>
      </c>
      <c r="C300" s="529"/>
      <c r="D300" s="219" t="s">
        <v>212</v>
      </c>
      <c r="E300" s="222" t="s">
        <v>212</v>
      </c>
      <c r="F300" s="531" t="s">
        <v>212</v>
      </c>
      <c r="G300" s="531"/>
      <c r="H300" s="222" t="s">
        <v>212</v>
      </c>
      <c r="I300" s="531" t="s">
        <v>212</v>
      </c>
      <c r="J300" s="531"/>
      <c r="K300" s="222" t="s">
        <v>212</v>
      </c>
      <c r="L300" s="222" t="s">
        <v>212</v>
      </c>
      <c r="M300" s="222" t="s">
        <v>212</v>
      </c>
      <c r="N300" s="222" t="s">
        <v>212</v>
      </c>
      <c r="O300" s="222" t="s">
        <v>212</v>
      </c>
      <c r="P300" s="222" t="s">
        <v>212</v>
      </c>
      <c r="Q300" s="222" t="s">
        <v>212</v>
      </c>
      <c r="R300" s="222" t="s">
        <v>212</v>
      </c>
      <c r="S300" s="222" t="s">
        <v>212</v>
      </c>
      <c r="T300" s="531" t="s">
        <v>212</v>
      </c>
      <c r="U300" s="531"/>
      <c r="V300" s="222" t="s">
        <v>212</v>
      </c>
      <c r="W300" s="222" t="s">
        <v>212</v>
      </c>
      <c r="X300" s="531" t="s">
        <v>212</v>
      </c>
      <c r="Y300" s="531"/>
      <c r="Z300" s="222" t="s">
        <v>212</v>
      </c>
      <c r="AA300" s="222" t="s">
        <v>212</v>
      </c>
      <c r="AB300" s="222" t="s">
        <v>212</v>
      </c>
      <c r="AC300" s="215"/>
    </row>
    <row r="301" spans="1:29" ht="13.5" customHeight="1">
      <c r="A301" s="215"/>
      <c r="B301" s="532">
        <v>38860</v>
      </c>
      <c r="C301" s="532"/>
      <c r="D301" s="219" t="s">
        <v>212</v>
      </c>
      <c r="E301" s="224">
        <v>265.89999999999998</v>
      </c>
      <c r="F301" s="533">
        <v>24</v>
      </c>
      <c r="G301" s="533"/>
      <c r="H301" s="224">
        <v>306.89999999999998</v>
      </c>
      <c r="I301" s="533">
        <v>24</v>
      </c>
      <c r="J301" s="533"/>
      <c r="K301" s="224">
        <v>0</v>
      </c>
      <c r="L301" s="225">
        <v>0</v>
      </c>
      <c r="M301" s="224">
        <v>0</v>
      </c>
      <c r="N301" s="225">
        <v>0</v>
      </c>
      <c r="O301" s="226">
        <v>572.79999999999995</v>
      </c>
      <c r="P301" s="222" t="s">
        <v>212</v>
      </c>
      <c r="Q301" s="224">
        <v>0</v>
      </c>
      <c r="R301" s="225">
        <v>0</v>
      </c>
      <c r="S301" s="224">
        <v>0</v>
      </c>
      <c r="T301" s="533">
        <v>0</v>
      </c>
      <c r="U301" s="533"/>
      <c r="V301" s="224">
        <v>0</v>
      </c>
      <c r="W301" s="222" t="s">
        <v>212</v>
      </c>
      <c r="X301" s="534">
        <v>572.79999999999995</v>
      </c>
      <c r="Y301" s="534"/>
      <c r="Z301" s="222" t="s">
        <v>212</v>
      </c>
      <c r="AA301" s="227">
        <v>7794000</v>
      </c>
      <c r="AB301" s="228">
        <v>0</v>
      </c>
      <c r="AC301" s="215"/>
    </row>
    <row r="302" spans="1:29" ht="2.25" customHeight="1">
      <c r="A302" s="215"/>
      <c r="B302" s="529" t="s">
        <v>212</v>
      </c>
      <c r="C302" s="529"/>
      <c r="D302" s="219" t="s">
        <v>212</v>
      </c>
      <c r="E302" s="222" t="s">
        <v>212</v>
      </c>
      <c r="F302" s="531" t="s">
        <v>212</v>
      </c>
      <c r="G302" s="531"/>
      <c r="H302" s="222" t="s">
        <v>212</v>
      </c>
      <c r="I302" s="531" t="s">
        <v>212</v>
      </c>
      <c r="J302" s="531"/>
      <c r="K302" s="222" t="s">
        <v>212</v>
      </c>
      <c r="L302" s="222" t="s">
        <v>212</v>
      </c>
      <c r="M302" s="222" t="s">
        <v>212</v>
      </c>
      <c r="N302" s="222" t="s">
        <v>212</v>
      </c>
      <c r="O302" s="222" t="s">
        <v>212</v>
      </c>
      <c r="P302" s="222" t="s">
        <v>212</v>
      </c>
      <c r="Q302" s="222" t="s">
        <v>212</v>
      </c>
      <c r="R302" s="222" t="s">
        <v>212</v>
      </c>
      <c r="S302" s="222" t="s">
        <v>212</v>
      </c>
      <c r="T302" s="531" t="s">
        <v>212</v>
      </c>
      <c r="U302" s="531"/>
      <c r="V302" s="222" t="s">
        <v>212</v>
      </c>
      <c r="W302" s="222" t="s">
        <v>212</v>
      </c>
      <c r="X302" s="531" t="s">
        <v>212</v>
      </c>
      <c r="Y302" s="531"/>
      <c r="Z302" s="222" t="s">
        <v>212</v>
      </c>
      <c r="AA302" s="222" t="s">
        <v>212</v>
      </c>
      <c r="AB302" s="222" t="s">
        <v>212</v>
      </c>
      <c r="AC302" s="215"/>
    </row>
    <row r="303" spans="1:29" ht="13.5" customHeight="1">
      <c r="A303" s="215"/>
      <c r="B303" s="535">
        <v>38861</v>
      </c>
      <c r="C303" s="535"/>
      <c r="D303" s="219" t="s">
        <v>212</v>
      </c>
      <c r="E303" s="229">
        <v>269.5</v>
      </c>
      <c r="F303" s="536">
        <v>24</v>
      </c>
      <c r="G303" s="536"/>
      <c r="H303" s="229">
        <v>320.5</v>
      </c>
      <c r="I303" s="536">
        <v>24</v>
      </c>
      <c r="J303" s="536"/>
      <c r="K303" s="229">
        <v>0</v>
      </c>
      <c r="L303" s="230">
        <v>0</v>
      </c>
      <c r="M303" s="229">
        <v>0</v>
      </c>
      <c r="N303" s="230">
        <v>0</v>
      </c>
      <c r="O303" s="231">
        <v>590</v>
      </c>
      <c r="P303" s="222" t="s">
        <v>212</v>
      </c>
      <c r="Q303" s="229">
        <v>0</v>
      </c>
      <c r="R303" s="230">
        <v>0</v>
      </c>
      <c r="S303" s="229">
        <v>0</v>
      </c>
      <c r="T303" s="536">
        <v>0</v>
      </c>
      <c r="U303" s="536"/>
      <c r="V303" s="229">
        <v>0</v>
      </c>
      <c r="W303" s="222" t="s">
        <v>212</v>
      </c>
      <c r="X303" s="530">
        <v>590</v>
      </c>
      <c r="Y303" s="530"/>
      <c r="Z303" s="222" t="s">
        <v>212</v>
      </c>
      <c r="AA303" s="232">
        <v>7921100</v>
      </c>
      <c r="AB303" s="233">
        <v>0</v>
      </c>
      <c r="AC303" s="215"/>
    </row>
    <row r="304" spans="1:29" ht="2.25" customHeight="1">
      <c r="A304" s="215"/>
      <c r="B304" s="529" t="s">
        <v>212</v>
      </c>
      <c r="C304" s="529"/>
      <c r="D304" s="219" t="s">
        <v>212</v>
      </c>
      <c r="E304" s="222" t="s">
        <v>212</v>
      </c>
      <c r="F304" s="531" t="s">
        <v>212</v>
      </c>
      <c r="G304" s="531"/>
      <c r="H304" s="222" t="s">
        <v>212</v>
      </c>
      <c r="I304" s="531" t="s">
        <v>212</v>
      </c>
      <c r="J304" s="531"/>
      <c r="K304" s="222" t="s">
        <v>212</v>
      </c>
      <c r="L304" s="222" t="s">
        <v>212</v>
      </c>
      <c r="M304" s="222" t="s">
        <v>212</v>
      </c>
      <c r="N304" s="222" t="s">
        <v>212</v>
      </c>
      <c r="O304" s="222" t="s">
        <v>212</v>
      </c>
      <c r="P304" s="222" t="s">
        <v>212</v>
      </c>
      <c r="Q304" s="222" t="s">
        <v>212</v>
      </c>
      <c r="R304" s="222" t="s">
        <v>212</v>
      </c>
      <c r="S304" s="222" t="s">
        <v>212</v>
      </c>
      <c r="T304" s="531" t="s">
        <v>212</v>
      </c>
      <c r="U304" s="531"/>
      <c r="V304" s="222" t="s">
        <v>212</v>
      </c>
      <c r="W304" s="222" t="s">
        <v>212</v>
      </c>
      <c r="X304" s="531" t="s">
        <v>212</v>
      </c>
      <c r="Y304" s="531"/>
      <c r="Z304" s="222" t="s">
        <v>212</v>
      </c>
      <c r="AA304" s="222" t="s">
        <v>212</v>
      </c>
      <c r="AB304" s="222" t="s">
        <v>212</v>
      </c>
      <c r="AC304" s="215"/>
    </row>
    <row r="305" spans="1:29" ht="13.5" customHeight="1">
      <c r="A305" s="215"/>
      <c r="B305" s="532">
        <v>38862</v>
      </c>
      <c r="C305" s="532"/>
      <c r="D305" s="219" t="s">
        <v>212</v>
      </c>
      <c r="E305" s="224">
        <v>297.8</v>
      </c>
      <c r="F305" s="533">
        <v>24</v>
      </c>
      <c r="G305" s="533"/>
      <c r="H305" s="224">
        <v>301.3</v>
      </c>
      <c r="I305" s="533">
        <v>24</v>
      </c>
      <c r="J305" s="533"/>
      <c r="K305" s="224">
        <v>0</v>
      </c>
      <c r="L305" s="225">
        <v>0</v>
      </c>
      <c r="M305" s="224">
        <v>0</v>
      </c>
      <c r="N305" s="225">
        <v>0</v>
      </c>
      <c r="O305" s="226">
        <v>599.1</v>
      </c>
      <c r="P305" s="222" t="s">
        <v>212</v>
      </c>
      <c r="Q305" s="224">
        <v>0</v>
      </c>
      <c r="R305" s="225">
        <v>0</v>
      </c>
      <c r="S305" s="224">
        <v>0</v>
      </c>
      <c r="T305" s="533">
        <v>0</v>
      </c>
      <c r="U305" s="533"/>
      <c r="V305" s="224">
        <v>0</v>
      </c>
      <c r="W305" s="222" t="s">
        <v>212</v>
      </c>
      <c r="X305" s="534">
        <v>599.1</v>
      </c>
      <c r="Y305" s="534"/>
      <c r="Z305" s="222" t="s">
        <v>212</v>
      </c>
      <c r="AA305" s="227">
        <v>8045200</v>
      </c>
      <c r="AB305" s="228">
        <v>0</v>
      </c>
      <c r="AC305" s="215"/>
    </row>
    <row r="306" spans="1:29" ht="2.25" customHeight="1">
      <c r="A306" s="215"/>
      <c r="B306" s="529" t="s">
        <v>212</v>
      </c>
      <c r="C306" s="529"/>
      <c r="D306" s="219" t="s">
        <v>212</v>
      </c>
      <c r="E306" s="222" t="s">
        <v>212</v>
      </c>
      <c r="F306" s="531" t="s">
        <v>212</v>
      </c>
      <c r="G306" s="531"/>
      <c r="H306" s="222" t="s">
        <v>212</v>
      </c>
      <c r="I306" s="531" t="s">
        <v>212</v>
      </c>
      <c r="J306" s="531"/>
      <c r="K306" s="222" t="s">
        <v>212</v>
      </c>
      <c r="L306" s="222" t="s">
        <v>212</v>
      </c>
      <c r="M306" s="222" t="s">
        <v>212</v>
      </c>
      <c r="N306" s="222" t="s">
        <v>212</v>
      </c>
      <c r="O306" s="222" t="s">
        <v>212</v>
      </c>
      <c r="P306" s="222" t="s">
        <v>212</v>
      </c>
      <c r="Q306" s="222" t="s">
        <v>212</v>
      </c>
      <c r="R306" s="222" t="s">
        <v>212</v>
      </c>
      <c r="S306" s="222" t="s">
        <v>212</v>
      </c>
      <c r="T306" s="531" t="s">
        <v>212</v>
      </c>
      <c r="U306" s="531"/>
      <c r="V306" s="222" t="s">
        <v>212</v>
      </c>
      <c r="W306" s="222" t="s">
        <v>212</v>
      </c>
      <c r="X306" s="531" t="s">
        <v>212</v>
      </c>
      <c r="Y306" s="531"/>
      <c r="Z306" s="222" t="s">
        <v>212</v>
      </c>
      <c r="AA306" s="222" t="s">
        <v>212</v>
      </c>
      <c r="AB306" s="222" t="s">
        <v>212</v>
      </c>
      <c r="AC306" s="215"/>
    </row>
    <row r="307" spans="1:29" ht="13.5" customHeight="1">
      <c r="A307" s="215"/>
      <c r="B307" s="535">
        <v>38863</v>
      </c>
      <c r="C307" s="535"/>
      <c r="D307" s="219" t="s">
        <v>212</v>
      </c>
      <c r="E307" s="229">
        <v>237</v>
      </c>
      <c r="F307" s="536">
        <v>24</v>
      </c>
      <c r="G307" s="536"/>
      <c r="H307" s="229">
        <v>248.8</v>
      </c>
      <c r="I307" s="536">
        <v>24</v>
      </c>
      <c r="J307" s="536"/>
      <c r="K307" s="229">
        <v>0</v>
      </c>
      <c r="L307" s="230">
        <v>0</v>
      </c>
      <c r="M307" s="229">
        <v>0</v>
      </c>
      <c r="N307" s="230">
        <v>0</v>
      </c>
      <c r="O307" s="231">
        <v>485.8</v>
      </c>
      <c r="P307" s="222" t="s">
        <v>212</v>
      </c>
      <c r="Q307" s="229">
        <v>0</v>
      </c>
      <c r="R307" s="230">
        <v>0</v>
      </c>
      <c r="S307" s="229">
        <v>0</v>
      </c>
      <c r="T307" s="536">
        <v>0</v>
      </c>
      <c r="U307" s="536"/>
      <c r="V307" s="229">
        <v>0</v>
      </c>
      <c r="W307" s="222" t="s">
        <v>212</v>
      </c>
      <c r="X307" s="530">
        <v>485.8</v>
      </c>
      <c r="Y307" s="530"/>
      <c r="Z307" s="222" t="s">
        <v>212</v>
      </c>
      <c r="AA307" s="232">
        <v>7128400</v>
      </c>
      <c r="AB307" s="233">
        <v>0</v>
      </c>
      <c r="AC307" s="215"/>
    </row>
    <row r="308" spans="1:29" ht="2.25" customHeight="1">
      <c r="A308" s="215"/>
      <c r="B308" s="529" t="s">
        <v>212</v>
      </c>
      <c r="C308" s="529"/>
      <c r="D308" s="219" t="s">
        <v>212</v>
      </c>
      <c r="E308" s="222" t="s">
        <v>212</v>
      </c>
      <c r="F308" s="531" t="s">
        <v>212</v>
      </c>
      <c r="G308" s="531"/>
      <c r="H308" s="222" t="s">
        <v>212</v>
      </c>
      <c r="I308" s="531" t="s">
        <v>212</v>
      </c>
      <c r="J308" s="531"/>
      <c r="K308" s="222" t="s">
        <v>212</v>
      </c>
      <c r="L308" s="222" t="s">
        <v>212</v>
      </c>
      <c r="M308" s="222" t="s">
        <v>212</v>
      </c>
      <c r="N308" s="222" t="s">
        <v>212</v>
      </c>
      <c r="O308" s="222" t="s">
        <v>212</v>
      </c>
      <c r="P308" s="222" t="s">
        <v>212</v>
      </c>
      <c r="Q308" s="222" t="s">
        <v>212</v>
      </c>
      <c r="R308" s="222" t="s">
        <v>212</v>
      </c>
      <c r="S308" s="222" t="s">
        <v>212</v>
      </c>
      <c r="T308" s="531" t="s">
        <v>212</v>
      </c>
      <c r="U308" s="531"/>
      <c r="V308" s="222" t="s">
        <v>212</v>
      </c>
      <c r="W308" s="222" t="s">
        <v>212</v>
      </c>
      <c r="X308" s="531" t="s">
        <v>212</v>
      </c>
      <c r="Y308" s="531"/>
      <c r="Z308" s="222" t="s">
        <v>212</v>
      </c>
      <c r="AA308" s="222" t="s">
        <v>212</v>
      </c>
      <c r="AB308" s="222" t="s">
        <v>212</v>
      </c>
      <c r="AC308" s="215"/>
    </row>
    <row r="309" spans="1:29" ht="13.5" customHeight="1">
      <c r="A309" s="215"/>
      <c r="B309" s="532">
        <v>38864</v>
      </c>
      <c r="C309" s="532"/>
      <c r="D309" s="219" t="s">
        <v>212</v>
      </c>
      <c r="E309" s="224">
        <v>268.10000000000002</v>
      </c>
      <c r="F309" s="533">
        <v>24</v>
      </c>
      <c r="G309" s="533"/>
      <c r="H309" s="224">
        <v>292.10000000000002</v>
      </c>
      <c r="I309" s="533">
        <v>24</v>
      </c>
      <c r="J309" s="533"/>
      <c r="K309" s="224">
        <v>0</v>
      </c>
      <c r="L309" s="225">
        <v>0</v>
      </c>
      <c r="M309" s="224">
        <v>0</v>
      </c>
      <c r="N309" s="225">
        <v>0</v>
      </c>
      <c r="O309" s="226">
        <v>560.20000000000005</v>
      </c>
      <c r="P309" s="222" t="s">
        <v>212</v>
      </c>
      <c r="Q309" s="224">
        <v>0</v>
      </c>
      <c r="R309" s="225">
        <v>0</v>
      </c>
      <c r="S309" s="224">
        <v>0</v>
      </c>
      <c r="T309" s="533">
        <v>0</v>
      </c>
      <c r="U309" s="533"/>
      <c r="V309" s="224">
        <v>0</v>
      </c>
      <c r="W309" s="222" t="s">
        <v>212</v>
      </c>
      <c r="X309" s="534">
        <v>560.20000000000005</v>
      </c>
      <c r="Y309" s="534"/>
      <c r="Z309" s="222" t="s">
        <v>212</v>
      </c>
      <c r="AA309" s="227">
        <v>7746100</v>
      </c>
      <c r="AB309" s="228">
        <v>0</v>
      </c>
      <c r="AC309" s="215"/>
    </row>
    <row r="310" spans="1:29" ht="2.25" customHeight="1">
      <c r="A310" s="215"/>
      <c r="B310" s="529" t="s">
        <v>212</v>
      </c>
      <c r="C310" s="529"/>
      <c r="D310" s="219" t="s">
        <v>212</v>
      </c>
      <c r="E310" s="222" t="s">
        <v>212</v>
      </c>
      <c r="F310" s="531" t="s">
        <v>212</v>
      </c>
      <c r="G310" s="531"/>
      <c r="H310" s="222" t="s">
        <v>212</v>
      </c>
      <c r="I310" s="531" t="s">
        <v>212</v>
      </c>
      <c r="J310" s="531"/>
      <c r="K310" s="222" t="s">
        <v>212</v>
      </c>
      <c r="L310" s="222" t="s">
        <v>212</v>
      </c>
      <c r="M310" s="222" t="s">
        <v>212</v>
      </c>
      <c r="N310" s="222" t="s">
        <v>212</v>
      </c>
      <c r="O310" s="222" t="s">
        <v>212</v>
      </c>
      <c r="P310" s="222" t="s">
        <v>212</v>
      </c>
      <c r="Q310" s="222" t="s">
        <v>212</v>
      </c>
      <c r="R310" s="222" t="s">
        <v>212</v>
      </c>
      <c r="S310" s="222" t="s">
        <v>212</v>
      </c>
      <c r="T310" s="531" t="s">
        <v>212</v>
      </c>
      <c r="U310" s="531"/>
      <c r="V310" s="222" t="s">
        <v>212</v>
      </c>
      <c r="W310" s="222" t="s">
        <v>212</v>
      </c>
      <c r="X310" s="531" t="s">
        <v>212</v>
      </c>
      <c r="Y310" s="531"/>
      <c r="Z310" s="222" t="s">
        <v>212</v>
      </c>
      <c r="AA310" s="222" t="s">
        <v>212</v>
      </c>
      <c r="AB310" s="222" t="s">
        <v>212</v>
      </c>
      <c r="AC310" s="215"/>
    </row>
    <row r="311" spans="1:29" ht="13.5" customHeight="1">
      <c r="A311" s="215"/>
      <c r="B311" s="535">
        <v>38865</v>
      </c>
      <c r="C311" s="535"/>
      <c r="D311" s="219" t="s">
        <v>212</v>
      </c>
      <c r="E311" s="229">
        <v>267</v>
      </c>
      <c r="F311" s="536">
        <v>24</v>
      </c>
      <c r="G311" s="536"/>
      <c r="H311" s="229">
        <v>311.7</v>
      </c>
      <c r="I311" s="536">
        <v>24</v>
      </c>
      <c r="J311" s="536"/>
      <c r="K311" s="229">
        <v>0</v>
      </c>
      <c r="L311" s="230">
        <v>0</v>
      </c>
      <c r="M311" s="229">
        <v>0</v>
      </c>
      <c r="N311" s="230">
        <v>0</v>
      </c>
      <c r="O311" s="231">
        <v>578.70000000000005</v>
      </c>
      <c r="P311" s="222" t="s">
        <v>212</v>
      </c>
      <c r="Q311" s="229">
        <v>0</v>
      </c>
      <c r="R311" s="230">
        <v>24</v>
      </c>
      <c r="S311" s="229">
        <v>0</v>
      </c>
      <c r="T311" s="536">
        <v>0</v>
      </c>
      <c r="U311" s="536"/>
      <c r="V311" s="229">
        <v>0</v>
      </c>
      <c r="W311" s="222" t="s">
        <v>212</v>
      </c>
      <c r="X311" s="530">
        <v>578.70000000000005</v>
      </c>
      <c r="Y311" s="530"/>
      <c r="Z311" s="222" t="s">
        <v>212</v>
      </c>
      <c r="AA311" s="232">
        <v>8017500</v>
      </c>
      <c r="AB311" s="233">
        <v>1663</v>
      </c>
      <c r="AC311" s="215"/>
    </row>
    <row r="312" spans="1:29" ht="2.25" customHeight="1">
      <c r="A312" s="215"/>
      <c r="B312" s="529" t="s">
        <v>212</v>
      </c>
      <c r="C312" s="529"/>
      <c r="D312" s="219" t="s">
        <v>212</v>
      </c>
      <c r="E312" s="222" t="s">
        <v>212</v>
      </c>
      <c r="F312" s="531" t="s">
        <v>212</v>
      </c>
      <c r="G312" s="531"/>
      <c r="H312" s="222" t="s">
        <v>212</v>
      </c>
      <c r="I312" s="531" t="s">
        <v>212</v>
      </c>
      <c r="J312" s="531"/>
      <c r="K312" s="222" t="s">
        <v>212</v>
      </c>
      <c r="L312" s="222" t="s">
        <v>212</v>
      </c>
      <c r="M312" s="222" t="s">
        <v>212</v>
      </c>
      <c r="N312" s="222" t="s">
        <v>212</v>
      </c>
      <c r="O312" s="222" t="s">
        <v>212</v>
      </c>
      <c r="P312" s="222" t="s">
        <v>212</v>
      </c>
      <c r="Q312" s="222" t="s">
        <v>212</v>
      </c>
      <c r="R312" s="222" t="s">
        <v>212</v>
      </c>
      <c r="S312" s="222" t="s">
        <v>212</v>
      </c>
      <c r="T312" s="531" t="s">
        <v>212</v>
      </c>
      <c r="U312" s="531"/>
      <c r="V312" s="222" t="s">
        <v>212</v>
      </c>
      <c r="W312" s="222" t="s">
        <v>212</v>
      </c>
      <c r="X312" s="531" t="s">
        <v>212</v>
      </c>
      <c r="Y312" s="531"/>
      <c r="Z312" s="222" t="s">
        <v>212</v>
      </c>
      <c r="AA312" s="222" t="s">
        <v>212</v>
      </c>
      <c r="AB312" s="222" t="s">
        <v>212</v>
      </c>
      <c r="AC312" s="215"/>
    </row>
    <row r="313" spans="1:29" ht="13.5" customHeight="1">
      <c r="A313" s="215"/>
      <c r="B313" s="532">
        <v>38866</v>
      </c>
      <c r="C313" s="532"/>
      <c r="D313" s="219" t="s">
        <v>212</v>
      </c>
      <c r="E313" s="224">
        <v>228.1</v>
      </c>
      <c r="F313" s="533">
        <v>24</v>
      </c>
      <c r="G313" s="533"/>
      <c r="H313" s="224">
        <v>273.10000000000002</v>
      </c>
      <c r="I313" s="533">
        <v>24</v>
      </c>
      <c r="J313" s="533"/>
      <c r="K313" s="224">
        <v>4</v>
      </c>
      <c r="L313" s="225">
        <v>1</v>
      </c>
      <c r="M313" s="224">
        <v>0</v>
      </c>
      <c r="N313" s="225">
        <v>0</v>
      </c>
      <c r="O313" s="226">
        <v>505.2</v>
      </c>
      <c r="P313" s="222" t="s">
        <v>212</v>
      </c>
      <c r="Q313" s="224">
        <v>0</v>
      </c>
      <c r="R313" s="225">
        <v>0</v>
      </c>
      <c r="S313" s="224">
        <v>0</v>
      </c>
      <c r="T313" s="533">
        <v>0</v>
      </c>
      <c r="U313" s="533"/>
      <c r="V313" s="224">
        <v>0</v>
      </c>
      <c r="W313" s="222" t="s">
        <v>212</v>
      </c>
      <c r="X313" s="534">
        <v>505.2</v>
      </c>
      <c r="Y313" s="534"/>
      <c r="Z313" s="222" t="s">
        <v>212</v>
      </c>
      <c r="AA313" s="227">
        <v>7292800</v>
      </c>
      <c r="AB313" s="228">
        <v>4316</v>
      </c>
      <c r="AC313" s="215"/>
    </row>
    <row r="314" spans="1:29" ht="2.25" customHeight="1">
      <c r="A314" s="215"/>
      <c r="B314" s="529" t="s">
        <v>212</v>
      </c>
      <c r="C314" s="529"/>
      <c r="D314" s="219" t="s">
        <v>212</v>
      </c>
      <c r="E314" s="222" t="s">
        <v>212</v>
      </c>
      <c r="F314" s="531" t="s">
        <v>212</v>
      </c>
      <c r="G314" s="531"/>
      <c r="H314" s="222" t="s">
        <v>212</v>
      </c>
      <c r="I314" s="531" t="s">
        <v>212</v>
      </c>
      <c r="J314" s="531"/>
      <c r="K314" s="222" t="s">
        <v>212</v>
      </c>
      <c r="L314" s="222" t="s">
        <v>212</v>
      </c>
      <c r="M314" s="222" t="s">
        <v>212</v>
      </c>
      <c r="N314" s="222" t="s">
        <v>212</v>
      </c>
      <c r="O314" s="222" t="s">
        <v>212</v>
      </c>
      <c r="P314" s="222" t="s">
        <v>212</v>
      </c>
      <c r="Q314" s="222" t="s">
        <v>212</v>
      </c>
      <c r="R314" s="222" t="s">
        <v>212</v>
      </c>
      <c r="S314" s="222" t="s">
        <v>212</v>
      </c>
      <c r="T314" s="531" t="s">
        <v>212</v>
      </c>
      <c r="U314" s="531"/>
      <c r="V314" s="222" t="s">
        <v>212</v>
      </c>
      <c r="W314" s="222" t="s">
        <v>212</v>
      </c>
      <c r="X314" s="531" t="s">
        <v>212</v>
      </c>
      <c r="Y314" s="531"/>
      <c r="Z314" s="222" t="s">
        <v>212</v>
      </c>
      <c r="AA314" s="222" t="s">
        <v>212</v>
      </c>
      <c r="AB314" s="222" t="s">
        <v>212</v>
      </c>
      <c r="AC314" s="215"/>
    </row>
    <row r="315" spans="1:29" ht="13.5" customHeight="1">
      <c r="A315" s="215"/>
      <c r="B315" s="535">
        <v>38867</v>
      </c>
      <c r="C315" s="535"/>
      <c r="D315" s="219" t="s">
        <v>212</v>
      </c>
      <c r="E315" s="229">
        <v>227</v>
      </c>
      <c r="F315" s="536">
        <v>24</v>
      </c>
      <c r="G315" s="536"/>
      <c r="H315" s="229">
        <v>312</v>
      </c>
      <c r="I315" s="536">
        <v>24</v>
      </c>
      <c r="J315" s="536"/>
      <c r="K315" s="229">
        <v>0</v>
      </c>
      <c r="L315" s="230">
        <v>0</v>
      </c>
      <c r="M315" s="229">
        <v>0</v>
      </c>
      <c r="N315" s="230">
        <v>0</v>
      </c>
      <c r="O315" s="231">
        <v>539</v>
      </c>
      <c r="P315" s="222" t="s">
        <v>212</v>
      </c>
      <c r="Q315" s="229">
        <v>0</v>
      </c>
      <c r="R315" s="230">
        <v>0</v>
      </c>
      <c r="S315" s="229">
        <v>0</v>
      </c>
      <c r="T315" s="536">
        <v>0</v>
      </c>
      <c r="U315" s="536"/>
      <c r="V315" s="229">
        <v>0</v>
      </c>
      <c r="W315" s="222" t="s">
        <v>212</v>
      </c>
      <c r="X315" s="530">
        <v>539</v>
      </c>
      <c r="Y315" s="530"/>
      <c r="Z315" s="222" t="s">
        <v>212</v>
      </c>
      <c r="AA315" s="232">
        <v>7575300</v>
      </c>
      <c r="AB315" s="233">
        <v>0</v>
      </c>
      <c r="AC315" s="215"/>
    </row>
    <row r="316" spans="1:29" ht="2.25" customHeight="1">
      <c r="A316" s="215"/>
      <c r="B316" s="529" t="s">
        <v>212</v>
      </c>
      <c r="C316" s="529"/>
      <c r="D316" s="219" t="s">
        <v>212</v>
      </c>
      <c r="E316" s="222" t="s">
        <v>212</v>
      </c>
      <c r="F316" s="531" t="s">
        <v>212</v>
      </c>
      <c r="G316" s="531"/>
      <c r="H316" s="222" t="s">
        <v>212</v>
      </c>
      <c r="I316" s="531" t="s">
        <v>212</v>
      </c>
      <c r="J316" s="531"/>
      <c r="K316" s="222" t="s">
        <v>212</v>
      </c>
      <c r="L316" s="222" t="s">
        <v>212</v>
      </c>
      <c r="M316" s="222" t="s">
        <v>212</v>
      </c>
      <c r="N316" s="222" t="s">
        <v>212</v>
      </c>
      <c r="O316" s="222" t="s">
        <v>212</v>
      </c>
      <c r="P316" s="222" t="s">
        <v>212</v>
      </c>
      <c r="Q316" s="222" t="s">
        <v>212</v>
      </c>
      <c r="R316" s="222" t="s">
        <v>212</v>
      </c>
      <c r="S316" s="222" t="s">
        <v>212</v>
      </c>
      <c r="T316" s="531" t="s">
        <v>212</v>
      </c>
      <c r="U316" s="531"/>
      <c r="V316" s="222" t="s">
        <v>212</v>
      </c>
      <c r="W316" s="222" t="s">
        <v>212</v>
      </c>
      <c r="X316" s="531" t="s">
        <v>212</v>
      </c>
      <c r="Y316" s="531"/>
      <c r="Z316" s="222" t="s">
        <v>212</v>
      </c>
      <c r="AA316" s="222" t="s">
        <v>212</v>
      </c>
      <c r="AB316" s="222" t="s">
        <v>212</v>
      </c>
      <c r="AC316" s="215"/>
    </row>
    <row r="317" spans="1:29" ht="13.5" customHeight="1">
      <c r="A317" s="215"/>
      <c r="B317" s="532">
        <v>38868</v>
      </c>
      <c r="C317" s="532"/>
      <c r="D317" s="219" t="s">
        <v>212</v>
      </c>
      <c r="E317" s="224">
        <v>258</v>
      </c>
      <c r="F317" s="533">
        <v>24</v>
      </c>
      <c r="G317" s="533"/>
      <c r="H317" s="224">
        <v>330</v>
      </c>
      <c r="I317" s="533">
        <v>24</v>
      </c>
      <c r="J317" s="533"/>
      <c r="K317" s="224">
        <v>0</v>
      </c>
      <c r="L317" s="225">
        <v>0</v>
      </c>
      <c r="M317" s="224">
        <v>0</v>
      </c>
      <c r="N317" s="225">
        <v>0</v>
      </c>
      <c r="O317" s="226">
        <v>588</v>
      </c>
      <c r="P317" s="222" t="s">
        <v>212</v>
      </c>
      <c r="Q317" s="224">
        <v>0</v>
      </c>
      <c r="R317" s="225">
        <v>0</v>
      </c>
      <c r="S317" s="224">
        <v>0</v>
      </c>
      <c r="T317" s="533">
        <v>0</v>
      </c>
      <c r="U317" s="533"/>
      <c r="V317" s="224">
        <v>0</v>
      </c>
      <c r="W317" s="222" t="s">
        <v>212</v>
      </c>
      <c r="X317" s="534">
        <v>588</v>
      </c>
      <c r="Y317" s="534"/>
      <c r="Z317" s="222" t="s">
        <v>212</v>
      </c>
      <c r="AA317" s="227">
        <v>7995400</v>
      </c>
      <c r="AB317" s="228">
        <v>0</v>
      </c>
      <c r="AC317" s="215"/>
    </row>
    <row r="318" spans="1:29" ht="2.25" customHeight="1">
      <c r="A318" s="215"/>
      <c r="B318" s="529" t="s">
        <v>212</v>
      </c>
      <c r="C318" s="529"/>
      <c r="D318" s="219" t="s">
        <v>212</v>
      </c>
      <c r="E318" s="222" t="s">
        <v>212</v>
      </c>
      <c r="F318" s="531" t="s">
        <v>212</v>
      </c>
      <c r="G318" s="531"/>
      <c r="H318" s="222" t="s">
        <v>212</v>
      </c>
      <c r="I318" s="531" t="s">
        <v>212</v>
      </c>
      <c r="J318" s="531"/>
      <c r="K318" s="222" t="s">
        <v>212</v>
      </c>
      <c r="L318" s="222" t="s">
        <v>212</v>
      </c>
      <c r="M318" s="222" t="s">
        <v>212</v>
      </c>
      <c r="N318" s="222" t="s">
        <v>212</v>
      </c>
      <c r="O318" s="222" t="s">
        <v>212</v>
      </c>
      <c r="P318" s="222" t="s">
        <v>212</v>
      </c>
      <c r="Q318" s="222" t="s">
        <v>212</v>
      </c>
      <c r="R318" s="222" t="s">
        <v>212</v>
      </c>
      <c r="S318" s="222" t="s">
        <v>212</v>
      </c>
      <c r="T318" s="531" t="s">
        <v>212</v>
      </c>
      <c r="U318" s="531"/>
      <c r="V318" s="222" t="s">
        <v>212</v>
      </c>
      <c r="W318" s="222" t="s">
        <v>212</v>
      </c>
      <c r="X318" s="531" t="s">
        <v>212</v>
      </c>
      <c r="Y318" s="531"/>
      <c r="Z318" s="222" t="s">
        <v>212</v>
      </c>
      <c r="AA318" s="222" t="s">
        <v>212</v>
      </c>
      <c r="AB318" s="222" t="s">
        <v>212</v>
      </c>
      <c r="AC318" s="215"/>
    </row>
    <row r="319" spans="1:29" ht="13.5" customHeight="1">
      <c r="A319" s="215"/>
      <c r="B319" s="535">
        <v>38869</v>
      </c>
      <c r="C319" s="535"/>
      <c r="D319" s="219" t="s">
        <v>212</v>
      </c>
      <c r="E319" s="229">
        <v>269.5</v>
      </c>
      <c r="F319" s="536">
        <v>24</v>
      </c>
      <c r="G319" s="536"/>
      <c r="H319" s="229">
        <v>287.3</v>
      </c>
      <c r="I319" s="536">
        <v>24</v>
      </c>
      <c r="J319" s="536"/>
      <c r="K319" s="229">
        <v>0</v>
      </c>
      <c r="L319" s="230">
        <v>0</v>
      </c>
      <c r="M319" s="229">
        <v>0</v>
      </c>
      <c r="N319" s="230">
        <v>0</v>
      </c>
      <c r="O319" s="231">
        <v>556.79999999999995</v>
      </c>
      <c r="P319" s="222" t="s">
        <v>212</v>
      </c>
      <c r="Q319" s="229">
        <v>0</v>
      </c>
      <c r="R319" s="230">
        <v>0</v>
      </c>
      <c r="S319" s="229">
        <v>0</v>
      </c>
      <c r="T319" s="536">
        <v>0</v>
      </c>
      <c r="U319" s="536"/>
      <c r="V319" s="229">
        <v>0</v>
      </c>
      <c r="W319" s="222" t="s">
        <v>212</v>
      </c>
      <c r="X319" s="530">
        <v>556.79999999999995</v>
      </c>
      <c r="Y319" s="530"/>
      <c r="Z319" s="222" t="s">
        <v>212</v>
      </c>
      <c r="AA319" s="232">
        <v>7054100</v>
      </c>
      <c r="AB319" s="233">
        <v>0</v>
      </c>
      <c r="AC319" s="215"/>
    </row>
    <row r="320" spans="1:29" ht="2.25" customHeight="1">
      <c r="A320" s="215"/>
      <c r="B320" s="529" t="s">
        <v>212</v>
      </c>
      <c r="C320" s="529"/>
      <c r="D320" s="219" t="s">
        <v>212</v>
      </c>
      <c r="E320" s="222" t="s">
        <v>212</v>
      </c>
      <c r="F320" s="531" t="s">
        <v>212</v>
      </c>
      <c r="G320" s="531"/>
      <c r="H320" s="222" t="s">
        <v>212</v>
      </c>
      <c r="I320" s="531" t="s">
        <v>212</v>
      </c>
      <c r="J320" s="531"/>
      <c r="K320" s="222" t="s">
        <v>212</v>
      </c>
      <c r="L320" s="222" t="s">
        <v>212</v>
      </c>
      <c r="M320" s="222" t="s">
        <v>212</v>
      </c>
      <c r="N320" s="222" t="s">
        <v>212</v>
      </c>
      <c r="O320" s="222" t="s">
        <v>212</v>
      </c>
      <c r="P320" s="222" t="s">
        <v>212</v>
      </c>
      <c r="Q320" s="222" t="s">
        <v>212</v>
      </c>
      <c r="R320" s="222" t="s">
        <v>212</v>
      </c>
      <c r="S320" s="222" t="s">
        <v>212</v>
      </c>
      <c r="T320" s="531" t="s">
        <v>212</v>
      </c>
      <c r="U320" s="531"/>
      <c r="V320" s="222" t="s">
        <v>212</v>
      </c>
      <c r="W320" s="222" t="s">
        <v>212</v>
      </c>
      <c r="X320" s="531" t="s">
        <v>212</v>
      </c>
      <c r="Y320" s="531"/>
      <c r="Z320" s="222" t="s">
        <v>212</v>
      </c>
      <c r="AA320" s="222" t="s">
        <v>212</v>
      </c>
      <c r="AB320" s="222" t="s">
        <v>212</v>
      </c>
      <c r="AC320" s="215"/>
    </row>
    <row r="321" spans="1:29" ht="13.5" customHeight="1">
      <c r="A321" s="215"/>
      <c r="B321" s="532">
        <v>38870</v>
      </c>
      <c r="C321" s="532"/>
      <c r="D321" s="219" t="s">
        <v>212</v>
      </c>
      <c r="E321" s="224">
        <v>250.7</v>
      </c>
      <c r="F321" s="533">
        <v>24</v>
      </c>
      <c r="G321" s="533"/>
      <c r="H321" s="224">
        <v>258.8</v>
      </c>
      <c r="I321" s="533">
        <v>24</v>
      </c>
      <c r="J321" s="533"/>
      <c r="K321" s="224">
        <v>0</v>
      </c>
      <c r="L321" s="225">
        <v>0</v>
      </c>
      <c r="M321" s="224">
        <v>0</v>
      </c>
      <c r="N321" s="225">
        <v>0</v>
      </c>
      <c r="O321" s="226">
        <v>509.5</v>
      </c>
      <c r="P321" s="222" t="s">
        <v>212</v>
      </c>
      <c r="Q321" s="224">
        <v>0</v>
      </c>
      <c r="R321" s="225">
        <v>0</v>
      </c>
      <c r="S321" s="224">
        <v>0</v>
      </c>
      <c r="T321" s="533">
        <v>0</v>
      </c>
      <c r="U321" s="533"/>
      <c r="V321" s="224">
        <v>0</v>
      </c>
      <c r="W321" s="222" t="s">
        <v>212</v>
      </c>
      <c r="X321" s="534">
        <v>509.5</v>
      </c>
      <c r="Y321" s="534"/>
      <c r="Z321" s="222" t="s">
        <v>212</v>
      </c>
      <c r="AA321" s="227">
        <v>7389200</v>
      </c>
      <c r="AB321" s="228">
        <v>0</v>
      </c>
      <c r="AC321" s="215"/>
    </row>
    <row r="322" spans="1:29" ht="2.25" customHeight="1">
      <c r="A322" s="215"/>
      <c r="B322" s="529" t="s">
        <v>212</v>
      </c>
      <c r="C322" s="529"/>
      <c r="D322" s="219" t="s">
        <v>212</v>
      </c>
      <c r="E322" s="222" t="s">
        <v>212</v>
      </c>
      <c r="F322" s="531" t="s">
        <v>212</v>
      </c>
      <c r="G322" s="531"/>
      <c r="H322" s="222" t="s">
        <v>212</v>
      </c>
      <c r="I322" s="531" t="s">
        <v>212</v>
      </c>
      <c r="J322" s="531"/>
      <c r="K322" s="222" t="s">
        <v>212</v>
      </c>
      <c r="L322" s="222" t="s">
        <v>212</v>
      </c>
      <c r="M322" s="222" t="s">
        <v>212</v>
      </c>
      <c r="N322" s="222" t="s">
        <v>212</v>
      </c>
      <c r="O322" s="222" t="s">
        <v>212</v>
      </c>
      <c r="P322" s="222" t="s">
        <v>212</v>
      </c>
      <c r="Q322" s="222" t="s">
        <v>212</v>
      </c>
      <c r="R322" s="222" t="s">
        <v>212</v>
      </c>
      <c r="S322" s="222" t="s">
        <v>212</v>
      </c>
      <c r="T322" s="531" t="s">
        <v>212</v>
      </c>
      <c r="U322" s="531"/>
      <c r="V322" s="222" t="s">
        <v>212</v>
      </c>
      <c r="W322" s="222" t="s">
        <v>212</v>
      </c>
      <c r="X322" s="531" t="s">
        <v>212</v>
      </c>
      <c r="Y322" s="531"/>
      <c r="Z322" s="222" t="s">
        <v>212</v>
      </c>
      <c r="AA322" s="222" t="s">
        <v>212</v>
      </c>
      <c r="AB322" s="222" t="s">
        <v>212</v>
      </c>
      <c r="AC322" s="215"/>
    </row>
    <row r="323" spans="1:29" ht="13.5" customHeight="1">
      <c r="A323" s="215"/>
      <c r="B323" s="535">
        <v>38871</v>
      </c>
      <c r="C323" s="535"/>
      <c r="D323" s="219" t="s">
        <v>212</v>
      </c>
      <c r="E323" s="229">
        <v>238.9</v>
      </c>
      <c r="F323" s="536">
        <v>24</v>
      </c>
      <c r="G323" s="536"/>
      <c r="H323" s="229">
        <v>256.2</v>
      </c>
      <c r="I323" s="536">
        <v>24</v>
      </c>
      <c r="J323" s="536"/>
      <c r="K323" s="229">
        <v>0</v>
      </c>
      <c r="L323" s="230">
        <v>0</v>
      </c>
      <c r="M323" s="229">
        <v>0</v>
      </c>
      <c r="N323" s="230">
        <v>0</v>
      </c>
      <c r="O323" s="231">
        <v>495.1</v>
      </c>
      <c r="P323" s="222" t="s">
        <v>212</v>
      </c>
      <c r="Q323" s="229">
        <v>0</v>
      </c>
      <c r="R323" s="230">
        <v>0</v>
      </c>
      <c r="S323" s="229">
        <v>0</v>
      </c>
      <c r="T323" s="536">
        <v>0</v>
      </c>
      <c r="U323" s="536"/>
      <c r="V323" s="229">
        <v>0</v>
      </c>
      <c r="W323" s="222" t="s">
        <v>212</v>
      </c>
      <c r="X323" s="530">
        <v>495.1</v>
      </c>
      <c r="Y323" s="530"/>
      <c r="Z323" s="222" t="s">
        <v>212</v>
      </c>
      <c r="AA323" s="232">
        <v>7208200</v>
      </c>
      <c r="AB323" s="233">
        <v>0</v>
      </c>
      <c r="AC323" s="215"/>
    </row>
    <row r="324" spans="1:29" ht="2.25" customHeight="1">
      <c r="A324" s="215"/>
      <c r="B324" s="529" t="s">
        <v>212</v>
      </c>
      <c r="C324" s="529"/>
      <c r="D324" s="219" t="s">
        <v>212</v>
      </c>
      <c r="E324" s="222" t="s">
        <v>212</v>
      </c>
      <c r="F324" s="531" t="s">
        <v>212</v>
      </c>
      <c r="G324" s="531"/>
      <c r="H324" s="222" t="s">
        <v>212</v>
      </c>
      <c r="I324" s="531" t="s">
        <v>212</v>
      </c>
      <c r="J324" s="531"/>
      <c r="K324" s="222" t="s">
        <v>212</v>
      </c>
      <c r="L324" s="222" t="s">
        <v>212</v>
      </c>
      <c r="M324" s="222" t="s">
        <v>212</v>
      </c>
      <c r="N324" s="222" t="s">
        <v>212</v>
      </c>
      <c r="O324" s="222" t="s">
        <v>212</v>
      </c>
      <c r="P324" s="222" t="s">
        <v>212</v>
      </c>
      <c r="Q324" s="222" t="s">
        <v>212</v>
      </c>
      <c r="R324" s="222" t="s">
        <v>212</v>
      </c>
      <c r="S324" s="222" t="s">
        <v>212</v>
      </c>
      <c r="T324" s="531" t="s">
        <v>212</v>
      </c>
      <c r="U324" s="531"/>
      <c r="V324" s="222" t="s">
        <v>212</v>
      </c>
      <c r="W324" s="222" t="s">
        <v>212</v>
      </c>
      <c r="X324" s="531" t="s">
        <v>212</v>
      </c>
      <c r="Y324" s="531"/>
      <c r="Z324" s="222" t="s">
        <v>212</v>
      </c>
      <c r="AA324" s="222" t="s">
        <v>212</v>
      </c>
      <c r="AB324" s="222" t="s">
        <v>212</v>
      </c>
      <c r="AC324" s="215"/>
    </row>
    <row r="325" spans="1:29" ht="13.5" customHeight="1">
      <c r="A325" s="215"/>
      <c r="B325" s="532">
        <v>38872</v>
      </c>
      <c r="C325" s="532"/>
      <c r="D325" s="219" t="s">
        <v>212</v>
      </c>
      <c r="E325" s="224">
        <v>255.9</v>
      </c>
      <c r="F325" s="533">
        <v>24</v>
      </c>
      <c r="G325" s="533"/>
      <c r="H325" s="224">
        <v>302.8</v>
      </c>
      <c r="I325" s="533">
        <v>24</v>
      </c>
      <c r="J325" s="533"/>
      <c r="K325" s="224">
        <v>0</v>
      </c>
      <c r="L325" s="225">
        <v>0</v>
      </c>
      <c r="M325" s="224">
        <v>0</v>
      </c>
      <c r="N325" s="225">
        <v>0</v>
      </c>
      <c r="O325" s="226">
        <v>558.70000000000005</v>
      </c>
      <c r="P325" s="222" t="s">
        <v>212</v>
      </c>
      <c r="Q325" s="224">
        <v>0</v>
      </c>
      <c r="R325" s="225">
        <v>0</v>
      </c>
      <c r="S325" s="224">
        <v>0</v>
      </c>
      <c r="T325" s="533">
        <v>0</v>
      </c>
      <c r="U325" s="533"/>
      <c r="V325" s="224">
        <v>0</v>
      </c>
      <c r="W325" s="222" t="s">
        <v>212</v>
      </c>
      <c r="X325" s="534">
        <v>558.70000000000005</v>
      </c>
      <c r="Y325" s="534"/>
      <c r="Z325" s="222" t="s">
        <v>212</v>
      </c>
      <c r="AA325" s="227">
        <v>7726500</v>
      </c>
      <c r="AB325" s="228">
        <v>0</v>
      </c>
      <c r="AC325" s="215"/>
    </row>
    <row r="326" spans="1:29" ht="2.25" customHeight="1">
      <c r="A326" s="215"/>
      <c r="B326" s="529" t="s">
        <v>212</v>
      </c>
      <c r="C326" s="529"/>
      <c r="D326" s="219" t="s">
        <v>212</v>
      </c>
      <c r="E326" s="222" t="s">
        <v>212</v>
      </c>
      <c r="F326" s="531" t="s">
        <v>212</v>
      </c>
      <c r="G326" s="531"/>
      <c r="H326" s="222" t="s">
        <v>212</v>
      </c>
      <c r="I326" s="531" t="s">
        <v>212</v>
      </c>
      <c r="J326" s="531"/>
      <c r="K326" s="222" t="s">
        <v>212</v>
      </c>
      <c r="L326" s="222" t="s">
        <v>212</v>
      </c>
      <c r="M326" s="222" t="s">
        <v>212</v>
      </c>
      <c r="N326" s="222" t="s">
        <v>212</v>
      </c>
      <c r="O326" s="222" t="s">
        <v>212</v>
      </c>
      <c r="P326" s="222" t="s">
        <v>212</v>
      </c>
      <c r="Q326" s="222" t="s">
        <v>212</v>
      </c>
      <c r="R326" s="222" t="s">
        <v>212</v>
      </c>
      <c r="S326" s="222" t="s">
        <v>212</v>
      </c>
      <c r="T326" s="531" t="s">
        <v>212</v>
      </c>
      <c r="U326" s="531"/>
      <c r="V326" s="222" t="s">
        <v>212</v>
      </c>
      <c r="W326" s="222" t="s">
        <v>212</v>
      </c>
      <c r="X326" s="531" t="s">
        <v>212</v>
      </c>
      <c r="Y326" s="531"/>
      <c r="Z326" s="222" t="s">
        <v>212</v>
      </c>
      <c r="AA326" s="222" t="s">
        <v>212</v>
      </c>
      <c r="AB326" s="222" t="s">
        <v>212</v>
      </c>
      <c r="AC326" s="215"/>
    </row>
    <row r="327" spans="1:29" ht="13.5" customHeight="1">
      <c r="A327" s="215"/>
      <c r="B327" s="535">
        <v>38873</v>
      </c>
      <c r="C327" s="535"/>
      <c r="D327" s="219" t="s">
        <v>212</v>
      </c>
      <c r="E327" s="229">
        <v>225</v>
      </c>
      <c r="F327" s="536">
        <v>24</v>
      </c>
      <c r="G327" s="536"/>
      <c r="H327" s="229">
        <v>255.7</v>
      </c>
      <c r="I327" s="536">
        <v>24</v>
      </c>
      <c r="J327" s="536"/>
      <c r="K327" s="229">
        <v>0</v>
      </c>
      <c r="L327" s="230">
        <v>0</v>
      </c>
      <c r="M327" s="229">
        <v>0</v>
      </c>
      <c r="N327" s="230">
        <v>0</v>
      </c>
      <c r="O327" s="231">
        <v>480.7</v>
      </c>
      <c r="P327" s="222" t="s">
        <v>212</v>
      </c>
      <c r="Q327" s="229">
        <v>0</v>
      </c>
      <c r="R327" s="230">
        <v>0</v>
      </c>
      <c r="S327" s="229">
        <v>0</v>
      </c>
      <c r="T327" s="536">
        <v>0</v>
      </c>
      <c r="U327" s="536"/>
      <c r="V327" s="229">
        <v>0</v>
      </c>
      <c r="W327" s="222" t="s">
        <v>212</v>
      </c>
      <c r="X327" s="530">
        <v>480.7</v>
      </c>
      <c r="Y327" s="530"/>
      <c r="Z327" s="222" t="s">
        <v>212</v>
      </c>
      <c r="AA327" s="232">
        <v>7110200</v>
      </c>
      <c r="AB327" s="233">
        <v>0</v>
      </c>
      <c r="AC327" s="215"/>
    </row>
    <row r="328" spans="1:29" ht="2.25" customHeight="1">
      <c r="A328" s="215"/>
      <c r="B328" s="529" t="s">
        <v>212</v>
      </c>
      <c r="C328" s="529"/>
      <c r="D328" s="219" t="s">
        <v>212</v>
      </c>
      <c r="E328" s="222" t="s">
        <v>212</v>
      </c>
      <c r="F328" s="531" t="s">
        <v>212</v>
      </c>
      <c r="G328" s="531"/>
      <c r="H328" s="222" t="s">
        <v>212</v>
      </c>
      <c r="I328" s="531" t="s">
        <v>212</v>
      </c>
      <c r="J328" s="531"/>
      <c r="K328" s="222" t="s">
        <v>212</v>
      </c>
      <c r="L328" s="222" t="s">
        <v>212</v>
      </c>
      <c r="M328" s="222" t="s">
        <v>212</v>
      </c>
      <c r="N328" s="222" t="s">
        <v>212</v>
      </c>
      <c r="O328" s="222" t="s">
        <v>212</v>
      </c>
      <c r="P328" s="222" t="s">
        <v>212</v>
      </c>
      <c r="Q328" s="222" t="s">
        <v>212</v>
      </c>
      <c r="R328" s="222" t="s">
        <v>212</v>
      </c>
      <c r="S328" s="222" t="s">
        <v>212</v>
      </c>
      <c r="T328" s="531" t="s">
        <v>212</v>
      </c>
      <c r="U328" s="531"/>
      <c r="V328" s="222" t="s">
        <v>212</v>
      </c>
      <c r="W328" s="222" t="s">
        <v>212</v>
      </c>
      <c r="X328" s="531" t="s">
        <v>212</v>
      </c>
      <c r="Y328" s="531"/>
      <c r="Z328" s="222" t="s">
        <v>212</v>
      </c>
      <c r="AA328" s="222" t="s">
        <v>212</v>
      </c>
      <c r="AB328" s="222" t="s">
        <v>212</v>
      </c>
      <c r="AC328" s="215"/>
    </row>
    <row r="329" spans="1:29" ht="13.5" customHeight="1">
      <c r="A329" s="215"/>
      <c r="B329" s="532">
        <v>38874</v>
      </c>
      <c r="C329" s="532"/>
      <c r="D329" s="219" t="s">
        <v>212</v>
      </c>
      <c r="E329" s="224">
        <v>234</v>
      </c>
      <c r="F329" s="533">
        <v>24</v>
      </c>
      <c r="G329" s="533"/>
      <c r="H329" s="224">
        <v>270.89999999999998</v>
      </c>
      <c r="I329" s="533">
        <v>24</v>
      </c>
      <c r="J329" s="533"/>
      <c r="K329" s="224">
        <v>0</v>
      </c>
      <c r="L329" s="225">
        <v>0</v>
      </c>
      <c r="M329" s="224">
        <v>0</v>
      </c>
      <c r="N329" s="225">
        <v>0</v>
      </c>
      <c r="O329" s="226">
        <v>504.9</v>
      </c>
      <c r="P329" s="222" t="s">
        <v>212</v>
      </c>
      <c r="Q329" s="224">
        <v>0</v>
      </c>
      <c r="R329" s="225">
        <v>0</v>
      </c>
      <c r="S329" s="224">
        <v>0</v>
      </c>
      <c r="T329" s="533">
        <v>0</v>
      </c>
      <c r="U329" s="533"/>
      <c r="V329" s="224">
        <v>0</v>
      </c>
      <c r="W329" s="222" t="s">
        <v>212</v>
      </c>
      <c r="X329" s="534">
        <v>504.9</v>
      </c>
      <c r="Y329" s="534"/>
      <c r="Z329" s="222" t="s">
        <v>212</v>
      </c>
      <c r="AA329" s="227">
        <v>7302800</v>
      </c>
      <c r="AB329" s="228">
        <v>0</v>
      </c>
      <c r="AC329" s="215"/>
    </row>
    <row r="330" spans="1:29" ht="2.25" customHeight="1">
      <c r="A330" s="215"/>
      <c r="B330" s="529" t="s">
        <v>212</v>
      </c>
      <c r="C330" s="529"/>
      <c r="D330" s="219" t="s">
        <v>212</v>
      </c>
      <c r="E330" s="222" t="s">
        <v>212</v>
      </c>
      <c r="F330" s="531" t="s">
        <v>212</v>
      </c>
      <c r="G330" s="531"/>
      <c r="H330" s="222" t="s">
        <v>212</v>
      </c>
      <c r="I330" s="531" t="s">
        <v>212</v>
      </c>
      <c r="J330" s="531"/>
      <c r="K330" s="222" t="s">
        <v>212</v>
      </c>
      <c r="L330" s="222" t="s">
        <v>212</v>
      </c>
      <c r="M330" s="222" t="s">
        <v>212</v>
      </c>
      <c r="N330" s="222" t="s">
        <v>212</v>
      </c>
      <c r="O330" s="222" t="s">
        <v>212</v>
      </c>
      <c r="P330" s="222" t="s">
        <v>212</v>
      </c>
      <c r="Q330" s="222" t="s">
        <v>212</v>
      </c>
      <c r="R330" s="222" t="s">
        <v>212</v>
      </c>
      <c r="S330" s="222" t="s">
        <v>212</v>
      </c>
      <c r="T330" s="531" t="s">
        <v>212</v>
      </c>
      <c r="U330" s="531"/>
      <c r="V330" s="222" t="s">
        <v>212</v>
      </c>
      <c r="W330" s="222" t="s">
        <v>212</v>
      </c>
      <c r="X330" s="531" t="s">
        <v>212</v>
      </c>
      <c r="Y330" s="531"/>
      <c r="Z330" s="222" t="s">
        <v>212</v>
      </c>
      <c r="AA330" s="222" t="s">
        <v>212</v>
      </c>
      <c r="AB330" s="222" t="s">
        <v>212</v>
      </c>
      <c r="AC330" s="215"/>
    </row>
    <row r="331" spans="1:29" ht="13.5" customHeight="1">
      <c r="A331" s="215"/>
      <c r="B331" s="535">
        <v>38875</v>
      </c>
      <c r="C331" s="535"/>
      <c r="D331" s="219" t="s">
        <v>212</v>
      </c>
      <c r="E331" s="229">
        <v>243.5</v>
      </c>
      <c r="F331" s="536">
        <v>24</v>
      </c>
      <c r="G331" s="536"/>
      <c r="H331" s="229">
        <v>293</v>
      </c>
      <c r="I331" s="536">
        <v>24</v>
      </c>
      <c r="J331" s="536"/>
      <c r="K331" s="229">
        <v>0</v>
      </c>
      <c r="L331" s="230">
        <v>0</v>
      </c>
      <c r="M331" s="229">
        <v>0</v>
      </c>
      <c r="N331" s="230">
        <v>0</v>
      </c>
      <c r="O331" s="231">
        <v>536.5</v>
      </c>
      <c r="P331" s="222" t="s">
        <v>212</v>
      </c>
      <c r="Q331" s="229">
        <v>0</v>
      </c>
      <c r="R331" s="230">
        <v>0</v>
      </c>
      <c r="S331" s="229">
        <v>0</v>
      </c>
      <c r="T331" s="536">
        <v>0</v>
      </c>
      <c r="U331" s="536"/>
      <c r="V331" s="229">
        <v>0</v>
      </c>
      <c r="W331" s="222" t="s">
        <v>212</v>
      </c>
      <c r="X331" s="530">
        <v>536.5</v>
      </c>
      <c r="Y331" s="530"/>
      <c r="Z331" s="222" t="s">
        <v>212</v>
      </c>
      <c r="AA331" s="232">
        <v>5796400</v>
      </c>
      <c r="AB331" s="233">
        <v>0</v>
      </c>
      <c r="AC331" s="215"/>
    </row>
    <row r="332" spans="1:29" ht="2.25" customHeight="1">
      <c r="A332" s="215"/>
      <c r="B332" s="529" t="s">
        <v>212</v>
      </c>
      <c r="C332" s="529"/>
      <c r="D332" s="219" t="s">
        <v>212</v>
      </c>
      <c r="E332" s="222" t="s">
        <v>212</v>
      </c>
      <c r="F332" s="531" t="s">
        <v>212</v>
      </c>
      <c r="G332" s="531"/>
      <c r="H332" s="222" t="s">
        <v>212</v>
      </c>
      <c r="I332" s="531" t="s">
        <v>212</v>
      </c>
      <c r="J332" s="531"/>
      <c r="K332" s="222" t="s">
        <v>212</v>
      </c>
      <c r="L332" s="222" t="s">
        <v>212</v>
      </c>
      <c r="M332" s="222" t="s">
        <v>212</v>
      </c>
      <c r="N332" s="222" t="s">
        <v>212</v>
      </c>
      <c r="O332" s="222" t="s">
        <v>212</v>
      </c>
      <c r="P332" s="222" t="s">
        <v>212</v>
      </c>
      <c r="Q332" s="222" t="s">
        <v>212</v>
      </c>
      <c r="R332" s="222" t="s">
        <v>212</v>
      </c>
      <c r="S332" s="222" t="s">
        <v>212</v>
      </c>
      <c r="T332" s="531" t="s">
        <v>212</v>
      </c>
      <c r="U332" s="531"/>
      <c r="V332" s="222" t="s">
        <v>212</v>
      </c>
      <c r="W332" s="222" t="s">
        <v>212</v>
      </c>
      <c r="X332" s="531" t="s">
        <v>212</v>
      </c>
      <c r="Y332" s="531"/>
      <c r="Z332" s="222" t="s">
        <v>212</v>
      </c>
      <c r="AA332" s="222" t="s">
        <v>212</v>
      </c>
      <c r="AB332" s="222" t="s">
        <v>212</v>
      </c>
      <c r="AC332" s="215"/>
    </row>
    <row r="333" spans="1:29" ht="13.5" customHeight="1">
      <c r="A333" s="215"/>
      <c r="B333" s="532">
        <v>38876</v>
      </c>
      <c r="C333" s="532"/>
      <c r="D333" s="219" t="s">
        <v>212</v>
      </c>
      <c r="E333" s="224">
        <v>183.2</v>
      </c>
      <c r="F333" s="533">
        <v>17</v>
      </c>
      <c r="G333" s="533"/>
      <c r="H333" s="224">
        <v>322.10000000000002</v>
      </c>
      <c r="I333" s="533">
        <v>24</v>
      </c>
      <c r="J333" s="533"/>
      <c r="K333" s="224">
        <v>67.900000000000006</v>
      </c>
      <c r="L333" s="225">
        <v>6</v>
      </c>
      <c r="M333" s="224">
        <v>0</v>
      </c>
      <c r="N333" s="225">
        <v>0</v>
      </c>
      <c r="O333" s="226">
        <v>573.20000000000005</v>
      </c>
      <c r="P333" s="222" t="s">
        <v>212</v>
      </c>
      <c r="Q333" s="224">
        <v>0</v>
      </c>
      <c r="R333" s="225">
        <v>0</v>
      </c>
      <c r="S333" s="224">
        <v>0</v>
      </c>
      <c r="T333" s="533">
        <v>0</v>
      </c>
      <c r="U333" s="533"/>
      <c r="V333" s="224">
        <v>0</v>
      </c>
      <c r="W333" s="222" t="s">
        <v>212</v>
      </c>
      <c r="X333" s="534">
        <v>573.20000000000005</v>
      </c>
      <c r="Y333" s="534"/>
      <c r="Z333" s="222" t="s">
        <v>212</v>
      </c>
      <c r="AA333" s="227">
        <v>6828200</v>
      </c>
      <c r="AB333" s="228">
        <v>38337</v>
      </c>
      <c r="AC333" s="215"/>
    </row>
    <row r="334" spans="1:29" ht="2.25" customHeight="1">
      <c r="A334" s="215"/>
      <c r="B334" s="529" t="s">
        <v>212</v>
      </c>
      <c r="C334" s="529"/>
      <c r="D334" s="219" t="s">
        <v>212</v>
      </c>
      <c r="E334" s="222" t="s">
        <v>212</v>
      </c>
      <c r="F334" s="531" t="s">
        <v>212</v>
      </c>
      <c r="G334" s="531"/>
      <c r="H334" s="222" t="s">
        <v>212</v>
      </c>
      <c r="I334" s="531" t="s">
        <v>212</v>
      </c>
      <c r="J334" s="531"/>
      <c r="K334" s="222" t="s">
        <v>212</v>
      </c>
      <c r="L334" s="222" t="s">
        <v>212</v>
      </c>
      <c r="M334" s="222" t="s">
        <v>212</v>
      </c>
      <c r="N334" s="222" t="s">
        <v>212</v>
      </c>
      <c r="O334" s="222" t="s">
        <v>212</v>
      </c>
      <c r="P334" s="222" t="s">
        <v>212</v>
      </c>
      <c r="Q334" s="222" t="s">
        <v>212</v>
      </c>
      <c r="R334" s="222" t="s">
        <v>212</v>
      </c>
      <c r="S334" s="222" t="s">
        <v>212</v>
      </c>
      <c r="T334" s="531" t="s">
        <v>212</v>
      </c>
      <c r="U334" s="531"/>
      <c r="V334" s="222" t="s">
        <v>212</v>
      </c>
      <c r="W334" s="222" t="s">
        <v>212</v>
      </c>
      <c r="X334" s="531" t="s">
        <v>212</v>
      </c>
      <c r="Y334" s="531"/>
      <c r="Z334" s="222" t="s">
        <v>212</v>
      </c>
      <c r="AA334" s="222" t="s">
        <v>212</v>
      </c>
      <c r="AB334" s="222" t="s">
        <v>212</v>
      </c>
      <c r="AC334" s="215"/>
    </row>
    <row r="335" spans="1:29" ht="13.5" customHeight="1">
      <c r="A335" s="215"/>
      <c r="B335" s="535">
        <v>38877</v>
      </c>
      <c r="C335" s="535"/>
      <c r="D335" s="219" t="s">
        <v>212</v>
      </c>
      <c r="E335" s="229">
        <v>119.6</v>
      </c>
      <c r="F335" s="536">
        <v>11</v>
      </c>
      <c r="G335" s="536"/>
      <c r="H335" s="229">
        <v>354.5</v>
      </c>
      <c r="I335" s="536">
        <v>24</v>
      </c>
      <c r="J335" s="536"/>
      <c r="K335" s="229">
        <v>150.80000000000001</v>
      </c>
      <c r="L335" s="230">
        <v>15</v>
      </c>
      <c r="M335" s="229">
        <v>0</v>
      </c>
      <c r="N335" s="230">
        <v>0</v>
      </c>
      <c r="O335" s="231">
        <v>624.9</v>
      </c>
      <c r="P335" s="222" t="s">
        <v>212</v>
      </c>
      <c r="Q335" s="229">
        <v>0</v>
      </c>
      <c r="R335" s="230">
        <v>0</v>
      </c>
      <c r="S335" s="229">
        <v>0</v>
      </c>
      <c r="T335" s="536">
        <v>0</v>
      </c>
      <c r="U335" s="536"/>
      <c r="V335" s="229">
        <v>0</v>
      </c>
      <c r="W335" s="222" t="s">
        <v>212</v>
      </c>
      <c r="X335" s="530">
        <v>624.9</v>
      </c>
      <c r="Y335" s="530"/>
      <c r="Z335" s="222" t="s">
        <v>212</v>
      </c>
      <c r="AA335" s="232">
        <v>5895100</v>
      </c>
      <c r="AB335" s="233">
        <v>83607</v>
      </c>
      <c r="AC335" s="215"/>
    </row>
    <row r="336" spans="1:29" ht="2.25" customHeight="1">
      <c r="A336" s="215"/>
      <c r="B336" s="529" t="s">
        <v>212</v>
      </c>
      <c r="C336" s="529"/>
      <c r="D336" s="219" t="s">
        <v>212</v>
      </c>
      <c r="E336" s="222" t="s">
        <v>212</v>
      </c>
      <c r="F336" s="531" t="s">
        <v>212</v>
      </c>
      <c r="G336" s="531"/>
      <c r="H336" s="222" t="s">
        <v>212</v>
      </c>
      <c r="I336" s="531" t="s">
        <v>212</v>
      </c>
      <c r="J336" s="531"/>
      <c r="K336" s="222" t="s">
        <v>212</v>
      </c>
      <c r="L336" s="222" t="s">
        <v>212</v>
      </c>
      <c r="M336" s="222" t="s">
        <v>212</v>
      </c>
      <c r="N336" s="222" t="s">
        <v>212</v>
      </c>
      <c r="O336" s="222" t="s">
        <v>212</v>
      </c>
      <c r="P336" s="222" t="s">
        <v>212</v>
      </c>
      <c r="Q336" s="222" t="s">
        <v>212</v>
      </c>
      <c r="R336" s="222" t="s">
        <v>212</v>
      </c>
      <c r="S336" s="222" t="s">
        <v>212</v>
      </c>
      <c r="T336" s="531" t="s">
        <v>212</v>
      </c>
      <c r="U336" s="531"/>
      <c r="V336" s="222" t="s">
        <v>212</v>
      </c>
      <c r="W336" s="222" t="s">
        <v>212</v>
      </c>
      <c r="X336" s="531" t="s">
        <v>212</v>
      </c>
      <c r="Y336" s="531"/>
      <c r="Z336" s="222" t="s">
        <v>212</v>
      </c>
      <c r="AA336" s="222" t="s">
        <v>212</v>
      </c>
      <c r="AB336" s="222" t="s">
        <v>212</v>
      </c>
      <c r="AC336" s="215"/>
    </row>
    <row r="337" spans="1:29" ht="13.5" customHeight="1">
      <c r="A337" s="215"/>
      <c r="B337" s="532">
        <v>38878</v>
      </c>
      <c r="C337" s="532"/>
      <c r="D337" s="219" t="s">
        <v>212</v>
      </c>
      <c r="E337" s="224">
        <v>243.3</v>
      </c>
      <c r="F337" s="533">
        <v>24</v>
      </c>
      <c r="G337" s="533"/>
      <c r="H337" s="224">
        <v>302.3</v>
      </c>
      <c r="I337" s="533">
        <v>24</v>
      </c>
      <c r="J337" s="533"/>
      <c r="K337" s="224">
        <v>0</v>
      </c>
      <c r="L337" s="225">
        <v>0</v>
      </c>
      <c r="M337" s="224">
        <v>0</v>
      </c>
      <c r="N337" s="225">
        <v>0</v>
      </c>
      <c r="O337" s="226">
        <v>545.6</v>
      </c>
      <c r="P337" s="222" t="s">
        <v>212</v>
      </c>
      <c r="Q337" s="224">
        <v>0</v>
      </c>
      <c r="R337" s="225">
        <v>0</v>
      </c>
      <c r="S337" s="224">
        <v>0</v>
      </c>
      <c r="T337" s="533">
        <v>0</v>
      </c>
      <c r="U337" s="533"/>
      <c r="V337" s="224">
        <v>0</v>
      </c>
      <c r="W337" s="222" t="s">
        <v>212</v>
      </c>
      <c r="X337" s="534">
        <v>545.6</v>
      </c>
      <c r="Y337" s="534"/>
      <c r="Z337" s="222" t="s">
        <v>212</v>
      </c>
      <c r="AA337" s="227">
        <v>7609300</v>
      </c>
      <c r="AB337" s="228">
        <v>0</v>
      </c>
      <c r="AC337" s="215"/>
    </row>
    <row r="338" spans="1:29" ht="2.25" customHeight="1">
      <c r="A338" s="215"/>
      <c r="B338" s="529" t="s">
        <v>212</v>
      </c>
      <c r="C338" s="529"/>
      <c r="D338" s="219" t="s">
        <v>212</v>
      </c>
      <c r="E338" s="222" t="s">
        <v>212</v>
      </c>
      <c r="F338" s="531" t="s">
        <v>212</v>
      </c>
      <c r="G338" s="531"/>
      <c r="H338" s="222" t="s">
        <v>212</v>
      </c>
      <c r="I338" s="531" t="s">
        <v>212</v>
      </c>
      <c r="J338" s="531"/>
      <c r="K338" s="222" t="s">
        <v>212</v>
      </c>
      <c r="L338" s="222" t="s">
        <v>212</v>
      </c>
      <c r="M338" s="222" t="s">
        <v>212</v>
      </c>
      <c r="N338" s="222" t="s">
        <v>212</v>
      </c>
      <c r="O338" s="222" t="s">
        <v>212</v>
      </c>
      <c r="P338" s="222" t="s">
        <v>212</v>
      </c>
      <c r="Q338" s="222" t="s">
        <v>212</v>
      </c>
      <c r="R338" s="222" t="s">
        <v>212</v>
      </c>
      <c r="S338" s="222" t="s">
        <v>212</v>
      </c>
      <c r="T338" s="531" t="s">
        <v>212</v>
      </c>
      <c r="U338" s="531"/>
      <c r="V338" s="222" t="s">
        <v>212</v>
      </c>
      <c r="W338" s="222" t="s">
        <v>212</v>
      </c>
      <c r="X338" s="531" t="s">
        <v>212</v>
      </c>
      <c r="Y338" s="531"/>
      <c r="Z338" s="222" t="s">
        <v>212</v>
      </c>
      <c r="AA338" s="222" t="s">
        <v>212</v>
      </c>
      <c r="AB338" s="222" t="s">
        <v>212</v>
      </c>
      <c r="AC338" s="215"/>
    </row>
    <row r="339" spans="1:29" ht="13.5" customHeight="1">
      <c r="A339" s="215"/>
      <c r="B339" s="535">
        <v>38879</v>
      </c>
      <c r="C339" s="535"/>
      <c r="D339" s="219" t="s">
        <v>212</v>
      </c>
      <c r="E339" s="229">
        <v>285.5</v>
      </c>
      <c r="F339" s="536">
        <v>24</v>
      </c>
      <c r="G339" s="536"/>
      <c r="H339" s="229">
        <v>345.1</v>
      </c>
      <c r="I339" s="536">
        <v>24</v>
      </c>
      <c r="J339" s="536"/>
      <c r="K339" s="229">
        <v>0</v>
      </c>
      <c r="L339" s="230">
        <v>0</v>
      </c>
      <c r="M339" s="229">
        <v>0</v>
      </c>
      <c r="N339" s="230">
        <v>0</v>
      </c>
      <c r="O339" s="231">
        <v>630.6</v>
      </c>
      <c r="P339" s="222" t="s">
        <v>212</v>
      </c>
      <c r="Q339" s="229">
        <v>0</v>
      </c>
      <c r="R339" s="230">
        <v>24</v>
      </c>
      <c r="S339" s="229">
        <v>0</v>
      </c>
      <c r="T339" s="536">
        <v>0</v>
      </c>
      <c r="U339" s="536"/>
      <c r="V339" s="229">
        <v>0</v>
      </c>
      <c r="W339" s="222" t="s">
        <v>212</v>
      </c>
      <c r="X339" s="530">
        <v>630.6</v>
      </c>
      <c r="Y339" s="530"/>
      <c r="Z339" s="222" t="s">
        <v>212</v>
      </c>
      <c r="AA339" s="232">
        <v>8233800</v>
      </c>
      <c r="AB339" s="233">
        <v>0</v>
      </c>
      <c r="AC339" s="215"/>
    </row>
    <row r="340" spans="1:29" ht="2.25" customHeight="1">
      <c r="A340" s="215"/>
      <c r="B340" s="529" t="s">
        <v>212</v>
      </c>
      <c r="C340" s="529"/>
      <c r="D340" s="219" t="s">
        <v>212</v>
      </c>
      <c r="E340" s="222" t="s">
        <v>212</v>
      </c>
      <c r="F340" s="531" t="s">
        <v>212</v>
      </c>
      <c r="G340" s="531"/>
      <c r="H340" s="222" t="s">
        <v>212</v>
      </c>
      <c r="I340" s="531" t="s">
        <v>212</v>
      </c>
      <c r="J340" s="531"/>
      <c r="K340" s="222" t="s">
        <v>212</v>
      </c>
      <c r="L340" s="222" t="s">
        <v>212</v>
      </c>
      <c r="M340" s="222" t="s">
        <v>212</v>
      </c>
      <c r="N340" s="222" t="s">
        <v>212</v>
      </c>
      <c r="O340" s="222" t="s">
        <v>212</v>
      </c>
      <c r="P340" s="222" t="s">
        <v>212</v>
      </c>
      <c r="Q340" s="222" t="s">
        <v>212</v>
      </c>
      <c r="R340" s="222" t="s">
        <v>212</v>
      </c>
      <c r="S340" s="222" t="s">
        <v>212</v>
      </c>
      <c r="T340" s="531" t="s">
        <v>212</v>
      </c>
      <c r="U340" s="531"/>
      <c r="V340" s="222" t="s">
        <v>212</v>
      </c>
      <c r="W340" s="222" t="s">
        <v>212</v>
      </c>
      <c r="X340" s="531" t="s">
        <v>212</v>
      </c>
      <c r="Y340" s="531"/>
      <c r="Z340" s="222" t="s">
        <v>212</v>
      </c>
      <c r="AA340" s="222" t="s">
        <v>212</v>
      </c>
      <c r="AB340" s="222" t="s">
        <v>212</v>
      </c>
      <c r="AC340" s="215"/>
    </row>
    <row r="341" spans="1:29" ht="13.5" customHeight="1">
      <c r="A341" s="215"/>
      <c r="B341" s="532">
        <v>38880</v>
      </c>
      <c r="C341" s="532"/>
      <c r="D341" s="219" t="s">
        <v>212</v>
      </c>
      <c r="E341" s="224">
        <v>222.9</v>
      </c>
      <c r="F341" s="533">
        <v>24</v>
      </c>
      <c r="G341" s="533"/>
      <c r="H341" s="224">
        <v>296.60000000000002</v>
      </c>
      <c r="I341" s="533">
        <v>24</v>
      </c>
      <c r="J341" s="533"/>
      <c r="K341" s="224">
        <v>0</v>
      </c>
      <c r="L341" s="225">
        <v>0</v>
      </c>
      <c r="M341" s="224">
        <v>0</v>
      </c>
      <c r="N341" s="225">
        <v>0</v>
      </c>
      <c r="O341" s="226">
        <v>519.5</v>
      </c>
      <c r="P341" s="222" t="s">
        <v>212</v>
      </c>
      <c r="Q341" s="224">
        <v>0</v>
      </c>
      <c r="R341" s="225">
        <v>0</v>
      </c>
      <c r="S341" s="224">
        <v>0</v>
      </c>
      <c r="T341" s="533">
        <v>0</v>
      </c>
      <c r="U341" s="533"/>
      <c r="V341" s="224">
        <v>0</v>
      </c>
      <c r="W341" s="222" t="s">
        <v>212</v>
      </c>
      <c r="X341" s="534">
        <v>519.5</v>
      </c>
      <c r="Y341" s="534"/>
      <c r="Z341" s="222" t="s">
        <v>212</v>
      </c>
      <c r="AA341" s="227">
        <v>7434000</v>
      </c>
      <c r="AB341" s="228">
        <v>0</v>
      </c>
      <c r="AC341" s="215"/>
    </row>
    <row r="342" spans="1:29" ht="2.25" customHeight="1">
      <c r="A342" s="215"/>
      <c r="B342" s="529" t="s">
        <v>212</v>
      </c>
      <c r="C342" s="529"/>
      <c r="D342" s="219" t="s">
        <v>212</v>
      </c>
      <c r="E342" s="222" t="s">
        <v>212</v>
      </c>
      <c r="F342" s="531" t="s">
        <v>212</v>
      </c>
      <c r="G342" s="531"/>
      <c r="H342" s="222" t="s">
        <v>212</v>
      </c>
      <c r="I342" s="531" t="s">
        <v>212</v>
      </c>
      <c r="J342" s="531"/>
      <c r="K342" s="222" t="s">
        <v>212</v>
      </c>
      <c r="L342" s="222" t="s">
        <v>212</v>
      </c>
      <c r="M342" s="222" t="s">
        <v>212</v>
      </c>
      <c r="N342" s="222" t="s">
        <v>212</v>
      </c>
      <c r="O342" s="222" t="s">
        <v>212</v>
      </c>
      <c r="P342" s="222" t="s">
        <v>212</v>
      </c>
      <c r="Q342" s="222" t="s">
        <v>212</v>
      </c>
      <c r="R342" s="222" t="s">
        <v>212</v>
      </c>
      <c r="S342" s="222" t="s">
        <v>212</v>
      </c>
      <c r="T342" s="531" t="s">
        <v>212</v>
      </c>
      <c r="U342" s="531"/>
      <c r="V342" s="222" t="s">
        <v>212</v>
      </c>
      <c r="W342" s="222" t="s">
        <v>212</v>
      </c>
      <c r="X342" s="531" t="s">
        <v>212</v>
      </c>
      <c r="Y342" s="531"/>
      <c r="Z342" s="222" t="s">
        <v>212</v>
      </c>
      <c r="AA342" s="222" t="s">
        <v>212</v>
      </c>
      <c r="AB342" s="222" t="s">
        <v>212</v>
      </c>
      <c r="AC342" s="215"/>
    </row>
    <row r="343" spans="1:29" ht="13.5" customHeight="1">
      <c r="A343" s="215"/>
      <c r="B343" s="535">
        <v>38881</v>
      </c>
      <c r="C343" s="535"/>
      <c r="D343" s="219" t="s">
        <v>212</v>
      </c>
      <c r="E343" s="229">
        <v>239</v>
      </c>
      <c r="F343" s="536">
        <v>24</v>
      </c>
      <c r="G343" s="536"/>
      <c r="H343" s="229">
        <v>310.89999999999998</v>
      </c>
      <c r="I343" s="536">
        <v>24</v>
      </c>
      <c r="J343" s="536"/>
      <c r="K343" s="229">
        <v>0</v>
      </c>
      <c r="L343" s="230">
        <v>0</v>
      </c>
      <c r="M343" s="229">
        <v>0</v>
      </c>
      <c r="N343" s="230">
        <v>0</v>
      </c>
      <c r="O343" s="231">
        <v>549.9</v>
      </c>
      <c r="P343" s="222" t="s">
        <v>212</v>
      </c>
      <c r="Q343" s="229">
        <v>0</v>
      </c>
      <c r="R343" s="230">
        <v>0</v>
      </c>
      <c r="S343" s="229">
        <v>0</v>
      </c>
      <c r="T343" s="536">
        <v>0</v>
      </c>
      <c r="U343" s="536"/>
      <c r="V343" s="229">
        <v>0</v>
      </c>
      <c r="W343" s="222" t="s">
        <v>212</v>
      </c>
      <c r="X343" s="530">
        <v>549.9</v>
      </c>
      <c r="Y343" s="530"/>
      <c r="Z343" s="222" t="s">
        <v>212</v>
      </c>
      <c r="AA343" s="232">
        <v>7685900</v>
      </c>
      <c r="AB343" s="233">
        <v>0</v>
      </c>
      <c r="AC343" s="215"/>
    </row>
    <row r="344" spans="1:29" ht="2.25" customHeight="1">
      <c r="A344" s="215"/>
      <c r="B344" s="529" t="s">
        <v>212</v>
      </c>
      <c r="C344" s="529"/>
      <c r="D344" s="219" t="s">
        <v>212</v>
      </c>
      <c r="E344" s="222" t="s">
        <v>212</v>
      </c>
      <c r="F344" s="531" t="s">
        <v>212</v>
      </c>
      <c r="G344" s="531"/>
      <c r="H344" s="222" t="s">
        <v>212</v>
      </c>
      <c r="I344" s="531" t="s">
        <v>212</v>
      </c>
      <c r="J344" s="531"/>
      <c r="K344" s="222" t="s">
        <v>212</v>
      </c>
      <c r="L344" s="222" t="s">
        <v>212</v>
      </c>
      <c r="M344" s="222" t="s">
        <v>212</v>
      </c>
      <c r="N344" s="222" t="s">
        <v>212</v>
      </c>
      <c r="O344" s="222" t="s">
        <v>212</v>
      </c>
      <c r="P344" s="222" t="s">
        <v>212</v>
      </c>
      <c r="Q344" s="222" t="s">
        <v>212</v>
      </c>
      <c r="R344" s="222" t="s">
        <v>212</v>
      </c>
      <c r="S344" s="222" t="s">
        <v>212</v>
      </c>
      <c r="T344" s="531" t="s">
        <v>212</v>
      </c>
      <c r="U344" s="531"/>
      <c r="V344" s="222" t="s">
        <v>212</v>
      </c>
      <c r="W344" s="222" t="s">
        <v>212</v>
      </c>
      <c r="X344" s="531" t="s">
        <v>212</v>
      </c>
      <c r="Y344" s="531"/>
      <c r="Z344" s="222" t="s">
        <v>212</v>
      </c>
      <c r="AA344" s="222" t="s">
        <v>212</v>
      </c>
      <c r="AB344" s="222" t="s">
        <v>212</v>
      </c>
      <c r="AC344" s="215"/>
    </row>
    <row r="345" spans="1:29" ht="13.5" customHeight="1">
      <c r="A345" s="215"/>
      <c r="B345" s="532">
        <v>38882</v>
      </c>
      <c r="C345" s="532"/>
      <c r="D345" s="219" t="s">
        <v>212</v>
      </c>
      <c r="E345" s="224">
        <v>241.5</v>
      </c>
      <c r="F345" s="533">
        <v>24</v>
      </c>
      <c r="G345" s="533"/>
      <c r="H345" s="224">
        <v>301.5</v>
      </c>
      <c r="I345" s="533">
        <v>24</v>
      </c>
      <c r="J345" s="533"/>
      <c r="K345" s="224">
        <v>0</v>
      </c>
      <c r="L345" s="225">
        <v>0</v>
      </c>
      <c r="M345" s="224">
        <v>0</v>
      </c>
      <c r="N345" s="225">
        <v>0</v>
      </c>
      <c r="O345" s="226">
        <v>543</v>
      </c>
      <c r="P345" s="222" t="s">
        <v>212</v>
      </c>
      <c r="Q345" s="224">
        <v>0</v>
      </c>
      <c r="R345" s="225">
        <v>0</v>
      </c>
      <c r="S345" s="224">
        <v>0</v>
      </c>
      <c r="T345" s="533">
        <v>0</v>
      </c>
      <c r="U345" s="533"/>
      <c r="V345" s="224">
        <v>0</v>
      </c>
      <c r="W345" s="222" t="s">
        <v>212</v>
      </c>
      <c r="X345" s="534">
        <v>543</v>
      </c>
      <c r="Y345" s="534"/>
      <c r="Z345" s="222" t="s">
        <v>212</v>
      </c>
      <c r="AA345" s="227">
        <v>7573300</v>
      </c>
      <c r="AB345" s="228">
        <v>0</v>
      </c>
      <c r="AC345" s="215"/>
    </row>
    <row r="346" spans="1:29" ht="2.25" customHeight="1">
      <c r="A346" s="215"/>
      <c r="B346" s="529" t="s">
        <v>212</v>
      </c>
      <c r="C346" s="529"/>
      <c r="D346" s="219" t="s">
        <v>212</v>
      </c>
      <c r="E346" s="222" t="s">
        <v>212</v>
      </c>
      <c r="F346" s="531" t="s">
        <v>212</v>
      </c>
      <c r="G346" s="531"/>
      <c r="H346" s="222" t="s">
        <v>212</v>
      </c>
      <c r="I346" s="531" t="s">
        <v>212</v>
      </c>
      <c r="J346" s="531"/>
      <c r="K346" s="222" t="s">
        <v>212</v>
      </c>
      <c r="L346" s="222" t="s">
        <v>212</v>
      </c>
      <c r="M346" s="222" t="s">
        <v>212</v>
      </c>
      <c r="N346" s="222" t="s">
        <v>212</v>
      </c>
      <c r="O346" s="222" t="s">
        <v>212</v>
      </c>
      <c r="P346" s="222" t="s">
        <v>212</v>
      </c>
      <c r="Q346" s="222" t="s">
        <v>212</v>
      </c>
      <c r="R346" s="222" t="s">
        <v>212</v>
      </c>
      <c r="S346" s="222" t="s">
        <v>212</v>
      </c>
      <c r="T346" s="531" t="s">
        <v>212</v>
      </c>
      <c r="U346" s="531"/>
      <c r="V346" s="222" t="s">
        <v>212</v>
      </c>
      <c r="W346" s="222" t="s">
        <v>212</v>
      </c>
      <c r="X346" s="531" t="s">
        <v>212</v>
      </c>
      <c r="Y346" s="531"/>
      <c r="Z346" s="222" t="s">
        <v>212</v>
      </c>
      <c r="AA346" s="222" t="s">
        <v>212</v>
      </c>
      <c r="AB346" s="222" t="s">
        <v>212</v>
      </c>
      <c r="AC346" s="215"/>
    </row>
    <row r="347" spans="1:29" ht="13.5" customHeight="1">
      <c r="A347" s="215"/>
      <c r="B347" s="535">
        <v>38883</v>
      </c>
      <c r="C347" s="535"/>
      <c r="D347" s="219" t="s">
        <v>212</v>
      </c>
      <c r="E347" s="229">
        <v>247.9</v>
      </c>
      <c r="F347" s="536">
        <v>24</v>
      </c>
      <c r="G347" s="536"/>
      <c r="H347" s="229">
        <v>314.3</v>
      </c>
      <c r="I347" s="536">
        <v>24</v>
      </c>
      <c r="J347" s="536"/>
      <c r="K347" s="229">
        <v>0</v>
      </c>
      <c r="L347" s="230">
        <v>0</v>
      </c>
      <c r="M347" s="229">
        <v>0</v>
      </c>
      <c r="N347" s="230">
        <v>0</v>
      </c>
      <c r="O347" s="231">
        <v>562.20000000000005</v>
      </c>
      <c r="P347" s="222" t="s">
        <v>212</v>
      </c>
      <c r="Q347" s="229">
        <v>0</v>
      </c>
      <c r="R347" s="230">
        <v>0</v>
      </c>
      <c r="S347" s="229">
        <v>0</v>
      </c>
      <c r="T347" s="536">
        <v>0</v>
      </c>
      <c r="U347" s="536"/>
      <c r="V347" s="229">
        <v>0</v>
      </c>
      <c r="W347" s="222" t="s">
        <v>212</v>
      </c>
      <c r="X347" s="530">
        <v>562.20000000000005</v>
      </c>
      <c r="Y347" s="530"/>
      <c r="Z347" s="222" t="s">
        <v>212</v>
      </c>
      <c r="AA347" s="232">
        <v>7769900</v>
      </c>
      <c r="AB347" s="233">
        <v>0</v>
      </c>
      <c r="AC347" s="215"/>
    </row>
    <row r="348" spans="1:29" ht="2.25" customHeight="1">
      <c r="A348" s="215"/>
      <c r="B348" s="529" t="s">
        <v>212</v>
      </c>
      <c r="C348" s="529"/>
      <c r="D348" s="219" t="s">
        <v>212</v>
      </c>
      <c r="E348" s="222" t="s">
        <v>212</v>
      </c>
      <c r="F348" s="531" t="s">
        <v>212</v>
      </c>
      <c r="G348" s="531"/>
      <c r="H348" s="222" t="s">
        <v>212</v>
      </c>
      <c r="I348" s="531" t="s">
        <v>212</v>
      </c>
      <c r="J348" s="531"/>
      <c r="K348" s="222" t="s">
        <v>212</v>
      </c>
      <c r="L348" s="222" t="s">
        <v>212</v>
      </c>
      <c r="M348" s="222" t="s">
        <v>212</v>
      </c>
      <c r="N348" s="222" t="s">
        <v>212</v>
      </c>
      <c r="O348" s="222" t="s">
        <v>212</v>
      </c>
      <c r="P348" s="222" t="s">
        <v>212</v>
      </c>
      <c r="Q348" s="222" t="s">
        <v>212</v>
      </c>
      <c r="R348" s="222" t="s">
        <v>212</v>
      </c>
      <c r="S348" s="222" t="s">
        <v>212</v>
      </c>
      <c r="T348" s="531" t="s">
        <v>212</v>
      </c>
      <c r="U348" s="531"/>
      <c r="V348" s="222" t="s">
        <v>212</v>
      </c>
      <c r="W348" s="222" t="s">
        <v>212</v>
      </c>
      <c r="X348" s="531" t="s">
        <v>212</v>
      </c>
      <c r="Y348" s="531"/>
      <c r="Z348" s="222" t="s">
        <v>212</v>
      </c>
      <c r="AA348" s="222" t="s">
        <v>212</v>
      </c>
      <c r="AB348" s="222" t="s">
        <v>212</v>
      </c>
      <c r="AC348" s="215"/>
    </row>
    <row r="349" spans="1:29" ht="13.5" customHeight="1">
      <c r="A349" s="215"/>
      <c r="B349" s="532">
        <v>38884</v>
      </c>
      <c r="C349" s="532"/>
      <c r="D349" s="219" t="s">
        <v>212</v>
      </c>
      <c r="E349" s="224">
        <v>232.5</v>
      </c>
      <c r="F349" s="533">
        <v>24</v>
      </c>
      <c r="G349" s="533"/>
      <c r="H349" s="224">
        <v>312.89999999999998</v>
      </c>
      <c r="I349" s="533">
        <v>24</v>
      </c>
      <c r="J349" s="533"/>
      <c r="K349" s="224">
        <v>0</v>
      </c>
      <c r="L349" s="225">
        <v>0</v>
      </c>
      <c r="M349" s="224">
        <v>0</v>
      </c>
      <c r="N349" s="225">
        <v>0</v>
      </c>
      <c r="O349" s="226">
        <v>545.4</v>
      </c>
      <c r="P349" s="222" t="s">
        <v>212</v>
      </c>
      <c r="Q349" s="224">
        <v>0</v>
      </c>
      <c r="R349" s="225">
        <v>0</v>
      </c>
      <c r="S349" s="224">
        <v>0</v>
      </c>
      <c r="T349" s="533">
        <v>0</v>
      </c>
      <c r="U349" s="533"/>
      <c r="V349" s="224">
        <v>0</v>
      </c>
      <c r="W349" s="222" t="s">
        <v>212</v>
      </c>
      <c r="X349" s="534">
        <v>545.4</v>
      </c>
      <c r="Y349" s="534"/>
      <c r="Z349" s="222" t="s">
        <v>212</v>
      </c>
      <c r="AA349" s="227">
        <v>7601400</v>
      </c>
      <c r="AB349" s="228">
        <v>0</v>
      </c>
      <c r="AC349" s="215"/>
    </row>
    <row r="350" spans="1:29" ht="2.25" customHeight="1">
      <c r="A350" s="215"/>
      <c r="B350" s="529" t="s">
        <v>212</v>
      </c>
      <c r="C350" s="529"/>
      <c r="D350" s="219" t="s">
        <v>212</v>
      </c>
      <c r="E350" s="222" t="s">
        <v>212</v>
      </c>
      <c r="F350" s="531" t="s">
        <v>212</v>
      </c>
      <c r="G350" s="531"/>
      <c r="H350" s="222" t="s">
        <v>212</v>
      </c>
      <c r="I350" s="531" t="s">
        <v>212</v>
      </c>
      <c r="J350" s="531"/>
      <c r="K350" s="222" t="s">
        <v>212</v>
      </c>
      <c r="L350" s="222" t="s">
        <v>212</v>
      </c>
      <c r="M350" s="222" t="s">
        <v>212</v>
      </c>
      <c r="N350" s="222" t="s">
        <v>212</v>
      </c>
      <c r="O350" s="222" t="s">
        <v>212</v>
      </c>
      <c r="P350" s="222" t="s">
        <v>212</v>
      </c>
      <c r="Q350" s="222" t="s">
        <v>212</v>
      </c>
      <c r="R350" s="222" t="s">
        <v>212</v>
      </c>
      <c r="S350" s="222" t="s">
        <v>212</v>
      </c>
      <c r="T350" s="531" t="s">
        <v>212</v>
      </c>
      <c r="U350" s="531"/>
      <c r="V350" s="222" t="s">
        <v>212</v>
      </c>
      <c r="W350" s="222" t="s">
        <v>212</v>
      </c>
      <c r="X350" s="531" t="s">
        <v>212</v>
      </c>
      <c r="Y350" s="531"/>
      <c r="Z350" s="222" t="s">
        <v>212</v>
      </c>
      <c r="AA350" s="222" t="s">
        <v>212</v>
      </c>
      <c r="AB350" s="222" t="s">
        <v>212</v>
      </c>
      <c r="AC350" s="215"/>
    </row>
    <row r="351" spans="1:29" ht="13.5" customHeight="1">
      <c r="A351" s="215"/>
      <c r="B351" s="535">
        <v>38885</v>
      </c>
      <c r="C351" s="535"/>
      <c r="D351" s="219" t="s">
        <v>212</v>
      </c>
      <c r="E351" s="229">
        <v>211.9</v>
      </c>
      <c r="F351" s="536">
        <v>24</v>
      </c>
      <c r="G351" s="536"/>
      <c r="H351" s="229">
        <v>270.60000000000002</v>
      </c>
      <c r="I351" s="536">
        <v>24</v>
      </c>
      <c r="J351" s="536"/>
      <c r="K351" s="229">
        <v>0</v>
      </c>
      <c r="L351" s="230">
        <v>0</v>
      </c>
      <c r="M351" s="229">
        <v>0</v>
      </c>
      <c r="N351" s="230">
        <v>0</v>
      </c>
      <c r="O351" s="231">
        <v>482.5</v>
      </c>
      <c r="P351" s="222" t="s">
        <v>212</v>
      </c>
      <c r="Q351" s="229">
        <v>0</v>
      </c>
      <c r="R351" s="230">
        <v>0</v>
      </c>
      <c r="S351" s="229">
        <v>0</v>
      </c>
      <c r="T351" s="536">
        <v>0</v>
      </c>
      <c r="U351" s="536"/>
      <c r="V351" s="229">
        <v>0</v>
      </c>
      <c r="W351" s="222" t="s">
        <v>212</v>
      </c>
      <c r="X351" s="530">
        <v>482.5</v>
      </c>
      <c r="Y351" s="530"/>
      <c r="Z351" s="222" t="s">
        <v>212</v>
      </c>
      <c r="AA351" s="232">
        <v>7082800</v>
      </c>
      <c r="AB351" s="233">
        <v>0</v>
      </c>
      <c r="AC351" s="215"/>
    </row>
    <row r="352" spans="1:29" ht="2.25" customHeight="1">
      <c r="A352" s="215"/>
      <c r="B352" s="529" t="s">
        <v>212</v>
      </c>
      <c r="C352" s="529"/>
      <c r="D352" s="219" t="s">
        <v>212</v>
      </c>
      <c r="E352" s="222" t="s">
        <v>212</v>
      </c>
      <c r="F352" s="531" t="s">
        <v>212</v>
      </c>
      <c r="G352" s="531"/>
      <c r="H352" s="222" t="s">
        <v>212</v>
      </c>
      <c r="I352" s="531" t="s">
        <v>212</v>
      </c>
      <c r="J352" s="531"/>
      <c r="K352" s="222" t="s">
        <v>212</v>
      </c>
      <c r="L352" s="222" t="s">
        <v>212</v>
      </c>
      <c r="M352" s="222" t="s">
        <v>212</v>
      </c>
      <c r="N352" s="222" t="s">
        <v>212</v>
      </c>
      <c r="O352" s="222" t="s">
        <v>212</v>
      </c>
      <c r="P352" s="222" t="s">
        <v>212</v>
      </c>
      <c r="Q352" s="222" t="s">
        <v>212</v>
      </c>
      <c r="R352" s="222" t="s">
        <v>212</v>
      </c>
      <c r="S352" s="222" t="s">
        <v>212</v>
      </c>
      <c r="T352" s="531" t="s">
        <v>212</v>
      </c>
      <c r="U352" s="531"/>
      <c r="V352" s="222" t="s">
        <v>212</v>
      </c>
      <c r="W352" s="222" t="s">
        <v>212</v>
      </c>
      <c r="X352" s="531" t="s">
        <v>212</v>
      </c>
      <c r="Y352" s="531"/>
      <c r="Z352" s="222" t="s">
        <v>212</v>
      </c>
      <c r="AA352" s="222" t="s">
        <v>212</v>
      </c>
      <c r="AB352" s="222" t="s">
        <v>212</v>
      </c>
      <c r="AC352" s="215"/>
    </row>
    <row r="353" spans="1:29" ht="13.5" customHeight="1">
      <c r="A353" s="215"/>
      <c r="B353" s="532">
        <v>38886</v>
      </c>
      <c r="C353" s="532"/>
      <c r="D353" s="219" t="s">
        <v>212</v>
      </c>
      <c r="E353" s="224">
        <v>248.5</v>
      </c>
      <c r="F353" s="533">
        <v>24</v>
      </c>
      <c r="G353" s="533"/>
      <c r="H353" s="224">
        <v>301.8</v>
      </c>
      <c r="I353" s="533">
        <v>24</v>
      </c>
      <c r="J353" s="533"/>
      <c r="K353" s="224">
        <v>0</v>
      </c>
      <c r="L353" s="225">
        <v>0</v>
      </c>
      <c r="M353" s="224">
        <v>0</v>
      </c>
      <c r="N353" s="225">
        <v>0</v>
      </c>
      <c r="O353" s="226">
        <v>550.29999999999995</v>
      </c>
      <c r="P353" s="222" t="s">
        <v>212</v>
      </c>
      <c r="Q353" s="224">
        <v>0</v>
      </c>
      <c r="R353" s="225">
        <v>24</v>
      </c>
      <c r="S353" s="224">
        <v>0</v>
      </c>
      <c r="T353" s="533">
        <v>0</v>
      </c>
      <c r="U353" s="533"/>
      <c r="V353" s="224">
        <v>0</v>
      </c>
      <c r="W353" s="222" t="s">
        <v>212</v>
      </c>
      <c r="X353" s="534">
        <v>550.29999999999995</v>
      </c>
      <c r="Y353" s="534"/>
      <c r="Z353" s="222" t="s">
        <v>212</v>
      </c>
      <c r="AA353" s="227">
        <v>7575300</v>
      </c>
      <c r="AB353" s="228">
        <v>0</v>
      </c>
      <c r="AC353" s="215"/>
    </row>
    <row r="354" spans="1:29" ht="2.25" customHeight="1">
      <c r="A354" s="215"/>
      <c r="B354" s="529" t="s">
        <v>212</v>
      </c>
      <c r="C354" s="529"/>
      <c r="D354" s="219" t="s">
        <v>212</v>
      </c>
      <c r="E354" s="222" t="s">
        <v>212</v>
      </c>
      <c r="F354" s="531" t="s">
        <v>212</v>
      </c>
      <c r="G354" s="531"/>
      <c r="H354" s="222" t="s">
        <v>212</v>
      </c>
      <c r="I354" s="531" t="s">
        <v>212</v>
      </c>
      <c r="J354" s="531"/>
      <c r="K354" s="222" t="s">
        <v>212</v>
      </c>
      <c r="L354" s="222" t="s">
        <v>212</v>
      </c>
      <c r="M354" s="222" t="s">
        <v>212</v>
      </c>
      <c r="N354" s="222" t="s">
        <v>212</v>
      </c>
      <c r="O354" s="222" t="s">
        <v>212</v>
      </c>
      <c r="P354" s="222" t="s">
        <v>212</v>
      </c>
      <c r="Q354" s="222" t="s">
        <v>212</v>
      </c>
      <c r="R354" s="222" t="s">
        <v>212</v>
      </c>
      <c r="S354" s="222" t="s">
        <v>212</v>
      </c>
      <c r="T354" s="531" t="s">
        <v>212</v>
      </c>
      <c r="U354" s="531"/>
      <c r="V354" s="222" t="s">
        <v>212</v>
      </c>
      <c r="W354" s="222" t="s">
        <v>212</v>
      </c>
      <c r="X354" s="531" t="s">
        <v>212</v>
      </c>
      <c r="Y354" s="531"/>
      <c r="Z354" s="222" t="s">
        <v>212</v>
      </c>
      <c r="AA354" s="222" t="s">
        <v>212</v>
      </c>
      <c r="AB354" s="222" t="s">
        <v>212</v>
      </c>
      <c r="AC354" s="215"/>
    </row>
    <row r="355" spans="1:29" ht="13.5" customHeight="1">
      <c r="A355" s="215"/>
      <c r="B355" s="535">
        <v>38887</v>
      </c>
      <c r="C355" s="535"/>
      <c r="D355" s="219" t="s">
        <v>212</v>
      </c>
      <c r="E355" s="229">
        <v>280.2</v>
      </c>
      <c r="F355" s="536">
        <v>24</v>
      </c>
      <c r="G355" s="536"/>
      <c r="H355" s="229">
        <v>315.89999999999998</v>
      </c>
      <c r="I355" s="536">
        <v>24</v>
      </c>
      <c r="J355" s="536"/>
      <c r="K355" s="229">
        <v>0</v>
      </c>
      <c r="L355" s="230">
        <v>0</v>
      </c>
      <c r="M355" s="229">
        <v>0</v>
      </c>
      <c r="N355" s="230">
        <v>0</v>
      </c>
      <c r="O355" s="231">
        <v>596.1</v>
      </c>
      <c r="P355" s="222" t="s">
        <v>212</v>
      </c>
      <c r="Q355" s="229">
        <v>0</v>
      </c>
      <c r="R355" s="230">
        <v>0</v>
      </c>
      <c r="S355" s="229">
        <v>0</v>
      </c>
      <c r="T355" s="536">
        <v>0</v>
      </c>
      <c r="U355" s="536"/>
      <c r="V355" s="229">
        <v>0</v>
      </c>
      <c r="W355" s="222" t="s">
        <v>212</v>
      </c>
      <c r="X355" s="530">
        <v>596.1</v>
      </c>
      <c r="Y355" s="530"/>
      <c r="Z355" s="222" t="s">
        <v>212</v>
      </c>
      <c r="AA355" s="232">
        <v>7958300</v>
      </c>
      <c r="AB355" s="233">
        <v>0</v>
      </c>
      <c r="AC355" s="215"/>
    </row>
    <row r="356" spans="1:29" ht="2.25" customHeight="1">
      <c r="A356" s="215"/>
      <c r="B356" s="529" t="s">
        <v>212</v>
      </c>
      <c r="C356" s="529"/>
      <c r="D356" s="219" t="s">
        <v>212</v>
      </c>
      <c r="E356" s="222" t="s">
        <v>212</v>
      </c>
      <c r="F356" s="531" t="s">
        <v>212</v>
      </c>
      <c r="G356" s="531"/>
      <c r="H356" s="222" t="s">
        <v>212</v>
      </c>
      <c r="I356" s="531" t="s">
        <v>212</v>
      </c>
      <c r="J356" s="531"/>
      <c r="K356" s="222" t="s">
        <v>212</v>
      </c>
      <c r="L356" s="222" t="s">
        <v>212</v>
      </c>
      <c r="M356" s="222" t="s">
        <v>212</v>
      </c>
      <c r="N356" s="222" t="s">
        <v>212</v>
      </c>
      <c r="O356" s="222" t="s">
        <v>212</v>
      </c>
      <c r="P356" s="222" t="s">
        <v>212</v>
      </c>
      <c r="Q356" s="222" t="s">
        <v>212</v>
      </c>
      <c r="R356" s="222" t="s">
        <v>212</v>
      </c>
      <c r="S356" s="222" t="s">
        <v>212</v>
      </c>
      <c r="T356" s="531" t="s">
        <v>212</v>
      </c>
      <c r="U356" s="531"/>
      <c r="V356" s="222" t="s">
        <v>212</v>
      </c>
      <c r="W356" s="222" t="s">
        <v>212</v>
      </c>
      <c r="X356" s="531" t="s">
        <v>212</v>
      </c>
      <c r="Y356" s="531"/>
      <c r="Z356" s="222" t="s">
        <v>212</v>
      </c>
      <c r="AA356" s="222" t="s">
        <v>212</v>
      </c>
      <c r="AB356" s="222" t="s">
        <v>212</v>
      </c>
      <c r="AC356" s="215"/>
    </row>
    <row r="357" spans="1:29" ht="13.5" customHeight="1">
      <c r="A357" s="215"/>
      <c r="B357" s="532">
        <v>38888</v>
      </c>
      <c r="C357" s="532"/>
      <c r="D357" s="219" t="s">
        <v>212</v>
      </c>
      <c r="E357" s="224">
        <v>283</v>
      </c>
      <c r="F357" s="533">
        <v>24</v>
      </c>
      <c r="G357" s="533"/>
      <c r="H357" s="224">
        <v>305.8</v>
      </c>
      <c r="I357" s="533">
        <v>24</v>
      </c>
      <c r="J357" s="533"/>
      <c r="K357" s="224">
        <v>0</v>
      </c>
      <c r="L357" s="225">
        <v>0</v>
      </c>
      <c r="M357" s="224">
        <v>0</v>
      </c>
      <c r="N357" s="225">
        <v>0</v>
      </c>
      <c r="O357" s="226">
        <v>588.79999999999995</v>
      </c>
      <c r="P357" s="222" t="s">
        <v>212</v>
      </c>
      <c r="Q357" s="224">
        <v>0</v>
      </c>
      <c r="R357" s="225">
        <v>0</v>
      </c>
      <c r="S357" s="224">
        <v>0</v>
      </c>
      <c r="T357" s="533">
        <v>0</v>
      </c>
      <c r="U357" s="533"/>
      <c r="V357" s="224">
        <v>0</v>
      </c>
      <c r="W357" s="222" t="s">
        <v>212</v>
      </c>
      <c r="X357" s="534">
        <v>588.79999999999995</v>
      </c>
      <c r="Y357" s="534"/>
      <c r="Z357" s="222" t="s">
        <v>212</v>
      </c>
      <c r="AA357" s="227">
        <v>7866000</v>
      </c>
      <c r="AB357" s="228">
        <v>0</v>
      </c>
      <c r="AC357" s="215"/>
    </row>
    <row r="358" spans="1:29" ht="2.25" customHeight="1">
      <c r="A358" s="215"/>
      <c r="B358" s="529" t="s">
        <v>212</v>
      </c>
      <c r="C358" s="529"/>
      <c r="D358" s="219" t="s">
        <v>212</v>
      </c>
      <c r="E358" s="222" t="s">
        <v>212</v>
      </c>
      <c r="F358" s="531" t="s">
        <v>212</v>
      </c>
      <c r="G358" s="531"/>
      <c r="H358" s="222" t="s">
        <v>212</v>
      </c>
      <c r="I358" s="531" t="s">
        <v>212</v>
      </c>
      <c r="J358" s="531"/>
      <c r="K358" s="222" t="s">
        <v>212</v>
      </c>
      <c r="L358" s="222" t="s">
        <v>212</v>
      </c>
      <c r="M358" s="222" t="s">
        <v>212</v>
      </c>
      <c r="N358" s="222" t="s">
        <v>212</v>
      </c>
      <c r="O358" s="222" t="s">
        <v>212</v>
      </c>
      <c r="P358" s="222" t="s">
        <v>212</v>
      </c>
      <c r="Q358" s="222" t="s">
        <v>212</v>
      </c>
      <c r="R358" s="222" t="s">
        <v>212</v>
      </c>
      <c r="S358" s="222" t="s">
        <v>212</v>
      </c>
      <c r="T358" s="531" t="s">
        <v>212</v>
      </c>
      <c r="U358" s="531"/>
      <c r="V358" s="222" t="s">
        <v>212</v>
      </c>
      <c r="W358" s="222" t="s">
        <v>212</v>
      </c>
      <c r="X358" s="531" t="s">
        <v>212</v>
      </c>
      <c r="Y358" s="531"/>
      <c r="Z358" s="222" t="s">
        <v>212</v>
      </c>
      <c r="AA358" s="222" t="s">
        <v>212</v>
      </c>
      <c r="AB358" s="222" t="s">
        <v>212</v>
      </c>
      <c r="AC358" s="215"/>
    </row>
    <row r="359" spans="1:29" ht="13.5" customHeight="1">
      <c r="A359" s="215"/>
      <c r="B359" s="535">
        <v>38889</v>
      </c>
      <c r="C359" s="535"/>
      <c r="D359" s="219" t="s">
        <v>212</v>
      </c>
      <c r="E359" s="229">
        <v>239</v>
      </c>
      <c r="F359" s="536">
        <v>24</v>
      </c>
      <c r="G359" s="536"/>
      <c r="H359" s="229">
        <v>267</v>
      </c>
      <c r="I359" s="536">
        <v>24</v>
      </c>
      <c r="J359" s="536"/>
      <c r="K359" s="229">
        <v>0</v>
      </c>
      <c r="L359" s="230">
        <v>0</v>
      </c>
      <c r="M359" s="229">
        <v>0</v>
      </c>
      <c r="N359" s="230">
        <v>0</v>
      </c>
      <c r="O359" s="231">
        <v>506</v>
      </c>
      <c r="P359" s="222" t="s">
        <v>212</v>
      </c>
      <c r="Q359" s="229">
        <v>0</v>
      </c>
      <c r="R359" s="230">
        <v>0</v>
      </c>
      <c r="S359" s="229">
        <v>0</v>
      </c>
      <c r="T359" s="536">
        <v>0</v>
      </c>
      <c r="U359" s="536"/>
      <c r="V359" s="229">
        <v>0</v>
      </c>
      <c r="W359" s="222" t="s">
        <v>212</v>
      </c>
      <c r="X359" s="530">
        <v>506</v>
      </c>
      <c r="Y359" s="530"/>
      <c r="Z359" s="222" t="s">
        <v>212</v>
      </c>
      <c r="AA359" s="232">
        <v>7257700</v>
      </c>
      <c r="AB359" s="233">
        <v>0</v>
      </c>
      <c r="AC359" s="215"/>
    </row>
    <row r="360" spans="1:29" ht="2.25" customHeight="1">
      <c r="A360" s="215"/>
      <c r="B360" s="529" t="s">
        <v>212</v>
      </c>
      <c r="C360" s="529"/>
      <c r="D360" s="219" t="s">
        <v>212</v>
      </c>
      <c r="E360" s="222" t="s">
        <v>212</v>
      </c>
      <c r="F360" s="531" t="s">
        <v>212</v>
      </c>
      <c r="G360" s="531"/>
      <c r="H360" s="222" t="s">
        <v>212</v>
      </c>
      <c r="I360" s="531" t="s">
        <v>212</v>
      </c>
      <c r="J360" s="531"/>
      <c r="K360" s="222" t="s">
        <v>212</v>
      </c>
      <c r="L360" s="222" t="s">
        <v>212</v>
      </c>
      <c r="M360" s="222" t="s">
        <v>212</v>
      </c>
      <c r="N360" s="222" t="s">
        <v>212</v>
      </c>
      <c r="O360" s="222" t="s">
        <v>212</v>
      </c>
      <c r="P360" s="222" t="s">
        <v>212</v>
      </c>
      <c r="Q360" s="222" t="s">
        <v>212</v>
      </c>
      <c r="R360" s="222" t="s">
        <v>212</v>
      </c>
      <c r="S360" s="222" t="s">
        <v>212</v>
      </c>
      <c r="T360" s="531" t="s">
        <v>212</v>
      </c>
      <c r="U360" s="531"/>
      <c r="V360" s="222" t="s">
        <v>212</v>
      </c>
      <c r="W360" s="222" t="s">
        <v>212</v>
      </c>
      <c r="X360" s="531" t="s">
        <v>212</v>
      </c>
      <c r="Y360" s="531"/>
      <c r="Z360" s="222" t="s">
        <v>212</v>
      </c>
      <c r="AA360" s="222" t="s">
        <v>212</v>
      </c>
      <c r="AB360" s="222" t="s">
        <v>212</v>
      </c>
      <c r="AC360" s="215"/>
    </row>
    <row r="361" spans="1:29" ht="13.5" customHeight="1">
      <c r="A361" s="215"/>
      <c r="B361" s="532">
        <v>38890</v>
      </c>
      <c r="C361" s="532"/>
      <c r="D361" s="219" t="s">
        <v>212</v>
      </c>
      <c r="E361" s="224">
        <v>264.7</v>
      </c>
      <c r="F361" s="533">
        <v>24</v>
      </c>
      <c r="G361" s="533"/>
      <c r="H361" s="224">
        <v>107.3</v>
      </c>
      <c r="I361" s="533">
        <v>8</v>
      </c>
      <c r="J361" s="533"/>
      <c r="K361" s="224">
        <v>190.8</v>
      </c>
      <c r="L361" s="225">
        <v>15</v>
      </c>
      <c r="M361" s="224">
        <v>0</v>
      </c>
      <c r="N361" s="225">
        <v>0</v>
      </c>
      <c r="O361" s="226">
        <v>562.79999999999995</v>
      </c>
      <c r="P361" s="222" t="s">
        <v>212</v>
      </c>
      <c r="Q361" s="224">
        <v>0</v>
      </c>
      <c r="R361" s="225">
        <v>0</v>
      </c>
      <c r="S361" s="224">
        <v>0</v>
      </c>
      <c r="T361" s="533">
        <v>0</v>
      </c>
      <c r="U361" s="533"/>
      <c r="V361" s="224">
        <v>0</v>
      </c>
      <c r="W361" s="222" t="s">
        <v>212</v>
      </c>
      <c r="X361" s="534">
        <v>562.79999999999995</v>
      </c>
      <c r="Y361" s="534"/>
      <c r="Z361" s="222" t="s">
        <v>212</v>
      </c>
      <c r="AA361" s="227">
        <v>5308300</v>
      </c>
      <c r="AB361" s="228">
        <v>94898</v>
      </c>
      <c r="AC361" s="215"/>
    </row>
    <row r="362" spans="1:29" ht="2.25" customHeight="1">
      <c r="A362" s="215"/>
      <c r="B362" s="529" t="s">
        <v>212</v>
      </c>
      <c r="C362" s="529"/>
      <c r="D362" s="219" t="s">
        <v>212</v>
      </c>
      <c r="E362" s="222" t="s">
        <v>212</v>
      </c>
      <c r="F362" s="531" t="s">
        <v>212</v>
      </c>
      <c r="G362" s="531"/>
      <c r="H362" s="222" t="s">
        <v>212</v>
      </c>
      <c r="I362" s="531" t="s">
        <v>212</v>
      </c>
      <c r="J362" s="531"/>
      <c r="K362" s="222" t="s">
        <v>212</v>
      </c>
      <c r="L362" s="222" t="s">
        <v>212</v>
      </c>
      <c r="M362" s="222" t="s">
        <v>212</v>
      </c>
      <c r="N362" s="222" t="s">
        <v>212</v>
      </c>
      <c r="O362" s="222" t="s">
        <v>212</v>
      </c>
      <c r="P362" s="222" t="s">
        <v>212</v>
      </c>
      <c r="Q362" s="222" t="s">
        <v>212</v>
      </c>
      <c r="R362" s="222" t="s">
        <v>212</v>
      </c>
      <c r="S362" s="222" t="s">
        <v>212</v>
      </c>
      <c r="T362" s="531" t="s">
        <v>212</v>
      </c>
      <c r="U362" s="531"/>
      <c r="V362" s="222" t="s">
        <v>212</v>
      </c>
      <c r="W362" s="222" t="s">
        <v>212</v>
      </c>
      <c r="X362" s="531" t="s">
        <v>212</v>
      </c>
      <c r="Y362" s="531"/>
      <c r="Z362" s="222" t="s">
        <v>212</v>
      </c>
      <c r="AA362" s="222" t="s">
        <v>212</v>
      </c>
      <c r="AB362" s="222" t="s">
        <v>212</v>
      </c>
      <c r="AC362" s="215"/>
    </row>
    <row r="363" spans="1:29" ht="13.5" customHeight="1">
      <c r="A363" s="215"/>
      <c r="B363" s="535">
        <v>38891</v>
      </c>
      <c r="C363" s="535"/>
      <c r="D363" s="219" t="s">
        <v>212</v>
      </c>
      <c r="E363" s="229">
        <v>304.60000000000002</v>
      </c>
      <c r="F363" s="536">
        <v>24</v>
      </c>
      <c r="G363" s="536"/>
      <c r="H363" s="229">
        <v>96.2</v>
      </c>
      <c r="I363" s="536">
        <v>8</v>
      </c>
      <c r="J363" s="536"/>
      <c r="K363" s="229">
        <v>215.4</v>
      </c>
      <c r="L363" s="230">
        <v>18</v>
      </c>
      <c r="M363" s="229">
        <v>0</v>
      </c>
      <c r="N363" s="230">
        <v>0</v>
      </c>
      <c r="O363" s="231">
        <v>616.20000000000005</v>
      </c>
      <c r="P363" s="222" t="s">
        <v>212</v>
      </c>
      <c r="Q363" s="229">
        <v>0</v>
      </c>
      <c r="R363" s="230">
        <v>0</v>
      </c>
      <c r="S363" s="229">
        <v>0</v>
      </c>
      <c r="T363" s="536">
        <v>0</v>
      </c>
      <c r="U363" s="536"/>
      <c r="V363" s="229">
        <v>0</v>
      </c>
      <c r="W363" s="222" t="s">
        <v>212</v>
      </c>
      <c r="X363" s="530">
        <v>616.20000000000005</v>
      </c>
      <c r="Y363" s="530"/>
      <c r="Z363" s="222" t="s">
        <v>212</v>
      </c>
      <c r="AA363" s="232">
        <v>5275800</v>
      </c>
      <c r="AB363" s="233">
        <v>112026</v>
      </c>
      <c r="AC363" s="215"/>
    </row>
    <row r="364" spans="1:29" ht="2.25" customHeight="1">
      <c r="A364" s="215"/>
      <c r="B364" s="529" t="s">
        <v>212</v>
      </c>
      <c r="C364" s="529"/>
      <c r="D364" s="219" t="s">
        <v>212</v>
      </c>
      <c r="E364" s="222" t="s">
        <v>212</v>
      </c>
      <c r="F364" s="531" t="s">
        <v>212</v>
      </c>
      <c r="G364" s="531"/>
      <c r="H364" s="222" t="s">
        <v>212</v>
      </c>
      <c r="I364" s="531" t="s">
        <v>212</v>
      </c>
      <c r="J364" s="531"/>
      <c r="K364" s="222" t="s">
        <v>212</v>
      </c>
      <c r="L364" s="222" t="s">
        <v>212</v>
      </c>
      <c r="M364" s="222" t="s">
        <v>212</v>
      </c>
      <c r="N364" s="222" t="s">
        <v>212</v>
      </c>
      <c r="O364" s="222" t="s">
        <v>212</v>
      </c>
      <c r="P364" s="222" t="s">
        <v>212</v>
      </c>
      <c r="Q364" s="222" t="s">
        <v>212</v>
      </c>
      <c r="R364" s="222" t="s">
        <v>212</v>
      </c>
      <c r="S364" s="222" t="s">
        <v>212</v>
      </c>
      <c r="T364" s="531" t="s">
        <v>212</v>
      </c>
      <c r="U364" s="531"/>
      <c r="V364" s="222" t="s">
        <v>212</v>
      </c>
      <c r="W364" s="222" t="s">
        <v>212</v>
      </c>
      <c r="X364" s="531" t="s">
        <v>212</v>
      </c>
      <c r="Y364" s="531"/>
      <c r="Z364" s="222" t="s">
        <v>212</v>
      </c>
      <c r="AA364" s="222" t="s">
        <v>212</v>
      </c>
      <c r="AB364" s="222" t="s">
        <v>212</v>
      </c>
      <c r="AC364" s="215"/>
    </row>
    <row r="365" spans="1:29" ht="13.5" customHeight="1">
      <c r="A365" s="215"/>
      <c r="B365" s="532">
        <v>38892</v>
      </c>
      <c r="C365" s="532"/>
      <c r="D365" s="219" t="s">
        <v>212</v>
      </c>
      <c r="E365" s="224">
        <v>270</v>
      </c>
      <c r="F365" s="533">
        <v>24</v>
      </c>
      <c r="G365" s="533"/>
      <c r="H365" s="224">
        <v>310.60000000000002</v>
      </c>
      <c r="I365" s="533">
        <v>24</v>
      </c>
      <c r="J365" s="533"/>
      <c r="K365" s="224">
        <v>0</v>
      </c>
      <c r="L365" s="225">
        <v>0</v>
      </c>
      <c r="M365" s="224">
        <v>0</v>
      </c>
      <c r="N365" s="225">
        <v>0</v>
      </c>
      <c r="O365" s="226">
        <v>580.6</v>
      </c>
      <c r="P365" s="222" t="s">
        <v>212</v>
      </c>
      <c r="Q365" s="224">
        <v>0</v>
      </c>
      <c r="R365" s="225">
        <v>0</v>
      </c>
      <c r="S365" s="224">
        <v>0</v>
      </c>
      <c r="T365" s="533">
        <v>0</v>
      </c>
      <c r="U365" s="533"/>
      <c r="V365" s="224">
        <v>0</v>
      </c>
      <c r="W365" s="222" t="s">
        <v>212</v>
      </c>
      <c r="X365" s="534">
        <v>580.6</v>
      </c>
      <c r="Y365" s="534"/>
      <c r="Z365" s="222" t="s">
        <v>212</v>
      </c>
      <c r="AA365" s="227">
        <v>7803200</v>
      </c>
      <c r="AB365" s="228">
        <v>0</v>
      </c>
      <c r="AC365" s="215"/>
    </row>
    <row r="366" spans="1:29" ht="2.25" customHeight="1">
      <c r="A366" s="215"/>
      <c r="B366" s="529" t="s">
        <v>212</v>
      </c>
      <c r="C366" s="529"/>
      <c r="D366" s="219" t="s">
        <v>212</v>
      </c>
      <c r="E366" s="222" t="s">
        <v>212</v>
      </c>
      <c r="F366" s="531" t="s">
        <v>212</v>
      </c>
      <c r="G366" s="531"/>
      <c r="H366" s="222" t="s">
        <v>212</v>
      </c>
      <c r="I366" s="531" t="s">
        <v>212</v>
      </c>
      <c r="J366" s="531"/>
      <c r="K366" s="222" t="s">
        <v>212</v>
      </c>
      <c r="L366" s="222" t="s">
        <v>212</v>
      </c>
      <c r="M366" s="222" t="s">
        <v>212</v>
      </c>
      <c r="N366" s="222" t="s">
        <v>212</v>
      </c>
      <c r="O366" s="222" t="s">
        <v>212</v>
      </c>
      <c r="P366" s="222" t="s">
        <v>212</v>
      </c>
      <c r="Q366" s="222" t="s">
        <v>212</v>
      </c>
      <c r="R366" s="222" t="s">
        <v>212</v>
      </c>
      <c r="S366" s="222" t="s">
        <v>212</v>
      </c>
      <c r="T366" s="531" t="s">
        <v>212</v>
      </c>
      <c r="U366" s="531"/>
      <c r="V366" s="222" t="s">
        <v>212</v>
      </c>
      <c r="W366" s="222" t="s">
        <v>212</v>
      </c>
      <c r="X366" s="531" t="s">
        <v>212</v>
      </c>
      <c r="Y366" s="531"/>
      <c r="Z366" s="222" t="s">
        <v>212</v>
      </c>
      <c r="AA366" s="222" t="s">
        <v>212</v>
      </c>
      <c r="AB366" s="222" t="s">
        <v>212</v>
      </c>
      <c r="AC366" s="215"/>
    </row>
    <row r="367" spans="1:29" ht="13.5" customHeight="1">
      <c r="A367" s="215"/>
      <c r="B367" s="535">
        <v>38893</v>
      </c>
      <c r="C367" s="535"/>
      <c r="D367" s="219" t="s">
        <v>212</v>
      </c>
      <c r="E367" s="229">
        <v>222.6</v>
      </c>
      <c r="F367" s="536">
        <v>24</v>
      </c>
      <c r="G367" s="536"/>
      <c r="H367" s="229">
        <v>277.60000000000002</v>
      </c>
      <c r="I367" s="536">
        <v>24</v>
      </c>
      <c r="J367" s="536"/>
      <c r="K367" s="229">
        <v>0</v>
      </c>
      <c r="L367" s="230">
        <v>0</v>
      </c>
      <c r="M367" s="229">
        <v>0</v>
      </c>
      <c r="N367" s="230">
        <v>0</v>
      </c>
      <c r="O367" s="231">
        <v>500.2</v>
      </c>
      <c r="P367" s="222" t="s">
        <v>212</v>
      </c>
      <c r="Q367" s="229">
        <v>0</v>
      </c>
      <c r="R367" s="230">
        <v>24</v>
      </c>
      <c r="S367" s="229">
        <v>0</v>
      </c>
      <c r="T367" s="536">
        <v>0</v>
      </c>
      <c r="U367" s="536"/>
      <c r="V367" s="229">
        <v>0</v>
      </c>
      <c r="W367" s="222" t="s">
        <v>212</v>
      </c>
      <c r="X367" s="530">
        <v>500.2</v>
      </c>
      <c r="Y367" s="530"/>
      <c r="Z367" s="222" t="s">
        <v>212</v>
      </c>
      <c r="AA367" s="232">
        <v>7256100</v>
      </c>
      <c r="AB367" s="233">
        <v>0</v>
      </c>
      <c r="AC367" s="215"/>
    </row>
    <row r="368" spans="1:29" ht="2.25" customHeight="1">
      <c r="A368" s="215"/>
      <c r="B368" s="529" t="s">
        <v>212</v>
      </c>
      <c r="C368" s="529"/>
      <c r="D368" s="219" t="s">
        <v>212</v>
      </c>
      <c r="E368" s="222" t="s">
        <v>212</v>
      </c>
      <c r="F368" s="531" t="s">
        <v>212</v>
      </c>
      <c r="G368" s="531"/>
      <c r="H368" s="222" t="s">
        <v>212</v>
      </c>
      <c r="I368" s="531" t="s">
        <v>212</v>
      </c>
      <c r="J368" s="531"/>
      <c r="K368" s="222" t="s">
        <v>212</v>
      </c>
      <c r="L368" s="222" t="s">
        <v>212</v>
      </c>
      <c r="M368" s="222" t="s">
        <v>212</v>
      </c>
      <c r="N368" s="222" t="s">
        <v>212</v>
      </c>
      <c r="O368" s="222" t="s">
        <v>212</v>
      </c>
      <c r="P368" s="222" t="s">
        <v>212</v>
      </c>
      <c r="Q368" s="222" t="s">
        <v>212</v>
      </c>
      <c r="R368" s="222" t="s">
        <v>212</v>
      </c>
      <c r="S368" s="222" t="s">
        <v>212</v>
      </c>
      <c r="T368" s="531" t="s">
        <v>212</v>
      </c>
      <c r="U368" s="531"/>
      <c r="V368" s="222" t="s">
        <v>212</v>
      </c>
      <c r="W368" s="222" t="s">
        <v>212</v>
      </c>
      <c r="X368" s="531" t="s">
        <v>212</v>
      </c>
      <c r="Y368" s="531"/>
      <c r="Z368" s="222" t="s">
        <v>212</v>
      </c>
      <c r="AA368" s="222" t="s">
        <v>212</v>
      </c>
      <c r="AB368" s="222" t="s">
        <v>212</v>
      </c>
      <c r="AC368" s="215"/>
    </row>
    <row r="369" spans="1:29" ht="13.5" customHeight="1">
      <c r="A369" s="215"/>
      <c r="B369" s="532">
        <v>38894</v>
      </c>
      <c r="C369" s="532"/>
      <c r="D369" s="219" t="s">
        <v>212</v>
      </c>
      <c r="E369" s="224">
        <v>238.6</v>
      </c>
      <c r="F369" s="533">
        <v>24</v>
      </c>
      <c r="G369" s="533"/>
      <c r="H369" s="224">
        <v>313.5</v>
      </c>
      <c r="I369" s="533">
        <v>24</v>
      </c>
      <c r="J369" s="533"/>
      <c r="K369" s="224">
        <v>0</v>
      </c>
      <c r="L369" s="225">
        <v>0</v>
      </c>
      <c r="M369" s="224">
        <v>0</v>
      </c>
      <c r="N369" s="225">
        <v>0</v>
      </c>
      <c r="O369" s="226">
        <v>552.1</v>
      </c>
      <c r="P369" s="222" t="s">
        <v>212</v>
      </c>
      <c r="Q369" s="224">
        <v>0</v>
      </c>
      <c r="R369" s="225">
        <v>0</v>
      </c>
      <c r="S369" s="224">
        <v>0</v>
      </c>
      <c r="T369" s="533">
        <v>0</v>
      </c>
      <c r="U369" s="533"/>
      <c r="V369" s="224">
        <v>0</v>
      </c>
      <c r="W369" s="222" t="s">
        <v>212</v>
      </c>
      <c r="X369" s="534">
        <v>552.1</v>
      </c>
      <c r="Y369" s="534"/>
      <c r="Z369" s="222" t="s">
        <v>212</v>
      </c>
      <c r="AA369" s="227">
        <v>7621800</v>
      </c>
      <c r="AB369" s="228">
        <v>0</v>
      </c>
      <c r="AC369" s="215"/>
    </row>
    <row r="370" spans="1:29" ht="2.25" customHeight="1">
      <c r="A370" s="215"/>
      <c r="B370" s="529" t="s">
        <v>212</v>
      </c>
      <c r="C370" s="529"/>
      <c r="D370" s="219" t="s">
        <v>212</v>
      </c>
      <c r="E370" s="222" t="s">
        <v>212</v>
      </c>
      <c r="F370" s="531" t="s">
        <v>212</v>
      </c>
      <c r="G370" s="531"/>
      <c r="H370" s="222" t="s">
        <v>212</v>
      </c>
      <c r="I370" s="531" t="s">
        <v>212</v>
      </c>
      <c r="J370" s="531"/>
      <c r="K370" s="222" t="s">
        <v>212</v>
      </c>
      <c r="L370" s="222" t="s">
        <v>212</v>
      </c>
      <c r="M370" s="222" t="s">
        <v>212</v>
      </c>
      <c r="N370" s="222" t="s">
        <v>212</v>
      </c>
      <c r="O370" s="222" t="s">
        <v>212</v>
      </c>
      <c r="P370" s="222" t="s">
        <v>212</v>
      </c>
      <c r="Q370" s="222" t="s">
        <v>212</v>
      </c>
      <c r="R370" s="222" t="s">
        <v>212</v>
      </c>
      <c r="S370" s="222" t="s">
        <v>212</v>
      </c>
      <c r="T370" s="531" t="s">
        <v>212</v>
      </c>
      <c r="U370" s="531"/>
      <c r="V370" s="222" t="s">
        <v>212</v>
      </c>
      <c r="W370" s="222" t="s">
        <v>212</v>
      </c>
      <c r="X370" s="531" t="s">
        <v>212</v>
      </c>
      <c r="Y370" s="531"/>
      <c r="Z370" s="222" t="s">
        <v>212</v>
      </c>
      <c r="AA370" s="222" t="s">
        <v>212</v>
      </c>
      <c r="AB370" s="222" t="s">
        <v>212</v>
      </c>
      <c r="AC370" s="215"/>
    </row>
    <row r="371" spans="1:29" ht="13.5" customHeight="1">
      <c r="A371" s="215"/>
      <c r="B371" s="535">
        <v>38895</v>
      </c>
      <c r="C371" s="535"/>
      <c r="D371" s="219" t="s">
        <v>212</v>
      </c>
      <c r="E371" s="229">
        <v>254</v>
      </c>
      <c r="F371" s="536">
        <v>24</v>
      </c>
      <c r="G371" s="536"/>
      <c r="H371" s="229">
        <v>310.5</v>
      </c>
      <c r="I371" s="536">
        <v>24</v>
      </c>
      <c r="J371" s="536"/>
      <c r="K371" s="229">
        <v>0</v>
      </c>
      <c r="L371" s="230">
        <v>0</v>
      </c>
      <c r="M371" s="229">
        <v>0</v>
      </c>
      <c r="N371" s="230">
        <v>0</v>
      </c>
      <c r="O371" s="231">
        <v>564.5</v>
      </c>
      <c r="P371" s="222" t="s">
        <v>212</v>
      </c>
      <c r="Q371" s="229">
        <v>0</v>
      </c>
      <c r="R371" s="230">
        <v>0</v>
      </c>
      <c r="S371" s="229">
        <v>0</v>
      </c>
      <c r="T371" s="536">
        <v>0</v>
      </c>
      <c r="U371" s="536"/>
      <c r="V371" s="229">
        <v>0</v>
      </c>
      <c r="W371" s="222" t="s">
        <v>212</v>
      </c>
      <c r="X371" s="530">
        <v>564.5</v>
      </c>
      <c r="Y371" s="530"/>
      <c r="Z371" s="222" t="s">
        <v>212</v>
      </c>
      <c r="AA371" s="232">
        <v>7768900</v>
      </c>
      <c r="AB371" s="233">
        <v>0</v>
      </c>
      <c r="AC371" s="215"/>
    </row>
    <row r="372" spans="1:29" ht="2.25" customHeight="1">
      <c r="A372" s="215"/>
      <c r="B372" s="529" t="s">
        <v>212</v>
      </c>
      <c r="C372" s="529"/>
      <c r="D372" s="219" t="s">
        <v>212</v>
      </c>
      <c r="E372" s="222" t="s">
        <v>212</v>
      </c>
      <c r="F372" s="531" t="s">
        <v>212</v>
      </c>
      <c r="G372" s="531"/>
      <c r="H372" s="222" t="s">
        <v>212</v>
      </c>
      <c r="I372" s="531" t="s">
        <v>212</v>
      </c>
      <c r="J372" s="531"/>
      <c r="K372" s="222" t="s">
        <v>212</v>
      </c>
      <c r="L372" s="222" t="s">
        <v>212</v>
      </c>
      <c r="M372" s="222" t="s">
        <v>212</v>
      </c>
      <c r="N372" s="222" t="s">
        <v>212</v>
      </c>
      <c r="O372" s="222" t="s">
        <v>212</v>
      </c>
      <c r="P372" s="222" t="s">
        <v>212</v>
      </c>
      <c r="Q372" s="222" t="s">
        <v>212</v>
      </c>
      <c r="R372" s="222" t="s">
        <v>212</v>
      </c>
      <c r="S372" s="222" t="s">
        <v>212</v>
      </c>
      <c r="T372" s="531" t="s">
        <v>212</v>
      </c>
      <c r="U372" s="531"/>
      <c r="V372" s="222" t="s">
        <v>212</v>
      </c>
      <c r="W372" s="222" t="s">
        <v>212</v>
      </c>
      <c r="X372" s="531" t="s">
        <v>212</v>
      </c>
      <c r="Y372" s="531"/>
      <c r="Z372" s="222" t="s">
        <v>212</v>
      </c>
      <c r="AA372" s="222" t="s">
        <v>212</v>
      </c>
      <c r="AB372" s="222" t="s">
        <v>212</v>
      </c>
      <c r="AC372" s="215"/>
    </row>
    <row r="373" spans="1:29" ht="13.5" customHeight="1">
      <c r="A373" s="215"/>
      <c r="B373" s="532">
        <v>38896</v>
      </c>
      <c r="C373" s="532"/>
      <c r="D373" s="219" t="s">
        <v>212</v>
      </c>
      <c r="E373" s="224">
        <v>226</v>
      </c>
      <c r="F373" s="533">
        <v>24</v>
      </c>
      <c r="G373" s="533"/>
      <c r="H373" s="224">
        <v>272</v>
      </c>
      <c r="I373" s="533">
        <v>24</v>
      </c>
      <c r="J373" s="533"/>
      <c r="K373" s="224">
        <v>0</v>
      </c>
      <c r="L373" s="225">
        <v>0</v>
      </c>
      <c r="M373" s="224">
        <v>0</v>
      </c>
      <c r="N373" s="225">
        <v>0</v>
      </c>
      <c r="O373" s="226">
        <v>498</v>
      </c>
      <c r="P373" s="222" t="s">
        <v>212</v>
      </c>
      <c r="Q373" s="224">
        <v>0</v>
      </c>
      <c r="R373" s="225">
        <v>0</v>
      </c>
      <c r="S373" s="224">
        <v>0</v>
      </c>
      <c r="T373" s="533">
        <v>0</v>
      </c>
      <c r="U373" s="533"/>
      <c r="V373" s="224">
        <v>0</v>
      </c>
      <c r="W373" s="222" t="s">
        <v>212</v>
      </c>
      <c r="X373" s="534">
        <v>498</v>
      </c>
      <c r="Y373" s="534"/>
      <c r="Z373" s="222" t="s">
        <v>212</v>
      </c>
      <c r="AA373" s="227">
        <v>7196700</v>
      </c>
      <c r="AB373" s="228">
        <v>0</v>
      </c>
      <c r="AC373" s="215"/>
    </row>
    <row r="374" spans="1:29" ht="2.25" customHeight="1">
      <c r="A374" s="215"/>
      <c r="B374" s="529" t="s">
        <v>212</v>
      </c>
      <c r="C374" s="529"/>
      <c r="D374" s="219" t="s">
        <v>212</v>
      </c>
      <c r="E374" s="222" t="s">
        <v>212</v>
      </c>
      <c r="F374" s="531" t="s">
        <v>212</v>
      </c>
      <c r="G374" s="531"/>
      <c r="H374" s="222" t="s">
        <v>212</v>
      </c>
      <c r="I374" s="531" t="s">
        <v>212</v>
      </c>
      <c r="J374" s="531"/>
      <c r="K374" s="222" t="s">
        <v>212</v>
      </c>
      <c r="L374" s="222" t="s">
        <v>212</v>
      </c>
      <c r="M374" s="222" t="s">
        <v>212</v>
      </c>
      <c r="N374" s="222" t="s">
        <v>212</v>
      </c>
      <c r="O374" s="222" t="s">
        <v>212</v>
      </c>
      <c r="P374" s="222" t="s">
        <v>212</v>
      </c>
      <c r="Q374" s="222" t="s">
        <v>212</v>
      </c>
      <c r="R374" s="222" t="s">
        <v>212</v>
      </c>
      <c r="S374" s="222" t="s">
        <v>212</v>
      </c>
      <c r="T374" s="531" t="s">
        <v>212</v>
      </c>
      <c r="U374" s="531"/>
      <c r="V374" s="222" t="s">
        <v>212</v>
      </c>
      <c r="W374" s="222" t="s">
        <v>212</v>
      </c>
      <c r="X374" s="531" t="s">
        <v>212</v>
      </c>
      <c r="Y374" s="531"/>
      <c r="Z374" s="222" t="s">
        <v>212</v>
      </c>
      <c r="AA374" s="222" t="s">
        <v>212</v>
      </c>
      <c r="AB374" s="222" t="s">
        <v>212</v>
      </c>
      <c r="AC374" s="215"/>
    </row>
    <row r="375" spans="1:29" ht="13.5" customHeight="1">
      <c r="A375" s="215"/>
      <c r="B375" s="535">
        <v>38897</v>
      </c>
      <c r="C375" s="535"/>
      <c r="D375" s="219" t="s">
        <v>212</v>
      </c>
      <c r="E375" s="229">
        <v>254.5</v>
      </c>
      <c r="F375" s="536">
        <v>24</v>
      </c>
      <c r="G375" s="536"/>
      <c r="H375" s="229">
        <v>65.400000000000006</v>
      </c>
      <c r="I375" s="536">
        <v>6</v>
      </c>
      <c r="J375" s="536"/>
      <c r="K375" s="229">
        <v>205.9</v>
      </c>
      <c r="L375" s="230">
        <v>18</v>
      </c>
      <c r="M375" s="229">
        <v>0</v>
      </c>
      <c r="N375" s="230">
        <v>0</v>
      </c>
      <c r="O375" s="231">
        <v>525.79999999999995</v>
      </c>
      <c r="P375" s="222" t="s">
        <v>212</v>
      </c>
      <c r="Q375" s="229">
        <v>0</v>
      </c>
      <c r="R375" s="230">
        <v>0</v>
      </c>
      <c r="S375" s="229">
        <v>0</v>
      </c>
      <c r="T375" s="536">
        <v>0</v>
      </c>
      <c r="U375" s="536"/>
      <c r="V375" s="229">
        <v>0</v>
      </c>
      <c r="W375" s="222" t="s">
        <v>212</v>
      </c>
      <c r="X375" s="530">
        <v>525.79999999999995</v>
      </c>
      <c r="Y375" s="530"/>
      <c r="Z375" s="222" t="s">
        <v>212</v>
      </c>
      <c r="AA375" s="232">
        <v>1695900</v>
      </c>
      <c r="AB375" s="233">
        <v>216854</v>
      </c>
      <c r="AC375" s="215"/>
    </row>
    <row r="376" spans="1:29" ht="2.25" customHeight="1">
      <c r="A376" s="215"/>
      <c r="B376" s="529" t="s">
        <v>212</v>
      </c>
      <c r="C376" s="529"/>
      <c r="D376" s="219" t="s">
        <v>212</v>
      </c>
      <c r="E376" s="222" t="s">
        <v>212</v>
      </c>
      <c r="F376" s="531" t="s">
        <v>212</v>
      </c>
      <c r="G376" s="531"/>
      <c r="H376" s="222" t="s">
        <v>212</v>
      </c>
      <c r="I376" s="531" t="s">
        <v>212</v>
      </c>
      <c r="J376" s="531"/>
      <c r="K376" s="222" t="s">
        <v>212</v>
      </c>
      <c r="L376" s="222" t="s">
        <v>212</v>
      </c>
      <c r="M376" s="222" t="s">
        <v>212</v>
      </c>
      <c r="N376" s="222" t="s">
        <v>212</v>
      </c>
      <c r="O376" s="222" t="s">
        <v>212</v>
      </c>
      <c r="P376" s="222" t="s">
        <v>212</v>
      </c>
      <c r="Q376" s="222" t="s">
        <v>212</v>
      </c>
      <c r="R376" s="222" t="s">
        <v>212</v>
      </c>
      <c r="S376" s="222" t="s">
        <v>212</v>
      </c>
      <c r="T376" s="531" t="s">
        <v>212</v>
      </c>
      <c r="U376" s="531"/>
      <c r="V376" s="222" t="s">
        <v>212</v>
      </c>
      <c r="W376" s="222" t="s">
        <v>212</v>
      </c>
      <c r="X376" s="531" t="s">
        <v>212</v>
      </c>
      <c r="Y376" s="531"/>
      <c r="Z376" s="222" t="s">
        <v>212</v>
      </c>
      <c r="AA376" s="222" t="s">
        <v>212</v>
      </c>
      <c r="AB376" s="222" t="s">
        <v>212</v>
      </c>
      <c r="AC376" s="215"/>
    </row>
    <row r="377" spans="1:29" ht="13.5" customHeight="1">
      <c r="A377" s="215"/>
      <c r="B377" s="532">
        <v>38898</v>
      </c>
      <c r="C377" s="532"/>
      <c r="D377" s="219" t="s">
        <v>212</v>
      </c>
      <c r="E377" s="224">
        <v>224.9</v>
      </c>
      <c r="F377" s="533">
        <v>24</v>
      </c>
      <c r="G377" s="533"/>
      <c r="H377" s="224">
        <v>0</v>
      </c>
      <c r="I377" s="533">
        <v>2</v>
      </c>
      <c r="J377" s="533"/>
      <c r="K377" s="224">
        <v>269.10000000000002</v>
      </c>
      <c r="L377" s="225">
        <v>24</v>
      </c>
      <c r="M377" s="224">
        <v>0</v>
      </c>
      <c r="N377" s="225">
        <v>0</v>
      </c>
      <c r="O377" s="226">
        <v>494</v>
      </c>
      <c r="P377" s="222" t="s">
        <v>212</v>
      </c>
      <c r="Q377" s="224">
        <v>0</v>
      </c>
      <c r="R377" s="225">
        <v>0</v>
      </c>
      <c r="S377" s="224">
        <v>0</v>
      </c>
      <c r="T377" s="533">
        <v>0</v>
      </c>
      <c r="U377" s="533"/>
      <c r="V377" s="224">
        <v>0</v>
      </c>
      <c r="W377" s="222" t="s">
        <v>212</v>
      </c>
      <c r="X377" s="534">
        <v>494</v>
      </c>
      <c r="Y377" s="534"/>
      <c r="Z377" s="222" t="s">
        <v>212</v>
      </c>
      <c r="AA377" s="227">
        <v>0</v>
      </c>
      <c r="AB377" s="228">
        <v>274694</v>
      </c>
      <c r="AC377" s="215"/>
    </row>
    <row r="378" spans="1:29" ht="2.25" customHeight="1">
      <c r="A378" s="215"/>
      <c r="B378" s="529" t="s">
        <v>212</v>
      </c>
      <c r="C378" s="529"/>
      <c r="D378" s="219" t="s">
        <v>212</v>
      </c>
      <c r="E378" s="222" t="s">
        <v>212</v>
      </c>
      <c r="F378" s="531" t="s">
        <v>212</v>
      </c>
      <c r="G378" s="531"/>
      <c r="H378" s="222" t="s">
        <v>212</v>
      </c>
      <c r="I378" s="531" t="s">
        <v>212</v>
      </c>
      <c r="J378" s="531"/>
      <c r="K378" s="222" t="s">
        <v>212</v>
      </c>
      <c r="L378" s="222" t="s">
        <v>212</v>
      </c>
      <c r="M378" s="222" t="s">
        <v>212</v>
      </c>
      <c r="N378" s="222" t="s">
        <v>212</v>
      </c>
      <c r="O378" s="222" t="s">
        <v>212</v>
      </c>
      <c r="P378" s="222" t="s">
        <v>212</v>
      </c>
      <c r="Q378" s="222" t="s">
        <v>212</v>
      </c>
      <c r="R378" s="222" t="s">
        <v>212</v>
      </c>
      <c r="S378" s="222" t="s">
        <v>212</v>
      </c>
      <c r="T378" s="531" t="s">
        <v>212</v>
      </c>
      <c r="U378" s="531"/>
      <c r="V378" s="222" t="s">
        <v>212</v>
      </c>
      <c r="W378" s="222" t="s">
        <v>212</v>
      </c>
      <c r="X378" s="531" t="s">
        <v>212</v>
      </c>
      <c r="Y378" s="531"/>
      <c r="Z378" s="222" t="s">
        <v>212</v>
      </c>
      <c r="AA378" s="222" t="s">
        <v>212</v>
      </c>
      <c r="AB378" s="222" t="s">
        <v>212</v>
      </c>
      <c r="AC378" s="215"/>
    </row>
    <row r="379" spans="1:29" ht="13.5" customHeight="1">
      <c r="A379" s="215"/>
      <c r="B379" s="535">
        <v>38899</v>
      </c>
      <c r="C379" s="535"/>
      <c r="D379" s="219" t="s">
        <v>212</v>
      </c>
      <c r="E379" s="229">
        <v>162.4</v>
      </c>
      <c r="F379" s="536">
        <v>21</v>
      </c>
      <c r="G379" s="536"/>
      <c r="H379" s="229">
        <v>110.3</v>
      </c>
      <c r="I379" s="536">
        <v>14</v>
      </c>
      <c r="J379" s="536"/>
      <c r="K379" s="229">
        <v>206.3</v>
      </c>
      <c r="L379" s="230">
        <v>22</v>
      </c>
      <c r="M379" s="229">
        <v>0</v>
      </c>
      <c r="N379" s="230">
        <v>0</v>
      </c>
      <c r="O379" s="231">
        <v>479</v>
      </c>
      <c r="P379" s="222" t="s">
        <v>212</v>
      </c>
      <c r="Q379" s="229">
        <v>0</v>
      </c>
      <c r="R379" s="230">
        <v>0</v>
      </c>
      <c r="S379" s="229">
        <v>0</v>
      </c>
      <c r="T379" s="536">
        <v>0</v>
      </c>
      <c r="U379" s="536"/>
      <c r="V379" s="229">
        <v>0</v>
      </c>
      <c r="W379" s="222" t="s">
        <v>212</v>
      </c>
      <c r="X379" s="530">
        <v>479</v>
      </c>
      <c r="Y379" s="530"/>
      <c r="Z379" s="222" t="s">
        <v>212</v>
      </c>
      <c r="AA379" s="232">
        <v>3644609</v>
      </c>
      <c r="AB379" s="233">
        <v>156532</v>
      </c>
      <c r="AC379" s="215"/>
    </row>
    <row r="380" spans="1:29" ht="2.25" customHeight="1">
      <c r="A380" s="215"/>
      <c r="B380" s="529" t="s">
        <v>212</v>
      </c>
      <c r="C380" s="529"/>
      <c r="D380" s="219" t="s">
        <v>212</v>
      </c>
      <c r="E380" s="222" t="s">
        <v>212</v>
      </c>
      <c r="F380" s="531" t="s">
        <v>212</v>
      </c>
      <c r="G380" s="531"/>
      <c r="H380" s="222" t="s">
        <v>212</v>
      </c>
      <c r="I380" s="531" t="s">
        <v>212</v>
      </c>
      <c r="J380" s="531"/>
      <c r="K380" s="222" t="s">
        <v>212</v>
      </c>
      <c r="L380" s="222" t="s">
        <v>212</v>
      </c>
      <c r="M380" s="222" t="s">
        <v>212</v>
      </c>
      <c r="N380" s="222" t="s">
        <v>212</v>
      </c>
      <c r="O380" s="222" t="s">
        <v>212</v>
      </c>
      <c r="P380" s="222" t="s">
        <v>212</v>
      </c>
      <c r="Q380" s="222" t="s">
        <v>212</v>
      </c>
      <c r="R380" s="222" t="s">
        <v>212</v>
      </c>
      <c r="S380" s="222" t="s">
        <v>212</v>
      </c>
      <c r="T380" s="531" t="s">
        <v>212</v>
      </c>
      <c r="U380" s="531"/>
      <c r="V380" s="222" t="s">
        <v>212</v>
      </c>
      <c r="W380" s="222" t="s">
        <v>212</v>
      </c>
      <c r="X380" s="531" t="s">
        <v>212</v>
      </c>
      <c r="Y380" s="531"/>
      <c r="Z380" s="222" t="s">
        <v>212</v>
      </c>
      <c r="AA380" s="222" t="s">
        <v>212</v>
      </c>
      <c r="AB380" s="222" t="s">
        <v>212</v>
      </c>
      <c r="AC380" s="215"/>
    </row>
    <row r="381" spans="1:29" ht="13.5" customHeight="1">
      <c r="A381" s="215"/>
      <c r="B381" s="532">
        <v>38900</v>
      </c>
      <c r="C381" s="532"/>
      <c r="D381" s="219" t="s">
        <v>212</v>
      </c>
      <c r="E381" s="224">
        <v>0</v>
      </c>
      <c r="F381" s="533">
        <v>0</v>
      </c>
      <c r="G381" s="533"/>
      <c r="H381" s="224">
        <v>285.3</v>
      </c>
      <c r="I381" s="533">
        <v>24</v>
      </c>
      <c r="J381" s="533"/>
      <c r="K381" s="224">
        <v>242.2</v>
      </c>
      <c r="L381" s="225">
        <v>24</v>
      </c>
      <c r="M381" s="224">
        <v>0</v>
      </c>
      <c r="N381" s="225">
        <v>0</v>
      </c>
      <c r="O381" s="226">
        <v>527.5</v>
      </c>
      <c r="P381" s="222" t="s">
        <v>212</v>
      </c>
      <c r="Q381" s="224">
        <v>0</v>
      </c>
      <c r="R381" s="225">
        <v>0</v>
      </c>
      <c r="S381" s="224">
        <v>0</v>
      </c>
      <c r="T381" s="533">
        <v>0</v>
      </c>
      <c r="U381" s="533"/>
      <c r="V381" s="224">
        <v>0</v>
      </c>
      <c r="W381" s="222" t="s">
        <v>212</v>
      </c>
      <c r="X381" s="534">
        <v>527.5</v>
      </c>
      <c r="Y381" s="534"/>
      <c r="Z381" s="222" t="s">
        <v>212</v>
      </c>
      <c r="AA381" s="227">
        <v>7475600</v>
      </c>
      <c r="AB381" s="228">
        <v>0</v>
      </c>
      <c r="AC381" s="215"/>
    </row>
    <row r="382" spans="1:29" ht="2.25" customHeight="1">
      <c r="A382" s="215"/>
      <c r="B382" s="529" t="s">
        <v>212</v>
      </c>
      <c r="C382" s="529"/>
      <c r="D382" s="219" t="s">
        <v>212</v>
      </c>
      <c r="E382" s="222" t="s">
        <v>212</v>
      </c>
      <c r="F382" s="531" t="s">
        <v>212</v>
      </c>
      <c r="G382" s="531"/>
      <c r="H382" s="222" t="s">
        <v>212</v>
      </c>
      <c r="I382" s="531" t="s">
        <v>212</v>
      </c>
      <c r="J382" s="531"/>
      <c r="K382" s="222" t="s">
        <v>212</v>
      </c>
      <c r="L382" s="222" t="s">
        <v>212</v>
      </c>
      <c r="M382" s="222" t="s">
        <v>212</v>
      </c>
      <c r="N382" s="222" t="s">
        <v>212</v>
      </c>
      <c r="O382" s="222" t="s">
        <v>212</v>
      </c>
      <c r="P382" s="222" t="s">
        <v>212</v>
      </c>
      <c r="Q382" s="222" t="s">
        <v>212</v>
      </c>
      <c r="R382" s="222" t="s">
        <v>212</v>
      </c>
      <c r="S382" s="222" t="s">
        <v>212</v>
      </c>
      <c r="T382" s="531" t="s">
        <v>212</v>
      </c>
      <c r="U382" s="531"/>
      <c r="V382" s="222" t="s">
        <v>212</v>
      </c>
      <c r="W382" s="222" t="s">
        <v>212</v>
      </c>
      <c r="X382" s="531" t="s">
        <v>212</v>
      </c>
      <c r="Y382" s="531"/>
      <c r="Z382" s="222" t="s">
        <v>212</v>
      </c>
      <c r="AA382" s="222" t="s">
        <v>212</v>
      </c>
      <c r="AB382" s="222" t="s">
        <v>212</v>
      </c>
      <c r="AC382" s="215"/>
    </row>
    <row r="383" spans="1:29" ht="13.5" customHeight="1">
      <c r="A383" s="215"/>
      <c r="B383" s="535">
        <v>38901</v>
      </c>
      <c r="C383" s="535"/>
      <c r="D383" s="219" t="s">
        <v>212</v>
      </c>
      <c r="E383" s="229">
        <v>0</v>
      </c>
      <c r="F383" s="536">
        <v>0</v>
      </c>
      <c r="G383" s="536"/>
      <c r="H383" s="229">
        <v>305.7</v>
      </c>
      <c r="I383" s="536">
        <v>24</v>
      </c>
      <c r="J383" s="536"/>
      <c r="K383" s="229">
        <v>253.6</v>
      </c>
      <c r="L383" s="230">
        <v>24</v>
      </c>
      <c r="M383" s="229">
        <v>0</v>
      </c>
      <c r="N383" s="230">
        <v>0</v>
      </c>
      <c r="O383" s="231">
        <v>559.29999999999995</v>
      </c>
      <c r="P383" s="222" t="s">
        <v>212</v>
      </c>
      <c r="Q383" s="229">
        <v>0</v>
      </c>
      <c r="R383" s="230">
        <v>0</v>
      </c>
      <c r="S383" s="229">
        <v>0</v>
      </c>
      <c r="T383" s="536">
        <v>0</v>
      </c>
      <c r="U383" s="536"/>
      <c r="V383" s="229">
        <v>0</v>
      </c>
      <c r="W383" s="222" t="s">
        <v>212</v>
      </c>
      <c r="X383" s="530">
        <v>559.29999999999995</v>
      </c>
      <c r="Y383" s="530"/>
      <c r="Z383" s="222" t="s">
        <v>212</v>
      </c>
      <c r="AA383" s="232">
        <v>7763400</v>
      </c>
      <c r="AB383" s="233">
        <v>0</v>
      </c>
      <c r="AC383" s="215"/>
    </row>
    <row r="384" spans="1:29" ht="2.25" customHeight="1">
      <c r="A384" s="215"/>
      <c r="B384" s="529" t="s">
        <v>212</v>
      </c>
      <c r="C384" s="529"/>
      <c r="D384" s="219" t="s">
        <v>212</v>
      </c>
      <c r="E384" s="222" t="s">
        <v>212</v>
      </c>
      <c r="F384" s="531" t="s">
        <v>212</v>
      </c>
      <c r="G384" s="531"/>
      <c r="H384" s="222" t="s">
        <v>212</v>
      </c>
      <c r="I384" s="531" t="s">
        <v>212</v>
      </c>
      <c r="J384" s="531"/>
      <c r="K384" s="222" t="s">
        <v>212</v>
      </c>
      <c r="L384" s="222" t="s">
        <v>212</v>
      </c>
      <c r="M384" s="222" t="s">
        <v>212</v>
      </c>
      <c r="N384" s="222" t="s">
        <v>212</v>
      </c>
      <c r="O384" s="222" t="s">
        <v>212</v>
      </c>
      <c r="P384" s="222" t="s">
        <v>212</v>
      </c>
      <c r="Q384" s="222" t="s">
        <v>212</v>
      </c>
      <c r="R384" s="222" t="s">
        <v>212</v>
      </c>
      <c r="S384" s="222" t="s">
        <v>212</v>
      </c>
      <c r="T384" s="531" t="s">
        <v>212</v>
      </c>
      <c r="U384" s="531"/>
      <c r="V384" s="222" t="s">
        <v>212</v>
      </c>
      <c r="W384" s="222" t="s">
        <v>212</v>
      </c>
      <c r="X384" s="531" t="s">
        <v>212</v>
      </c>
      <c r="Y384" s="531"/>
      <c r="Z384" s="222" t="s">
        <v>212</v>
      </c>
      <c r="AA384" s="222" t="s">
        <v>212</v>
      </c>
      <c r="AB384" s="222" t="s">
        <v>212</v>
      </c>
      <c r="AC384" s="215"/>
    </row>
    <row r="385" spans="1:29" ht="13.5" customHeight="1">
      <c r="A385" s="215"/>
      <c r="B385" s="532">
        <v>38902</v>
      </c>
      <c r="C385" s="532"/>
      <c r="D385" s="219" t="s">
        <v>212</v>
      </c>
      <c r="E385" s="224">
        <v>0</v>
      </c>
      <c r="F385" s="533">
        <v>0</v>
      </c>
      <c r="G385" s="533"/>
      <c r="H385" s="224">
        <v>324.8</v>
      </c>
      <c r="I385" s="533">
        <v>24</v>
      </c>
      <c r="J385" s="533"/>
      <c r="K385" s="224">
        <v>260</v>
      </c>
      <c r="L385" s="225">
        <v>24</v>
      </c>
      <c r="M385" s="224">
        <v>0</v>
      </c>
      <c r="N385" s="225">
        <v>0</v>
      </c>
      <c r="O385" s="226">
        <v>584.79999999999995</v>
      </c>
      <c r="P385" s="222" t="s">
        <v>212</v>
      </c>
      <c r="Q385" s="224">
        <v>0</v>
      </c>
      <c r="R385" s="225">
        <v>0</v>
      </c>
      <c r="S385" s="224">
        <v>0</v>
      </c>
      <c r="T385" s="533">
        <v>0</v>
      </c>
      <c r="U385" s="533"/>
      <c r="V385" s="224">
        <v>0</v>
      </c>
      <c r="W385" s="222" t="s">
        <v>212</v>
      </c>
      <c r="X385" s="534">
        <v>584.79999999999995</v>
      </c>
      <c r="Y385" s="534"/>
      <c r="Z385" s="222" t="s">
        <v>212</v>
      </c>
      <c r="AA385" s="227">
        <v>8000400</v>
      </c>
      <c r="AB385" s="228">
        <v>0</v>
      </c>
      <c r="AC385" s="215"/>
    </row>
    <row r="386" spans="1:29" ht="2.25" customHeight="1">
      <c r="A386" s="215"/>
      <c r="B386" s="529" t="s">
        <v>212</v>
      </c>
      <c r="C386" s="529"/>
      <c r="D386" s="219" t="s">
        <v>212</v>
      </c>
      <c r="E386" s="222" t="s">
        <v>212</v>
      </c>
      <c r="F386" s="531" t="s">
        <v>212</v>
      </c>
      <c r="G386" s="531"/>
      <c r="H386" s="222" t="s">
        <v>212</v>
      </c>
      <c r="I386" s="531" t="s">
        <v>212</v>
      </c>
      <c r="J386" s="531"/>
      <c r="K386" s="222" t="s">
        <v>212</v>
      </c>
      <c r="L386" s="222" t="s">
        <v>212</v>
      </c>
      <c r="M386" s="222" t="s">
        <v>212</v>
      </c>
      <c r="N386" s="222" t="s">
        <v>212</v>
      </c>
      <c r="O386" s="222" t="s">
        <v>212</v>
      </c>
      <c r="P386" s="222" t="s">
        <v>212</v>
      </c>
      <c r="Q386" s="222" t="s">
        <v>212</v>
      </c>
      <c r="R386" s="222" t="s">
        <v>212</v>
      </c>
      <c r="S386" s="222" t="s">
        <v>212</v>
      </c>
      <c r="T386" s="531" t="s">
        <v>212</v>
      </c>
      <c r="U386" s="531"/>
      <c r="V386" s="222" t="s">
        <v>212</v>
      </c>
      <c r="W386" s="222" t="s">
        <v>212</v>
      </c>
      <c r="X386" s="531" t="s">
        <v>212</v>
      </c>
      <c r="Y386" s="531"/>
      <c r="Z386" s="222" t="s">
        <v>212</v>
      </c>
      <c r="AA386" s="222" t="s">
        <v>212</v>
      </c>
      <c r="AB386" s="222" t="s">
        <v>212</v>
      </c>
      <c r="AC386" s="215"/>
    </row>
    <row r="387" spans="1:29" ht="13.5" customHeight="1">
      <c r="A387" s="215"/>
      <c r="B387" s="535">
        <v>38903</v>
      </c>
      <c r="C387" s="535"/>
      <c r="D387" s="219" t="s">
        <v>212</v>
      </c>
      <c r="E387" s="229">
        <v>0</v>
      </c>
      <c r="F387" s="536">
        <v>0</v>
      </c>
      <c r="G387" s="536"/>
      <c r="H387" s="229">
        <v>304.5</v>
      </c>
      <c r="I387" s="536">
        <v>24</v>
      </c>
      <c r="J387" s="536"/>
      <c r="K387" s="229">
        <v>267</v>
      </c>
      <c r="L387" s="230">
        <v>24</v>
      </c>
      <c r="M387" s="229">
        <v>0</v>
      </c>
      <c r="N387" s="230">
        <v>0</v>
      </c>
      <c r="O387" s="231">
        <v>571.5</v>
      </c>
      <c r="P387" s="222" t="s">
        <v>212</v>
      </c>
      <c r="Q387" s="229">
        <v>0</v>
      </c>
      <c r="R387" s="230">
        <v>0</v>
      </c>
      <c r="S387" s="229">
        <v>0</v>
      </c>
      <c r="T387" s="536">
        <v>0</v>
      </c>
      <c r="U387" s="536"/>
      <c r="V387" s="229">
        <v>0</v>
      </c>
      <c r="W387" s="222" t="s">
        <v>212</v>
      </c>
      <c r="X387" s="530">
        <v>571.5</v>
      </c>
      <c r="Y387" s="530"/>
      <c r="Z387" s="222" t="s">
        <v>212</v>
      </c>
      <c r="AA387" s="232">
        <v>7868800</v>
      </c>
      <c r="AB387" s="233">
        <v>0</v>
      </c>
      <c r="AC387" s="215"/>
    </row>
    <row r="388" spans="1:29" ht="2.25" customHeight="1">
      <c r="A388" s="215"/>
      <c r="B388" s="529" t="s">
        <v>212</v>
      </c>
      <c r="C388" s="529"/>
      <c r="D388" s="219" t="s">
        <v>212</v>
      </c>
      <c r="E388" s="222" t="s">
        <v>212</v>
      </c>
      <c r="F388" s="531" t="s">
        <v>212</v>
      </c>
      <c r="G388" s="531"/>
      <c r="H388" s="222" t="s">
        <v>212</v>
      </c>
      <c r="I388" s="531" t="s">
        <v>212</v>
      </c>
      <c r="J388" s="531"/>
      <c r="K388" s="222" t="s">
        <v>212</v>
      </c>
      <c r="L388" s="222" t="s">
        <v>212</v>
      </c>
      <c r="M388" s="222" t="s">
        <v>212</v>
      </c>
      <c r="N388" s="222" t="s">
        <v>212</v>
      </c>
      <c r="O388" s="222" t="s">
        <v>212</v>
      </c>
      <c r="P388" s="222" t="s">
        <v>212</v>
      </c>
      <c r="Q388" s="222" t="s">
        <v>212</v>
      </c>
      <c r="R388" s="222" t="s">
        <v>212</v>
      </c>
      <c r="S388" s="222" t="s">
        <v>212</v>
      </c>
      <c r="T388" s="531" t="s">
        <v>212</v>
      </c>
      <c r="U388" s="531"/>
      <c r="V388" s="222" t="s">
        <v>212</v>
      </c>
      <c r="W388" s="222" t="s">
        <v>212</v>
      </c>
      <c r="X388" s="531" t="s">
        <v>212</v>
      </c>
      <c r="Y388" s="531"/>
      <c r="Z388" s="222" t="s">
        <v>212</v>
      </c>
      <c r="AA388" s="222" t="s">
        <v>212</v>
      </c>
      <c r="AB388" s="222" t="s">
        <v>212</v>
      </c>
      <c r="AC388" s="215"/>
    </row>
    <row r="389" spans="1:29" ht="13.5" customHeight="1">
      <c r="A389" s="215"/>
      <c r="B389" s="532">
        <v>38904</v>
      </c>
      <c r="C389" s="532"/>
      <c r="D389" s="219" t="s">
        <v>212</v>
      </c>
      <c r="E389" s="224">
        <v>16.899999999999999</v>
      </c>
      <c r="F389" s="533">
        <v>3</v>
      </c>
      <c r="G389" s="533"/>
      <c r="H389" s="224">
        <v>232.4</v>
      </c>
      <c r="I389" s="533">
        <v>24</v>
      </c>
      <c r="J389" s="533"/>
      <c r="K389" s="224">
        <v>244.5</v>
      </c>
      <c r="L389" s="225">
        <v>24</v>
      </c>
      <c r="M389" s="224">
        <v>0</v>
      </c>
      <c r="N389" s="225">
        <v>0</v>
      </c>
      <c r="O389" s="226">
        <v>493.8</v>
      </c>
      <c r="P389" s="222" t="s">
        <v>212</v>
      </c>
      <c r="Q389" s="224">
        <v>0</v>
      </c>
      <c r="R389" s="225">
        <v>0</v>
      </c>
      <c r="S389" s="224">
        <v>0</v>
      </c>
      <c r="T389" s="533">
        <v>0</v>
      </c>
      <c r="U389" s="533"/>
      <c r="V389" s="224">
        <v>0</v>
      </c>
      <c r="W389" s="222" t="s">
        <v>212</v>
      </c>
      <c r="X389" s="534">
        <v>493.8</v>
      </c>
      <c r="Y389" s="534"/>
      <c r="Z389" s="222" t="s">
        <v>212</v>
      </c>
      <c r="AA389" s="227">
        <v>7352000</v>
      </c>
      <c r="AB389" s="228">
        <v>522</v>
      </c>
      <c r="AC389" s="215"/>
    </row>
    <row r="390" spans="1:29" ht="2.25" customHeight="1">
      <c r="A390" s="215"/>
      <c r="B390" s="529" t="s">
        <v>212</v>
      </c>
      <c r="C390" s="529"/>
      <c r="D390" s="219" t="s">
        <v>212</v>
      </c>
      <c r="E390" s="222" t="s">
        <v>212</v>
      </c>
      <c r="F390" s="531" t="s">
        <v>212</v>
      </c>
      <c r="G390" s="531"/>
      <c r="H390" s="222" t="s">
        <v>212</v>
      </c>
      <c r="I390" s="531" t="s">
        <v>212</v>
      </c>
      <c r="J390" s="531"/>
      <c r="K390" s="222" t="s">
        <v>212</v>
      </c>
      <c r="L390" s="222" t="s">
        <v>212</v>
      </c>
      <c r="M390" s="222" t="s">
        <v>212</v>
      </c>
      <c r="N390" s="222" t="s">
        <v>212</v>
      </c>
      <c r="O390" s="222" t="s">
        <v>212</v>
      </c>
      <c r="P390" s="222" t="s">
        <v>212</v>
      </c>
      <c r="Q390" s="222" t="s">
        <v>212</v>
      </c>
      <c r="R390" s="222" t="s">
        <v>212</v>
      </c>
      <c r="S390" s="222" t="s">
        <v>212</v>
      </c>
      <c r="T390" s="531" t="s">
        <v>212</v>
      </c>
      <c r="U390" s="531"/>
      <c r="V390" s="222" t="s">
        <v>212</v>
      </c>
      <c r="W390" s="222" t="s">
        <v>212</v>
      </c>
      <c r="X390" s="531" t="s">
        <v>212</v>
      </c>
      <c r="Y390" s="531"/>
      <c r="Z390" s="222" t="s">
        <v>212</v>
      </c>
      <c r="AA390" s="222" t="s">
        <v>212</v>
      </c>
      <c r="AB390" s="222" t="s">
        <v>212</v>
      </c>
      <c r="AC390" s="215"/>
    </row>
    <row r="391" spans="1:29" ht="13.5" customHeight="1">
      <c r="A391" s="215"/>
      <c r="B391" s="535">
        <v>38905</v>
      </c>
      <c r="C391" s="535"/>
      <c r="D391" s="219" t="s">
        <v>212</v>
      </c>
      <c r="E391" s="229">
        <v>0</v>
      </c>
      <c r="F391" s="536">
        <v>0</v>
      </c>
      <c r="G391" s="536"/>
      <c r="H391" s="229">
        <v>271.89999999999998</v>
      </c>
      <c r="I391" s="536">
        <v>24</v>
      </c>
      <c r="J391" s="536"/>
      <c r="K391" s="229">
        <v>234.3</v>
      </c>
      <c r="L391" s="230">
        <v>24</v>
      </c>
      <c r="M391" s="229">
        <v>0</v>
      </c>
      <c r="N391" s="230">
        <v>0</v>
      </c>
      <c r="O391" s="231">
        <v>506.2</v>
      </c>
      <c r="P391" s="222" t="s">
        <v>212</v>
      </c>
      <c r="Q391" s="229">
        <v>0</v>
      </c>
      <c r="R391" s="230">
        <v>0</v>
      </c>
      <c r="S391" s="229">
        <v>0</v>
      </c>
      <c r="T391" s="536">
        <v>0</v>
      </c>
      <c r="U391" s="536"/>
      <c r="V391" s="229">
        <v>0</v>
      </c>
      <c r="W391" s="222" t="s">
        <v>212</v>
      </c>
      <c r="X391" s="530">
        <v>506.2</v>
      </c>
      <c r="Y391" s="530"/>
      <c r="Z391" s="222" t="s">
        <v>212</v>
      </c>
      <c r="AA391" s="232">
        <v>7412100</v>
      </c>
      <c r="AB391" s="233">
        <v>0</v>
      </c>
      <c r="AC391" s="215"/>
    </row>
    <row r="392" spans="1:29" ht="2.25" customHeight="1">
      <c r="A392" s="215"/>
      <c r="B392" s="529" t="s">
        <v>212</v>
      </c>
      <c r="C392" s="529"/>
      <c r="D392" s="219" t="s">
        <v>212</v>
      </c>
      <c r="E392" s="222" t="s">
        <v>212</v>
      </c>
      <c r="F392" s="531" t="s">
        <v>212</v>
      </c>
      <c r="G392" s="531"/>
      <c r="H392" s="222" t="s">
        <v>212</v>
      </c>
      <c r="I392" s="531" t="s">
        <v>212</v>
      </c>
      <c r="J392" s="531"/>
      <c r="K392" s="222" t="s">
        <v>212</v>
      </c>
      <c r="L392" s="222" t="s">
        <v>212</v>
      </c>
      <c r="M392" s="222" t="s">
        <v>212</v>
      </c>
      <c r="N392" s="222" t="s">
        <v>212</v>
      </c>
      <c r="O392" s="222" t="s">
        <v>212</v>
      </c>
      <c r="P392" s="222" t="s">
        <v>212</v>
      </c>
      <c r="Q392" s="222" t="s">
        <v>212</v>
      </c>
      <c r="R392" s="222" t="s">
        <v>212</v>
      </c>
      <c r="S392" s="222" t="s">
        <v>212</v>
      </c>
      <c r="T392" s="531" t="s">
        <v>212</v>
      </c>
      <c r="U392" s="531"/>
      <c r="V392" s="222" t="s">
        <v>212</v>
      </c>
      <c r="W392" s="222" t="s">
        <v>212</v>
      </c>
      <c r="X392" s="531" t="s">
        <v>212</v>
      </c>
      <c r="Y392" s="531"/>
      <c r="Z392" s="222" t="s">
        <v>212</v>
      </c>
      <c r="AA392" s="222" t="s">
        <v>212</v>
      </c>
      <c r="AB392" s="222" t="s">
        <v>212</v>
      </c>
      <c r="AC392" s="215"/>
    </row>
    <row r="393" spans="1:29" ht="13.5" customHeight="1">
      <c r="A393" s="215"/>
      <c r="B393" s="532">
        <v>38906</v>
      </c>
      <c r="C393" s="532"/>
      <c r="D393" s="219" t="s">
        <v>212</v>
      </c>
      <c r="E393" s="224">
        <v>0</v>
      </c>
      <c r="F393" s="533">
        <v>0</v>
      </c>
      <c r="G393" s="533"/>
      <c r="H393" s="224">
        <v>331</v>
      </c>
      <c r="I393" s="533">
        <v>24</v>
      </c>
      <c r="J393" s="533"/>
      <c r="K393" s="224">
        <v>280.3</v>
      </c>
      <c r="L393" s="225">
        <v>24</v>
      </c>
      <c r="M393" s="224">
        <v>0</v>
      </c>
      <c r="N393" s="225">
        <v>0</v>
      </c>
      <c r="O393" s="226">
        <v>611.29999999999995</v>
      </c>
      <c r="P393" s="222" t="s">
        <v>212</v>
      </c>
      <c r="Q393" s="224">
        <v>0</v>
      </c>
      <c r="R393" s="225">
        <v>0</v>
      </c>
      <c r="S393" s="224">
        <v>0</v>
      </c>
      <c r="T393" s="533">
        <v>0</v>
      </c>
      <c r="U393" s="533"/>
      <c r="V393" s="224">
        <v>0</v>
      </c>
      <c r="W393" s="222" t="s">
        <v>212</v>
      </c>
      <c r="X393" s="534">
        <v>611.29999999999995</v>
      </c>
      <c r="Y393" s="534"/>
      <c r="Z393" s="222" t="s">
        <v>212</v>
      </c>
      <c r="AA393" s="227">
        <v>8231600</v>
      </c>
      <c r="AB393" s="228">
        <v>0</v>
      </c>
      <c r="AC393" s="215"/>
    </row>
    <row r="394" spans="1:29" ht="2.25" customHeight="1">
      <c r="A394" s="215"/>
      <c r="B394" s="529" t="s">
        <v>212</v>
      </c>
      <c r="C394" s="529"/>
      <c r="D394" s="219" t="s">
        <v>212</v>
      </c>
      <c r="E394" s="222" t="s">
        <v>212</v>
      </c>
      <c r="F394" s="531" t="s">
        <v>212</v>
      </c>
      <c r="G394" s="531"/>
      <c r="H394" s="222" t="s">
        <v>212</v>
      </c>
      <c r="I394" s="531" t="s">
        <v>212</v>
      </c>
      <c r="J394" s="531"/>
      <c r="K394" s="222" t="s">
        <v>212</v>
      </c>
      <c r="L394" s="222" t="s">
        <v>212</v>
      </c>
      <c r="M394" s="222" t="s">
        <v>212</v>
      </c>
      <c r="N394" s="222" t="s">
        <v>212</v>
      </c>
      <c r="O394" s="222" t="s">
        <v>212</v>
      </c>
      <c r="P394" s="222" t="s">
        <v>212</v>
      </c>
      <c r="Q394" s="222" t="s">
        <v>212</v>
      </c>
      <c r="R394" s="222" t="s">
        <v>212</v>
      </c>
      <c r="S394" s="222" t="s">
        <v>212</v>
      </c>
      <c r="T394" s="531" t="s">
        <v>212</v>
      </c>
      <c r="U394" s="531"/>
      <c r="V394" s="222" t="s">
        <v>212</v>
      </c>
      <c r="W394" s="222" t="s">
        <v>212</v>
      </c>
      <c r="X394" s="531" t="s">
        <v>212</v>
      </c>
      <c r="Y394" s="531"/>
      <c r="Z394" s="222" t="s">
        <v>212</v>
      </c>
      <c r="AA394" s="222" t="s">
        <v>212</v>
      </c>
      <c r="AB394" s="222" t="s">
        <v>212</v>
      </c>
      <c r="AC394" s="215"/>
    </row>
    <row r="395" spans="1:29" ht="13.5" customHeight="1">
      <c r="A395" s="215"/>
      <c r="B395" s="535">
        <v>38907</v>
      </c>
      <c r="C395" s="535"/>
      <c r="D395" s="219" t="s">
        <v>212</v>
      </c>
      <c r="E395" s="229">
        <v>0</v>
      </c>
      <c r="F395" s="536">
        <v>1</v>
      </c>
      <c r="G395" s="536"/>
      <c r="H395" s="229">
        <v>376.2</v>
      </c>
      <c r="I395" s="536">
        <v>24</v>
      </c>
      <c r="J395" s="536"/>
      <c r="K395" s="229">
        <v>288.5</v>
      </c>
      <c r="L395" s="230">
        <v>24</v>
      </c>
      <c r="M395" s="229">
        <v>0</v>
      </c>
      <c r="N395" s="230">
        <v>0</v>
      </c>
      <c r="O395" s="231">
        <v>664.7</v>
      </c>
      <c r="P395" s="222" t="s">
        <v>212</v>
      </c>
      <c r="Q395" s="229">
        <v>0</v>
      </c>
      <c r="R395" s="230">
        <v>24</v>
      </c>
      <c r="S395" s="229">
        <v>0</v>
      </c>
      <c r="T395" s="536">
        <v>0</v>
      </c>
      <c r="U395" s="536"/>
      <c r="V395" s="229">
        <v>0</v>
      </c>
      <c r="W395" s="222" t="s">
        <v>212</v>
      </c>
      <c r="X395" s="530">
        <v>664.7</v>
      </c>
      <c r="Y395" s="530"/>
      <c r="Z395" s="222" t="s">
        <v>212</v>
      </c>
      <c r="AA395" s="232">
        <v>8648900</v>
      </c>
      <c r="AB395" s="233">
        <v>2419</v>
      </c>
      <c r="AC395" s="215"/>
    </row>
    <row r="396" spans="1:29" ht="2.25" customHeight="1">
      <c r="A396" s="215"/>
      <c r="B396" s="529" t="s">
        <v>212</v>
      </c>
      <c r="C396" s="529"/>
      <c r="D396" s="219" t="s">
        <v>212</v>
      </c>
      <c r="E396" s="222" t="s">
        <v>212</v>
      </c>
      <c r="F396" s="531" t="s">
        <v>212</v>
      </c>
      <c r="G396" s="531"/>
      <c r="H396" s="222" t="s">
        <v>212</v>
      </c>
      <c r="I396" s="531" t="s">
        <v>212</v>
      </c>
      <c r="J396" s="531"/>
      <c r="K396" s="222" t="s">
        <v>212</v>
      </c>
      <c r="L396" s="222" t="s">
        <v>212</v>
      </c>
      <c r="M396" s="222" t="s">
        <v>212</v>
      </c>
      <c r="N396" s="222" t="s">
        <v>212</v>
      </c>
      <c r="O396" s="222" t="s">
        <v>212</v>
      </c>
      <c r="P396" s="222" t="s">
        <v>212</v>
      </c>
      <c r="Q396" s="222" t="s">
        <v>212</v>
      </c>
      <c r="R396" s="222" t="s">
        <v>212</v>
      </c>
      <c r="S396" s="222" t="s">
        <v>212</v>
      </c>
      <c r="T396" s="531" t="s">
        <v>212</v>
      </c>
      <c r="U396" s="531"/>
      <c r="V396" s="222" t="s">
        <v>212</v>
      </c>
      <c r="W396" s="222" t="s">
        <v>212</v>
      </c>
      <c r="X396" s="531" t="s">
        <v>212</v>
      </c>
      <c r="Y396" s="531"/>
      <c r="Z396" s="222" t="s">
        <v>212</v>
      </c>
      <c r="AA396" s="222" t="s">
        <v>212</v>
      </c>
      <c r="AB396" s="222" t="s">
        <v>212</v>
      </c>
      <c r="AC396" s="215"/>
    </row>
    <row r="397" spans="1:29" ht="13.5" customHeight="1">
      <c r="A397" s="215"/>
      <c r="B397" s="532">
        <v>38908</v>
      </c>
      <c r="C397" s="532"/>
      <c r="D397" s="219" t="s">
        <v>212</v>
      </c>
      <c r="E397" s="224">
        <v>0</v>
      </c>
      <c r="F397" s="533">
        <v>0</v>
      </c>
      <c r="G397" s="533"/>
      <c r="H397" s="224">
        <v>355.5</v>
      </c>
      <c r="I397" s="533">
        <v>24</v>
      </c>
      <c r="J397" s="533"/>
      <c r="K397" s="224">
        <v>269.8</v>
      </c>
      <c r="L397" s="225">
        <v>24</v>
      </c>
      <c r="M397" s="224">
        <v>0</v>
      </c>
      <c r="N397" s="225">
        <v>0</v>
      </c>
      <c r="O397" s="226">
        <v>625.29999999999995</v>
      </c>
      <c r="P397" s="222" t="s">
        <v>212</v>
      </c>
      <c r="Q397" s="224">
        <v>0</v>
      </c>
      <c r="R397" s="225">
        <v>0</v>
      </c>
      <c r="S397" s="224">
        <v>0</v>
      </c>
      <c r="T397" s="533">
        <v>0</v>
      </c>
      <c r="U397" s="533"/>
      <c r="V397" s="224">
        <v>0</v>
      </c>
      <c r="W397" s="222" t="s">
        <v>212</v>
      </c>
      <c r="X397" s="534">
        <v>625.29999999999995</v>
      </c>
      <c r="Y397" s="534"/>
      <c r="Z397" s="222" t="s">
        <v>212</v>
      </c>
      <c r="AA397" s="227">
        <v>8346600</v>
      </c>
      <c r="AB397" s="228">
        <v>0</v>
      </c>
      <c r="AC397" s="215"/>
    </row>
    <row r="398" spans="1:29" ht="2.25" customHeight="1">
      <c r="A398" s="215"/>
      <c r="B398" s="529" t="s">
        <v>212</v>
      </c>
      <c r="C398" s="529"/>
      <c r="D398" s="219" t="s">
        <v>212</v>
      </c>
      <c r="E398" s="222" t="s">
        <v>212</v>
      </c>
      <c r="F398" s="531" t="s">
        <v>212</v>
      </c>
      <c r="G398" s="531"/>
      <c r="H398" s="222" t="s">
        <v>212</v>
      </c>
      <c r="I398" s="531" t="s">
        <v>212</v>
      </c>
      <c r="J398" s="531"/>
      <c r="K398" s="222" t="s">
        <v>212</v>
      </c>
      <c r="L398" s="222" t="s">
        <v>212</v>
      </c>
      <c r="M398" s="222" t="s">
        <v>212</v>
      </c>
      <c r="N398" s="222" t="s">
        <v>212</v>
      </c>
      <c r="O398" s="222" t="s">
        <v>212</v>
      </c>
      <c r="P398" s="222" t="s">
        <v>212</v>
      </c>
      <c r="Q398" s="222" t="s">
        <v>212</v>
      </c>
      <c r="R398" s="222" t="s">
        <v>212</v>
      </c>
      <c r="S398" s="222" t="s">
        <v>212</v>
      </c>
      <c r="T398" s="531" t="s">
        <v>212</v>
      </c>
      <c r="U398" s="531"/>
      <c r="V398" s="222" t="s">
        <v>212</v>
      </c>
      <c r="W398" s="222" t="s">
        <v>212</v>
      </c>
      <c r="X398" s="531" t="s">
        <v>212</v>
      </c>
      <c r="Y398" s="531"/>
      <c r="Z398" s="222" t="s">
        <v>212</v>
      </c>
      <c r="AA398" s="222" t="s">
        <v>212</v>
      </c>
      <c r="AB398" s="222" t="s">
        <v>212</v>
      </c>
      <c r="AC398" s="215"/>
    </row>
    <row r="399" spans="1:29" ht="13.5" customHeight="1">
      <c r="A399" s="215"/>
      <c r="B399" s="535">
        <v>38909</v>
      </c>
      <c r="C399" s="535"/>
      <c r="D399" s="219" t="s">
        <v>212</v>
      </c>
      <c r="E399" s="229">
        <v>0</v>
      </c>
      <c r="F399" s="536">
        <v>0</v>
      </c>
      <c r="G399" s="536"/>
      <c r="H399" s="229">
        <v>315.5</v>
      </c>
      <c r="I399" s="536">
        <v>24</v>
      </c>
      <c r="J399" s="536"/>
      <c r="K399" s="229">
        <v>236.6</v>
      </c>
      <c r="L399" s="230">
        <v>24</v>
      </c>
      <c r="M399" s="229">
        <v>0</v>
      </c>
      <c r="N399" s="230">
        <v>0</v>
      </c>
      <c r="O399" s="231">
        <v>552.1</v>
      </c>
      <c r="P399" s="222" t="s">
        <v>212</v>
      </c>
      <c r="Q399" s="229">
        <v>0</v>
      </c>
      <c r="R399" s="230">
        <v>0</v>
      </c>
      <c r="S399" s="229">
        <v>0</v>
      </c>
      <c r="T399" s="536">
        <v>0</v>
      </c>
      <c r="U399" s="536"/>
      <c r="V399" s="229">
        <v>0</v>
      </c>
      <c r="W399" s="222" t="s">
        <v>212</v>
      </c>
      <c r="X399" s="530">
        <v>552.1</v>
      </c>
      <c r="Y399" s="530"/>
      <c r="Z399" s="222" t="s">
        <v>212</v>
      </c>
      <c r="AA399" s="232">
        <v>7720600</v>
      </c>
      <c r="AB399" s="233">
        <v>0</v>
      </c>
      <c r="AC399" s="215"/>
    </row>
    <row r="400" spans="1:29" ht="2.25" customHeight="1">
      <c r="A400" s="215"/>
      <c r="B400" s="529" t="s">
        <v>212</v>
      </c>
      <c r="C400" s="529"/>
      <c r="D400" s="219" t="s">
        <v>212</v>
      </c>
      <c r="E400" s="222" t="s">
        <v>212</v>
      </c>
      <c r="F400" s="531" t="s">
        <v>212</v>
      </c>
      <c r="G400" s="531"/>
      <c r="H400" s="222" t="s">
        <v>212</v>
      </c>
      <c r="I400" s="531" t="s">
        <v>212</v>
      </c>
      <c r="J400" s="531"/>
      <c r="K400" s="222" t="s">
        <v>212</v>
      </c>
      <c r="L400" s="222" t="s">
        <v>212</v>
      </c>
      <c r="M400" s="222" t="s">
        <v>212</v>
      </c>
      <c r="N400" s="222" t="s">
        <v>212</v>
      </c>
      <c r="O400" s="222" t="s">
        <v>212</v>
      </c>
      <c r="P400" s="222" t="s">
        <v>212</v>
      </c>
      <c r="Q400" s="222" t="s">
        <v>212</v>
      </c>
      <c r="R400" s="222" t="s">
        <v>212</v>
      </c>
      <c r="S400" s="222" t="s">
        <v>212</v>
      </c>
      <c r="T400" s="531" t="s">
        <v>212</v>
      </c>
      <c r="U400" s="531"/>
      <c r="V400" s="222" t="s">
        <v>212</v>
      </c>
      <c r="W400" s="222" t="s">
        <v>212</v>
      </c>
      <c r="X400" s="531" t="s">
        <v>212</v>
      </c>
      <c r="Y400" s="531"/>
      <c r="Z400" s="222" t="s">
        <v>212</v>
      </c>
      <c r="AA400" s="222" t="s">
        <v>212</v>
      </c>
      <c r="AB400" s="222" t="s">
        <v>212</v>
      </c>
      <c r="AC400" s="215"/>
    </row>
    <row r="401" spans="1:29" ht="13.5" customHeight="1">
      <c r="A401" s="215"/>
      <c r="B401" s="532">
        <v>38910</v>
      </c>
      <c r="C401" s="532"/>
      <c r="D401" s="219" t="s">
        <v>212</v>
      </c>
      <c r="E401" s="224">
        <v>0</v>
      </c>
      <c r="F401" s="533">
        <v>1</v>
      </c>
      <c r="G401" s="533"/>
      <c r="H401" s="224">
        <v>340</v>
      </c>
      <c r="I401" s="533">
        <v>24</v>
      </c>
      <c r="J401" s="533"/>
      <c r="K401" s="224">
        <v>261.5</v>
      </c>
      <c r="L401" s="225">
        <v>24</v>
      </c>
      <c r="M401" s="224">
        <v>0</v>
      </c>
      <c r="N401" s="225">
        <v>0</v>
      </c>
      <c r="O401" s="226">
        <v>601.5</v>
      </c>
      <c r="P401" s="222" t="s">
        <v>212</v>
      </c>
      <c r="Q401" s="224">
        <v>0</v>
      </c>
      <c r="R401" s="225">
        <v>0</v>
      </c>
      <c r="S401" s="224">
        <v>0</v>
      </c>
      <c r="T401" s="533">
        <v>0</v>
      </c>
      <c r="U401" s="533"/>
      <c r="V401" s="224">
        <v>0</v>
      </c>
      <c r="W401" s="222" t="s">
        <v>212</v>
      </c>
      <c r="X401" s="534">
        <v>601.5</v>
      </c>
      <c r="Y401" s="534"/>
      <c r="Z401" s="222" t="s">
        <v>212</v>
      </c>
      <c r="AA401" s="227">
        <v>8155200</v>
      </c>
      <c r="AB401" s="228">
        <v>2581</v>
      </c>
      <c r="AC401" s="215"/>
    </row>
    <row r="402" spans="1:29" ht="2.25" customHeight="1">
      <c r="A402" s="215"/>
      <c r="B402" s="529" t="s">
        <v>212</v>
      </c>
      <c r="C402" s="529"/>
      <c r="D402" s="219" t="s">
        <v>212</v>
      </c>
      <c r="E402" s="222" t="s">
        <v>212</v>
      </c>
      <c r="F402" s="531" t="s">
        <v>212</v>
      </c>
      <c r="G402" s="531"/>
      <c r="H402" s="222" t="s">
        <v>212</v>
      </c>
      <c r="I402" s="531" t="s">
        <v>212</v>
      </c>
      <c r="J402" s="531"/>
      <c r="K402" s="222" t="s">
        <v>212</v>
      </c>
      <c r="L402" s="222" t="s">
        <v>212</v>
      </c>
      <c r="M402" s="222" t="s">
        <v>212</v>
      </c>
      <c r="N402" s="222" t="s">
        <v>212</v>
      </c>
      <c r="O402" s="222" t="s">
        <v>212</v>
      </c>
      <c r="P402" s="222" t="s">
        <v>212</v>
      </c>
      <c r="Q402" s="222" t="s">
        <v>212</v>
      </c>
      <c r="R402" s="222" t="s">
        <v>212</v>
      </c>
      <c r="S402" s="222" t="s">
        <v>212</v>
      </c>
      <c r="T402" s="531" t="s">
        <v>212</v>
      </c>
      <c r="U402" s="531"/>
      <c r="V402" s="222" t="s">
        <v>212</v>
      </c>
      <c r="W402" s="222" t="s">
        <v>212</v>
      </c>
      <c r="X402" s="531" t="s">
        <v>212</v>
      </c>
      <c r="Y402" s="531"/>
      <c r="Z402" s="222" t="s">
        <v>212</v>
      </c>
      <c r="AA402" s="222" t="s">
        <v>212</v>
      </c>
      <c r="AB402" s="222" t="s">
        <v>212</v>
      </c>
      <c r="AC402" s="215"/>
    </row>
    <row r="403" spans="1:29" ht="13.5" customHeight="1">
      <c r="A403" s="215"/>
      <c r="B403" s="535">
        <v>38911</v>
      </c>
      <c r="C403" s="535"/>
      <c r="D403" s="219" t="s">
        <v>212</v>
      </c>
      <c r="E403" s="229">
        <v>0</v>
      </c>
      <c r="F403" s="536">
        <v>0</v>
      </c>
      <c r="G403" s="536"/>
      <c r="H403" s="229">
        <v>341.7</v>
      </c>
      <c r="I403" s="536">
        <v>24</v>
      </c>
      <c r="J403" s="536"/>
      <c r="K403" s="229">
        <v>262.2</v>
      </c>
      <c r="L403" s="230">
        <v>24</v>
      </c>
      <c r="M403" s="229">
        <v>0</v>
      </c>
      <c r="N403" s="230">
        <v>0</v>
      </c>
      <c r="O403" s="231">
        <v>603.9</v>
      </c>
      <c r="P403" s="222" t="s">
        <v>212</v>
      </c>
      <c r="Q403" s="229">
        <v>0</v>
      </c>
      <c r="R403" s="230">
        <v>0</v>
      </c>
      <c r="S403" s="229">
        <v>0</v>
      </c>
      <c r="T403" s="536">
        <v>0</v>
      </c>
      <c r="U403" s="536"/>
      <c r="V403" s="229">
        <v>0</v>
      </c>
      <c r="W403" s="222" t="s">
        <v>212</v>
      </c>
      <c r="X403" s="530">
        <v>603.9</v>
      </c>
      <c r="Y403" s="530"/>
      <c r="Z403" s="222" t="s">
        <v>212</v>
      </c>
      <c r="AA403" s="232">
        <v>8100200</v>
      </c>
      <c r="AB403" s="233">
        <v>0</v>
      </c>
      <c r="AC403" s="215"/>
    </row>
    <row r="404" spans="1:29" ht="2.25" customHeight="1">
      <c r="A404" s="215"/>
      <c r="B404" s="529" t="s">
        <v>212</v>
      </c>
      <c r="C404" s="529"/>
      <c r="D404" s="219" t="s">
        <v>212</v>
      </c>
      <c r="E404" s="222" t="s">
        <v>212</v>
      </c>
      <c r="F404" s="531" t="s">
        <v>212</v>
      </c>
      <c r="G404" s="531"/>
      <c r="H404" s="222" t="s">
        <v>212</v>
      </c>
      <c r="I404" s="531" t="s">
        <v>212</v>
      </c>
      <c r="J404" s="531"/>
      <c r="K404" s="222" t="s">
        <v>212</v>
      </c>
      <c r="L404" s="222" t="s">
        <v>212</v>
      </c>
      <c r="M404" s="222" t="s">
        <v>212</v>
      </c>
      <c r="N404" s="222" t="s">
        <v>212</v>
      </c>
      <c r="O404" s="222" t="s">
        <v>212</v>
      </c>
      <c r="P404" s="222" t="s">
        <v>212</v>
      </c>
      <c r="Q404" s="222" t="s">
        <v>212</v>
      </c>
      <c r="R404" s="222" t="s">
        <v>212</v>
      </c>
      <c r="S404" s="222" t="s">
        <v>212</v>
      </c>
      <c r="T404" s="531" t="s">
        <v>212</v>
      </c>
      <c r="U404" s="531"/>
      <c r="V404" s="222" t="s">
        <v>212</v>
      </c>
      <c r="W404" s="222" t="s">
        <v>212</v>
      </c>
      <c r="X404" s="531" t="s">
        <v>212</v>
      </c>
      <c r="Y404" s="531"/>
      <c r="Z404" s="222" t="s">
        <v>212</v>
      </c>
      <c r="AA404" s="222" t="s">
        <v>212</v>
      </c>
      <c r="AB404" s="222" t="s">
        <v>212</v>
      </c>
      <c r="AC404" s="215"/>
    </row>
    <row r="405" spans="1:29" ht="13.5" customHeight="1">
      <c r="A405" s="215"/>
      <c r="B405" s="532">
        <v>38912</v>
      </c>
      <c r="C405" s="532"/>
      <c r="D405" s="219" t="s">
        <v>212</v>
      </c>
      <c r="E405" s="224">
        <v>182</v>
      </c>
      <c r="F405" s="533">
        <v>19</v>
      </c>
      <c r="G405" s="533"/>
      <c r="H405" s="224">
        <v>300.89999999999998</v>
      </c>
      <c r="I405" s="533">
        <v>24</v>
      </c>
      <c r="J405" s="533"/>
      <c r="K405" s="224">
        <v>250.1</v>
      </c>
      <c r="L405" s="225">
        <v>24</v>
      </c>
      <c r="M405" s="224">
        <v>0</v>
      </c>
      <c r="N405" s="225">
        <v>0</v>
      </c>
      <c r="O405" s="226">
        <v>733</v>
      </c>
      <c r="P405" s="222" t="s">
        <v>212</v>
      </c>
      <c r="Q405" s="224">
        <v>0</v>
      </c>
      <c r="R405" s="225">
        <v>0</v>
      </c>
      <c r="S405" s="224">
        <v>0</v>
      </c>
      <c r="T405" s="533">
        <v>0</v>
      </c>
      <c r="U405" s="533"/>
      <c r="V405" s="224">
        <v>0</v>
      </c>
      <c r="W405" s="222" t="s">
        <v>212</v>
      </c>
      <c r="X405" s="534">
        <v>733</v>
      </c>
      <c r="Y405" s="534"/>
      <c r="Z405" s="222" t="s">
        <v>212</v>
      </c>
      <c r="AA405" s="227">
        <v>10639300</v>
      </c>
      <c r="AB405" s="228">
        <v>0</v>
      </c>
      <c r="AC405" s="215"/>
    </row>
    <row r="406" spans="1:29" ht="2.25" customHeight="1">
      <c r="A406" s="215"/>
      <c r="B406" s="529" t="s">
        <v>212</v>
      </c>
      <c r="C406" s="529"/>
      <c r="D406" s="219" t="s">
        <v>212</v>
      </c>
      <c r="E406" s="222" t="s">
        <v>212</v>
      </c>
      <c r="F406" s="531" t="s">
        <v>212</v>
      </c>
      <c r="G406" s="531"/>
      <c r="H406" s="222" t="s">
        <v>212</v>
      </c>
      <c r="I406" s="531" t="s">
        <v>212</v>
      </c>
      <c r="J406" s="531"/>
      <c r="K406" s="222" t="s">
        <v>212</v>
      </c>
      <c r="L406" s="222" t="s">
        <v>212</v>
      </c>
      <c r="M406" s="222" t="s">
        <v>212</v>
      </c>
      <c r="N406" s="222" t="s">
        <v>212</v>
      </c>
      <c r="O406" s="222" t="s">
        <v>212</v>
      </c>
      <c r="P406" s="222" t="s">
        <v>212</v>
      </c>
      <c r="Q406" s="222" t="s">
        <v>212</v>
      </c>
      <c r="R406" s="222" t="s">
        <v>212</v>
      </c>
      <c r="S406" s="222" t="s">
        <v>212</v>
      </c>
      <c r="T406" s="531" t="s">
        <v>212</v>
      </c>
      <c r="U406" s="531"/>
      <c r="V406" s="222" t="s">
        <v>212</v>
      </c>
      <c r="W406" s="222" t="s">
        <v>212</v>
      </c>
      <c r="X406" s="531" t="s">
        <v>212</v>
      </c>
      <c r="Y406" s="531"/>
      <c r="Z406" s="222" t="s">
        <v>212</v>
      </c>
      <c r="AA406" s="222" t="s">
        <v>212</v>
      </c>
      <c r="AB406" s="222" t="s">
        <v>212</v>
      </c>
      <c r="AC406" s="215"/>
    </row>
    <row r="407" spans="1:29" ht="13.5" customHeight="1">
      <c r="A407" s="215"/>
      <c r="B407" s="535">
        <v>38913</v>
      </c>
      <c r="C407" s="535"/>
      <c r="D407" s="219" t="s">
        <v>212</v>
      </c>
      <c r="E407" s="229">
        <v>0</v>
      </c>
      <c r="F407" s="536">
        <v>0</v>
      </c>
      <c r="G407" s="536"/>
      <c r="H407" s="229">
        <v>367.6</v>
      </c>
      <c r="I407" s="536">
        <v>24</v>
      </c>
      <c r="J407" s="536"/>
      <c r="K407" s="229">
        <v>291</v>
      </c>
      <c r="L407" s="230">
        <v>24</v>
      </c>
      <c r="M407" s="229">
        <v>0</v>
      </c>
      <c r="N407" s="230">
        <v>0</v>
      </c>
      <c r="O407" s="231">
        <v>658.6</v>
      </c>
      <c r="P407" s="222" t="s">
        <v>212</v>
      </c>
      <c r="Q407" s="229">
        <v>0</v>
      </c>
      <c r="R407" s="230">
        <v>0</v>
      </c>
      <c r="S407" s="229">
        <v>0</v>
      </c>
      <c r="T407" s="536">
        <v>0</v>
      </c>
      <c r="U407" s="536"/>
      <c r="V407" s="229">
        <v>0</v>
      </c>
      <c r="W407" s="222" t="s">
        <v>212</v>
      </c>
      <c r="X407" s="530">
        <v>658.6</v>
      </c>
      <c r="Y407" s="530"/>
      <c r="Z407" s="222" t="s">
        <v>212</v>
      </c>
      <c r="AA407" s="232">
        <v>8598800</v>
      </c>
      <c r="AB407" s="233">
        <v>0</v>
      </c>
      <c r="AC407" s="215"/>
    </row>
    <row r="408" spans="1:29" ht="2.25" customHeight="1">
      <c r="A408" s="215"/>
      <c r="B408" s="529" t="s">
        <v>212</v>
      </c>
      <c r="C408" s="529"/>
      <c r="D408" s="219" t="s">
        <v>212</v>
      </c>
      <c r="E408" s="222" t="s">
        <v>212</v>
      </c>
      <c r="F408" s="531" t="s">
        <v>212</v>
      </c>
      <c r="G408" s="531"/>
      <c r="H408" s="222" t="s">
        <v>212</v>
      </c>
      <c r="I408" s="531" t="s">
        <v>212</v>
      </c>
      <c r="J408" s="531"/>
      <c r="K408" s="222" t="s">
        <v>212</v>
      </c>
      <c r="L408" s="222" t="s">
        <v>212</v>
      </c>
      <c r="M408" s="222" t="s">
        <v>212</v>
      </c>
      <c r="N408" s="222" t="s">
        <v>212</v>
      </c>
      <c r="O408" s="222" t="s">
        <v>212</v>
      </c>
      <c r="P408" s="222" t="s">
        <v>212</v>
      </c>
      <c r="Q408" s="222" t="s">
        <v>212</v>
      </c>
      <c r="R408" s="222" t="s">
        <v>212</v>
      </c>
      <c r="S408" s="222" t="s">
        <v>212</v>
      </c>
      <c r="T408" s="531" t="s">
        <v>212</v>
      </c>
      <c r="U408" s="531"/>
      <c r="V408" s="222" t="s">
        <v>212</v>
      </c>
      <c r="W408" s="222" t="s">
        <v>212</v>
      </c>
      <c r="X408" s="531" t="s">
        <v>212</v>
      </c>
      <c r="Y408" s="531"/>
      <c r="Z408" s="222" t="s">
        <v>212</v>
      </c>
      <c r="AA408" s="222" t="s">
        <v>212</v>
      </c>
      <c r="AB408" s="222" t="s">
        <v>212</v>
      </c>
      <c r="AC408" s="215"/>
    </row>
    <row r="409" spans="1:29" ht="13.5" customHeight="1">
      <c r="A409" s="215"/>
      <c r="B409" s="532">
        <v>38914</v>
      </c>
      <c r="C409" s="532"/>
      <c r="D409" s="219" t="s">
        <v>212</v>
      </c>
      <c r="E409" s="224">
        <v>0</v>
      </c>
      <c r="F409" s="533">
        <v>0</v>
      </c>
      <c r="G409" s="533"/>
      <c r="H409" s="224">
        <v>376.1</v>
      </c>
      <c r="I409" s="533">
        <v>24</v>
      </c>
      <c r="J409" s="533"/>
      <c r="K409" s="224">
        <v>314.10000000000002</v>
      </c>
      <c r="L409" s="225">
        <v>24</v>
      </c>
      <c r="M409" s="224">
        <v>0</v>
      </c>
      <c r="N409" s="225">
        <v>0</v>
      </c>
      <c r="O409" s="226">
        <v>690.2</v>
      </c>
      <c r="P409" s="222" t="s">
        <v>212</v>
      </c>
      <c r="Q409" s="224">
        <v>0</v>
      </c>
      <c r="R409" s="225">
        <v>24</v>
      </c>
      <c r="S409" s="224">
        <v>0</v>
      </c>
      <c r="T409" s="533">
        <v>0</v>
      </c>
      <c r="U409" s="533"/>
      <c r="V409" s="224">
        <v>0</v>
      </c>
      <c r="W409" s="222" t="s">
        <v>212</v>
      </c>
      <c r="X409" s="534">
        <v>690.2</v>
      </c>
      <c r="Y409" s="534"/>
      <c r="Z409" s="222" t="s">
        <v>212</v>
      </c>
      <c r="AA409" s="227">
        <v>8884200</v>
      </c>
      <c r="AB409" s="228">
        <v>0</v>
      </c>
      <c r="AC409" s="215"/>
    </row>
    <row r="410" spans="1:29" ht="2.25" customHeight="1">
      <c r="A410" s="215"/>
      <c r="B410" s="529" t="s">
        <v>212</v>
      </c>
      <c r="C410" s="529"/>
      <c r="D410" s="219" t="s">
        <v>212</v>
      </c>
      <c r="E410" s="222" t="s">
        <v>212</v>
      </c>
      <c r="F410" s="531" t="s">
        <v>212</v>
      </c>
      <c r="G410" s="531"/>
      <c r="H410" s="222" t="s">
        <v>212</v>
      </c>
      <c r="I410" s="531" t="s">
        <v>212</v>
      </c>
      <c r="J410" s="531"/>
      <c r="K410" s="222" t="s">
        <v>212</v>
      </c>
      <c r="L410" s="222" t="s">
        <v>212</v>
      </c>
      <c r="M410" s="222" t="s">
        <v>212</v>
      </c>
      <c r="N410" s="222" t="s">
        <v>212</v>
      </c>
      <c r="O410" s="222" t="s">
        <v>212</v>
      </c>
      <c r="P410" s="222" t="s">
        <v>212</v>
      </c>
      <c r="Q410" s="222" t="s">
        <v>212</v>
      </c>
      <c r="R410" s="222" t="s">
        <v>212</v>
      </c>
      <c r="S410" s="222" t="s">
        <v>212</v>
      </c>
      <c r="T410" s="531" t="s">
        <v>212</v>
      </c>
      <c r="U410" s="531"/>
      <c r="V410" s="222" t="s">
        <v>212</v>
      </c>
      <c r="W410" s="222" t="s">
        <v>212</v>
      </c>
      <c r="X410" s="531" t="s">
        <v>212</v>
      </c>
      <c r="Y410" s="531"/>
      <c r="Z410" s="222" t="s">
        <v>212</v>
      </c>
      <c r="AA410" s="222" t="s">
        <v>212</v>
      </c>
      <c r="AB410" s="222" t="s">
        <v>212</v>
      </c>
      <c r="AC410" s="215"/>
    </row>
    <row r="411" spans="1:29" ht="13.5" customHeight="1">
      <c r="A411" s="215"/>
      <c r="B411" s="535">
        <v>38915</v>
      </c>
      <c r="C411" s="535"/>
      <c r="D411" s="219" t="s">
        <v>212</v>
      </c>
      <c r="E411" s="229">
        <v>0</v>
      </c>
      <c r="F411" s="536">
        <v>0</v>
      </c>
      <c r="G411" s="536"/>
      <c r="H411" s="229">
        <v>362.1</v>
      </c>
      <c r="I411" s="536">
        <v>24</v>
      </c>
      <c r="J411" s="536"/>
      <c r="K411" s="229">
        <v>295</v>
      </c>
      <c r="L411" s="230">
        <v>24</v>
      </c>
      <c r="M411" s="229">
        <v>0</v>
      </c>
      <c r="N411" s="230">
        <v>0</v>
      </c>
      <c r="O411" s="231">
        <v>657.1</v>
      </c>
      <c r="P411" s="222" t="s">
        <v>212</v>
      </c>
      <c r="Q411" s="229">
        <v>0</v>
      </c>
      <c r="R411" s="230">
        <v>0</v>
      </c>
      <c r="S411" s="229">
        <v>0</v>
      </c>
      <c r="T411" s="536">
        <v>0</v>
      </c>
      <c r="U411" s="536"/>
      <c r="V411" s="229">
        <v>0</v>
      </c>
      <c r="W411" s="222" t="s">
        <v>212</v>
      </c>
      <c r="X411" s="530">
        <v>657.1</v>
      </c>
      <c r="Y411" s="530"/>
      <c r="Z411" s="222" t="s">
        <v>212</v>
      </c>
      <c r="AA411" s="232">
        <v>8674900</v>
      </c>
      <c r="AB411" s="233">
        <v>0</v>
      </c>
      <c r="AC411" s="215"/>
    </row>
    <row r="412" spans="1:29" ht="2.25" customHeight="1">
      <c r="A412" s="215"/>
      <c r="B412" s="529" t="s">
        <v>212</v>
      </c>
      <c r="C412" s="529"/>
      <c r="D412" s="219" t="s">
        <v>212</v>
      </c>
      <c r="E412" s="222" t="s">
        <v>212</v>
      </c>
      <c r="F412" s="531" t="s">
        <v>212</v>
      </c>
      <c r="G412" s="531"/>
      <c r="H412" s="222" t="s">
        <v>212</v>
      </c>
      <c r="I412" s="531" t="s">
        <v>212</v>
      </c>
      <c r="J412" s="531"/>
      <c r="K412" s="222" t="s">
        <v>212</v>
      </c>
      <c r="L412" s="222" t="s">
        <v>212</v>
      </c>
      <c r="M412" s="222" t="s">
        <v>212</v>
      </c>
      <c r="N412" s="222" t="s">
        <v>212</v>
      </c>
      <c r="O412" s="222" t="s">
        <v>212</v>
      </c>
      <c r="P412" s="222" t="s">
        <v>212</v>
      </c>
      <c r="Q412" s="222" t="s">
        <v>212</v>
      </c>
      <c r="R412" s="222" t="s">
        <v>212</v>
      </c>
      <c r="S412" s="222" t="s">
        <v>212</v>
      </c>
      <c r="T412" s="531" t="s">
        <v>212</v>
      </c>
      <c r="U412" s="531"/>
      <c r="V412" s="222" t="s">
        <v>212</v>
      </c>
      <c r="W412" s="222" t="s">
        <v>212</v>
      </c>
      <c r="X412" s="531" t="s">
        <v>212</v>
      </c>
      <c r="Y412" s="531"/>
      <c r="Z412" s="222" t="s">
        <v>212</v>
      </c>
      <c r="AA412" s="222" t="s">
        <v>212</v>
      </c>
      <c r="AB412" s="222" t="s">
        <v>212</v>
      </c>
      <c r="AC412" s="215"/>
    </row>
    <row r="413" spans="1:29" ht="13.5" customHeight="1">
      <c r="A413" s="215"/>
      <c r="B413" s="532">
        <v>38916</v>
      </c>
      <c r="C413" s="532"/>
      <c r="D413" s="219" t="s">
        <v>212</v>
      </c>
      <c r="E413" s="224">
        <v>96.2</v>
      </c>
      <c r="F413" s="533">
        <v>11</v>
      </c>
      <c r="G413" s="533"/>
      <c r="H413" s="224">
        <v>338.6</v>
      </c>
      <c r="I413" s="533">
        <v>24</v>
      </c>
      <c r="J413" s="533"/>
      <c r="K413" s="224">
        <v>292.60000000000002</v>
      </c>
      <c r="L413" s="225">
        <v>24</v>
      </c>
      <c r="M413" s="224">
        <v>0</v>
      </c>
      <c r="N413" s="225">
        <v>0</v>
      </c>
      <c r="O413" s="226">
        <v>727.4</v>
      </c>
      <c r="P413" s="222" t="s">
        <v>212</v>
      </c>
      <c r="Q413" s="224">
        <v>0</v>
      </c>
      <c r="R413" s="225">
        <v>0</v>
      </c>
      <c r="S413" s="224">
        <v>0</v>
      </c>
      <c r="T413" s="533">
        <v>0</v>
      </c>
      <c r="U413" s="533"/>
      <c r="V413" s="224">
        <v>0</v>
      </c>
      <c r="W413" s="222" t="s">
        <v>212</v>
      </c>
      <c r="X413" s="534">
        <v>727.4</v>
      </c>
      <c r="Y413" s="534"/>
      <c r="Z413" s="222" t="s">
        <v>212</v>
      </c>
      <c r="AA413" s="227">
        <v>10052300</v>
      </c>
      <c r="AB413" s="228">
        <v>0</v>
      </c>
      <c r="AC413" s="215"/>
    </row>
    <row r="414" spans="1:29" ht="2.25" customHeight="1">
      <c r="A414" s="215"/>
      <c r="B414" s="529" t="s">
        <v>212</v>
      </c>
      <c r="C414" s="529"/>
      <c r="D414" s="219" t="s">
        <v>212</v>
      </c>
      <c r="E414" s="222" t="s">
        <v>212</v>
      </c>
      <c r="F414" s="531" t="s">
        <v>212</v>
      </c>
      <c r="G414" s="531"/>
      <c r="H414" s="222" t="s">
        <v>212</v>
      </c>
      <c r="I414" s="531" t="s">
        <v>212</v>
      </c>
      <c r="J414" s="531"/>
      <c r="K414" s="222" t="s">
        <v>212</v>
      </c>
      <c r="L414" s="222" t="s">
        <v>212</v>
      </c>
      <c r="M414" s="222" t="s">
        <v>212</v>
      </c>
      <c r="N414" s="222" t="s">
        <v>212</v>
      </c>
      <c r="O414" s="222" t="s">
        <v>212</v>
      </c>
      <c r="P414" s="222" t="s">
        <v>212</v>
      </c>
      <c r="Q414" s="222" t="s">
        <v>212</v>
      </c>
      <c r="R414" s="222" t="s">
        <v>212</v>
      </c>
      <c r="S414" s="222" t="s">
        <v>212</v>
      </c>
      <c r="T414" s="531" t="s">
        <v>212</v>
      </c>
      <c r="U414" s="531"/>
      <c r="V414" s="222" t="s">
        <v>212</v>
      </c>
      <c r="W414" s="222" t="s">
        <v>212</v>
      </c>
      <c r="X414" s="531" t="s">
        <v>212</v>
      </c>
      <c r="Y414" s="531"/>
      <c r="Z414" s="222" t="s">
        <v>212</v>
      </c>
      <c r="AA414" s="222" t="s">
        <v>212</v>
      </c>
      <c r="AB414" s="222" t="s">
        <v>212</v>
      </c>
      <c r="AC414" s="215"/>
    </row>
    <row r="415" spans="1:29" ht="13.5" customHeight="1">
      <c r="A415" s="215"/>
      <c r="B415" s="535">
        <v>38917</v>
      </c>
      <c r="C415" s="535"/>
      <c r="D415" s="219" t="s">
        <v>212</v>
      </c>
      <c r="E415" s="229">
        <v>47.3</v>
      </c>
      <c r="F415" s="536">
        <v>6</v>
      </c>
      <c r="G415" s="536"/>
      <c r="H415" s="229">
        <v>314.2</v>
      </c>
      <c r="I415" s="536">
        <v>24</v>
      </c>
      <c r="J415" s="536"/>
      <c r="K415" s="229">
        <v>250.6</v>
      </c>
      <c r="L415" s="230">
        <v>24</v>
      </c>
      <c r="M415" s="229">
        <v>0</v>
      </c>
      <c r="N415" s="230">
        <v>0</v>
      </c>
      <c r="O415" s="231">
        <v>612.1</v>
      </c>
      <c r="P415" s="222" t="s">
        <v>212</v>
      </c>
      <c r="Q415" s="229">
        <v>0</v>
      </c>
      <c r="R415" s="230">
        <v>0</v>
      </c>
      <c r="S415" s="229">
        <v>0</v>
      </c>
      <c r="T415" s="536">
        <v>0</v>
      </c>
      <c r="U415" s="536"/>
      <c r="V415" s="229">
        <v>0</v>
      </c>
      <c r="W415" s="222" t="s">
        <v>212</v>
      </c>
      <c r="X415" s="530">
        <v>612.1</v>
      </c>
      <c r="Y415" s="530"/>
      <c r="Z415" s="222" t="s">
        <v>212</v>
      </c>
      <c r="AA415" s="232">
        <v>8664600</v>
      </c>
      <c r="AB415" s="233">
        <v>0</v>
      </c>
      <c r="AC415" s="215"/>
    </row>
    <row r="416" spans="1:29" ht="2.25" customHeight="1">
      <c r="A416" s="215"/>
      <c r="B416" s="529" t="s">
        <v>212</v>
      </c>
      <c r="C416" s="529"/>
      <c r="D416" s="219" t="s">
        <v>212</v>
      </c>
      <c r="E416" s="222" t="s">
        <v>212</v>
      </c>
      <c r="F416" s="531" t="s">
        <v>212</v>
      </c>
      <c r="G416" s="531"/>
      <c r="H416" s="222" t="s">
        <v>212</v>
      </c>
      <c r="I416" s="531" t="s">
        <v>212</v>
      </c>
      <c r="J416" s="531"/>
      <c r="K416" s="222" t="s">
        <v>212</v>
      </c>
      <c r="L416" s="222" t="s">
        <v>212</v>
      </c>
      <c r="M416" s="222" t="s">
        <v>212</v>
      </c>
      <c r="N416" s="222" t="s">
        <v>212</v>
      </c>
      <c r="O416" s="222" t="s">
        <v>212</v>
      </c>
      <c r="P416" s="222" t="s">
        <v>212</v>
      </c>
      <c r="Q416" s="222" t="s">
        <v>212</v>
      </c>
      <c r="R416" s="222" t="s">
        <v>212</v>
      </c>
      <c r="S416" s="222" t="s">
        <v>212</v>
      </c>
      <c r="T416" s="531" t="s">
        <v>212</v>
      </c>
      <c r="U416" s="531"/>
      <c r="V416" s="222" t="s">
        <v>212</v>
      </c>
      <c r="W416" s="222" t="s">
        <v>212</v>
      </c>
      <c r="X416" s="531" t="s">
        <v>212</v>
      </c>
      <c r="Y416" s="531"/>
      <c r="Z416" s="222" t="s">
        <v>212</v>
      </c>
      <c r="AA416" s="222" t="s">
        <v>212</v>
      </c>
      <c r="AB416" s="222" t="s">
        <v>212</v>
      </c>
      <c r="AC416" s="215"/>
    </row>
    <row r="417" spans="1:29" ht="13.5" customHeight="1">
      <c r="A417" s="215"/>
      <c r="B417" s="532">
        <v>38918</v>
      </c>
      <c r="C417" s="532"/>
      <c r="D417" s="219" t="s">
        <v>212</v>
      </c>
      <c r="E417" s="224">
        <v>54.9</v>
      </c>
      <c r="F417" s="533">
        <v>8</v>
      </c>
      <c r="G417" s="533"/>
      <c r="H417" s="224">
        <v>354.2</v>
      </c>
      <c r="I417" s="533">
        <v>24</v>
      </c>
      <c r="J417" s="533"/>
      <c r="K417" s="224">
        <v>298.7</v>
      </c>
      <c r="L417" s="225">
        <v>24</v>
      </c>
      <c r="M417" s="224">
        <v>0</v>
      </c>
      <c r="N417" s="225">
        <v>0</v>
      </c>
      <c r="O417" s="226">
        <v>707.8</v>
      </c>
      <c r="P417" s="222" t="s">
        <v>212</v>
      </c>
      <c r="Q417" s="224">
        <v>0</v>
      </c>
      <c r="R417" s="225">
        <v>0</v>
      </c>
      <c r="S417" s="224">
        <v>0</v>
      </c>
      <c r="T417" s="533">
        <v>0</v>
      </c>
      <c r="U417" s="533"/>
      <c r="V417" s="224">
        <v>0</v>
      </c>
      <c r="W417" s="222" t="s">
        <v>212</v>
      </c>
      <c r="X417" s="534">
        <v>707.8</v>
      </c>
      <c r="Y417" s="534"/>
      <c r="Z417" s="222" t="s">
        <v>212</v>
      </c>
      <c r="AA417" s="227">
        <v>9532700</v>
      </c>
      <c r="AB417" s="228">
        <v>0</v>
      </c>
      <c r="AC417" s="215"/>
    </row>
    <row r="418" spans="1:29" ht="2.25" customHeight="1">
      <c r="A418" s="215"/>
      <c r="B418" s="529" t="s">
        <v>212</v>
      </c>
      <c r="C418" s="529"/>
      <c r="D418" s="219" t="s">
        <v>212</v>
      </c>
      <c r="E418" s="222" t="s">
        <v>212</v>
      </c>
      <c r="F418" s="531" t="s">
        <v>212</v>
      </c>
      <c r="G418" s="531"/>
      <c r="H418" s="222" t="s">
        <v>212</v>
      </c>
      <c r="I418" s="531" t="s">
        <v>212</v>
      </c>
      <c r="J418" s="531"/>
      <c r="K418" s="222" t="s">
        <v>212</v>
      </c>
      <c r="L418" s="222" t="s">
        <v>212</v>
      </c>
      <c r="M418" s="222" t="s">
        <v>212</v>
      </c>
      <c r="N418" s="222" t="s">
        <v>212</v>
      </c>
      <c r="O418" s="222" t="s">
        <v>212</v>
      </c>
      <c r="P418" s="222" t="s">
        <v>212</v>
      </c>
      <c r="Q418" s="222" t="s">
        <v>212</v>
      </c>
      <c r="R418" s="222" t="s">
        <v>212</v>
      </c>
      <c r="S418" s="222" t="s">
        <v>212</v>
      </c>
      <c r="T418" s="531" t="s">
        <v>212</v>
      </c>
      <c r="U418" s="531"/>
      <c r="V418" s="222" t="s">
        <v>212</v>
      </c>
      <c r="W418" s="222" t="s">
        <v>212</v>
      </c>
      <c r="X418" s="531" t="s">
        <v>212</v>
      </c>
      <c r="Y418" s="531"/>
      <c r="Z418" s="222" t="s">
        <v>212</v>
      </c>
      <c r="AA418" s="222" t="s">
        <v>212</v>
      </c>
      <c r="AB418" s="222" t="s">
        <v>212</v>
      </c>
      <c r="AC418" s="215"/>
    </row>
    <row r="419" spans="1:29" ht="13.5" customHeight="1">
      <c r="A419" s="215"/>
      <c r="B419" s="535">
        <v>38919</v>
      </c>
      <c r="C419" s="535"/>
      <c r="D419" s="219" t="s">
        <v>212</v>
      </c>
      <c r="E419" s="229">
        <v>0</v>
      </c>
      <c r="F419" s="536">
        <v>0</v>
      </c>
      <c r="G419" s="536"/>
      <c r="H419" s="229">
        <v>317.39999999999998</v>
      </c>
      <c r="I419" s="536">
        <v>24</v>
      </c>
      <c r="J419" s="536"/>
      <c r="K419" s="229">
        <v>215.7</v>
      </c>
      <c r="L419" s="230">
        <v>24</v>
      </c>
      <c r="M419" s="229">
        <v>0</v>
      </c>
      <c r="N419" s="230">
        <v>0</v>
      </c>
      <c r="O419" s="231">
        <v>533.1</v>
      </c>
      <c r="P419" s="222" t="s">
        <v>212</v>
      </c>
      <c r="Q419" s="229">
        <v>0</v>
      </c>
      <c r="R419" s="230">
        <v>0</v>
      </c>
      <c r="S419" s="229">
        <v>0</v>
      </c>
      <c r="T419" s="536">
        <v>0</v>
      </c>
      <c r="U419" s="536"/>
      <c r="V419" s="229">
        <v>0</v>
      </c>
      <c r="W419" s="222" t="s">
        <v>212</v>
      </c>
      <c r="X419" s="530">
        <v>533.1</v>
      </c>
      <c r="Y419" s="530"/>
      <c r="Z419" s="222" t="s">
        <v>212</v>
      </c>
      <c r="AA419" s="232">
        <v>7603400</v>
      </c>
      <c r="AB419" s="233">
        <v>0</v>
      </c>
      <c r="AC419" s="215"/>
    </row>
    <row r="420" spans="1:29" ht="2.25" customHeight="1">
      <c r="A420" s="215"/>
      <c r="B420" s="529" t="s">
        <v>212</v>
      </c>
      <c r="C420" s="529"/>
      <c r="D420" s="219" t="s">
        <v>212</v>
      </c>
      <c r="E420" s="222" t="s">
        <v>212</v>
      </c>
      <c r="F420" s="531" t="s">
        <v>212</v>
      </c>
      <c r="G420" s="531"/>
      <c r="H420" s="222" t="s">
        <v>212</v>
      </c>
      <c r="I420" s="531" t="s">
        <v>212</v>
      </c>
      <c r="J420" s="531"/>
      <c r="K420" s="222" t="s">
        <v>212</v>
      </c>
      <c r="L420" s="222" t="s">
        <v>212</v>
      </c>
      <c r="M420" s="222" t="s">
        <v>212</v>
      </c>
      <c r="N420" s="222" t="s">
        <v>212</v>
      </c>
      <c r="O420" s="222" t="s">
        <v>212</v>
      </c>
      <c r="P420" s="222" t="s">
        <v>212</v>
      </c>
      <c r="Q420" s="222" t="s">
        <v>212</v>
      </c>
      <c r="R420" s="222" t="s">
        <v>212</v>
      </c>
      <c r="S420" s="222" t="s">
        <v>212</v>
      </c>
      <c r="T420" s="531" t="s">
        <v>212</v>
      </c>
      <c r="U420" s="531"/>
      <c r="V420" s="222" t="s">
        <v>212</v>
      </c>
      <c r="W420" s="222" t="s">
        <v>212</v>
      </c>
      <c r="X420" s="531" t="s">
        <v>212</v>
      </c>
      <c r="Y420" s="531"/>
      <c r="Z420" s="222" t="s">
        <v>212</v>
      </c>
      <c r="AA420" s="222" t="s">
        <v>212</v>
      </c>
      <c r="AB420" s="222" t="s">
        <v>212</v>
      </c>
      <c r="AC420" s="215"/>
    </row>
    <row r="421" spans="1:29" ht="13.5" customHeight="1">
      <c r="A421" s="215"/>
      <c r="B421" s="532">
        <v>38920</v>
      </c>
      <c r="C421" s="532"/>
      <c r="D421" s="219" t="s">
        <v>212</v>
      </c>
      <c r="E421" s="224">
        <v>0</v>
      </c>
      <c r="F421" s="533">
        <v>0</v>
      </c>
      <c r="G421" s="533"/>
      <c r="H421" s="224">
        <v>299.3</v>
      </c>
      <c r="I421" s="533">
        <v>24</v>
      </c>
      <c r="J421" s="533"/>
      <c r="K421" s="224">
        <v>206.9</v>
      </c>
      <c r="L421" s="225">
        <v>24</v>
      </c>
      <c r="M421" s="224">
        <v>0</v>
      </c>
      <c r="N421" s="225">
        <v>0</v>
      </c>
      <c r="O421" s="226">
        <v>506.2</v>
      </c>
      <c r="P421" s="222" t="s">
        <v>212</v>
      </c>
      <c r="Q421" s="224">
        <v>0</v>
      </c>
      <c r="R421" s="225">
        <v>0</v>
      </c>
      <c r="S421" s="224">
        <v>0</v>
      </c>
      <c r="T421" s="533">
        <v>0</v>
      </c>
      <c r="U421" s="533"/>
      <c r="V421" s="224">
        <v>0</v>
      </c>
      <c r="W421" s="222" t="s">
        <v>212</v>
      </c>
      <c r="X421" s="534">
        <v>506.2</v>
      </c>
      <c r="Y421" s="534"/>
      <c r="Z421" s="222" t="s">
        <v>212</v>
      </c>
      <c r="AA421" s="227">
        <v>7425100</v>
      </c>
      <c r="AB421" s="228">
        <v>618</v>
      </c>
      <c r="AC421" s="215"/>
    </row>
    <row r="422" spans="1:29" ht="2.25" customHeight="1">
      <c r="A422" s="215"/>
      <c r="B422" s="529" t="s">
        <v>212</v>
      </c>
      <c r="C422" s="529"/>
      <c r="D422" s="219" t="s">
        <v>212</v>
      </c>
      <c r="E422" s="222" t="s">
        <v>212</v>
      </c>
      <c r="F422" s="531" t="s">
        <v>212</v>
      </c>
      <c r="G422" s="531"/>
      <c r="H422" s="222" t="s">
        <v>212</v>
      </c>
      <c r="I422" s="531" t="s">
        <v>212</v>
      </c>
      <c r="J422" s="531"/>
      <c r="K422" s="222" t="s">
        <v>212</v>
      </c>
      <c r="L422" s="222" t="s">
        <v>212</v>
      </c>
      <c r="M422" s="222" t="s">
        <v>212</v>
      </c>
      <c r="N422" s="222" t="s">
        <v>212</v>
      </c>
      <c r="O422" s="222" t="s">
        <v>212</v>
      </c>
      <c r="P422" s="222" t="s">
        <v>212</v>
      </c>
      <c r="Q422" s="222" t="s">
        <v>212</v>
      </c>
      <c r="R422" s="222" t="s">
        <v>212</v>
      </c>
      <c r="S422" s="222" t="s">
        <v>212</v>
      </c>
      <c r="T422" s="531" t="s">
        <v>212</v>
      </c>
      <c r="U422" s="531"/>
      <c r="V422" s="222" t="s">
        <v>212</v>
      </c>
      <c r="W422" s="222" t="s">
        <v>212</v>
      </c>
      <c r="X422" s="531" t="s">
        <v>212</v>
      </c>
      <c r="Y422" s="531"/>
      <c r="Z422" s="222" t="s">
        <v>212</v>
      </c>
      <c r="AA422" s="222" t="s">
        <v>212</v>
      </c>
      <c r="AB422" s="222" t="s">
        <v>212</v>
      </c>
      <c r="AC422" s="215"/>
    </row>
    <row r="423" spans="1:29" ht="13.5" customHeight="1">
      <c r="A423" s="215"/>
      <c r="B423" s="535">
        <v>38921</v>
      </c>
      <c r="C423" s="535"/>
      <c r="D423" s="219" t="s">
        <v>212</v>
      </c>
      <c r="E423" s="229">
        <v>0</v>
      </c>
      <c r="F423" s="536">
        <v>0</v>
      </c>
      <c r="G423" s="536"/>
      <c r="H423" s="229">
        <v>345.9</v>
      </c>
      <c r="I423" s="536">
        <v>24</v>
      </c>
      <c r="J423" s="536"/>
      <c r="K423" s="229">
        <v>235.4</v>
      </c>
      <c r="L423" s="230">
        <v>24</v>
      </c>
      <c r="M423" s="229">
        <v>0</v>
      </c>
      <c r="N423" s="230">
        <v>0</v>
      </c>
      <c r="O423" s="231">
        <v>581.29999999999995</v>
      </c>
      <c r="P423" s="222" t="s">
        <v>212</v>
      </c>
      <c r="Q423" s="229">
        <v>0</v>
      </c>
      <c r="R423" s="230">
        <v>0</v>
      </c>
      <c r="S423" s="229">
        <v>0</v>
      </c>
      <c r="T423" s="536">
        <v>0</v>
      </c>
      <c r="U423" s="536"/>
      <c r="V423" s="229">
        <v>0</v>
      </c>
      <c r="W423" s="222" t="s">
        <v>212</v>
      </c>
      <c r="X423" s="530">
        <v>581.29999999999995</v>
      </c>
      <c r="Y423" s="530"/>
      <c r="Z423" s="222" t="s">
        <v>212</v>
      </c>
      <c r="AA423" s="232">
        <v>7881900</v>
      </c>
      <c r="AB423" s="233">
        <v>0</v>
      </c>
      <c r="AC423" s="215"/>
    </row>
    <row r="424" spans="1:29" ht="2.25" customHeight="1">
      <c r="A424" s="215"/>
      <c r="B424" s="529" t="s">
        <v>212</v>
      </c>
      <c r="C424" s="529"/>
      <c r="D424" s="219" t="s">
        <v>212</v>
      </c>
      <c r="E424" s="222" t="s">
        <v>212</v>
      </c>
      <c r="F424" s="531" t="s">
        <v>212</v>
      </c>
      <c r="G424" s="531"/>
      <c r="H424" s="222" t="s">
        <v>212</v>
      </c>
      <c r="I424" s="531" t="s">
        <v>212</v>
      </c>
      <c r="J424" s="531"/>
      <c r="K424" s="222" t="s">
        <v>212</v>
      </c>
      <c r="L424" s="222" t="s">
        <v>212</v>
      </c>
      <c r="M424" s="222" t="s">
        <v>212</v>
      </c>
      <c r="N424" s="222" t="s">
        <v>212</v>
      </c>
      <c r="O424" s="222" t="s">
        <v>212</v>
      </c>
      <c r="P424" s="222" t="s">
        <v>212</v>
      </c>
      <c r="Q424" s="222" t="s">
        <v>212</v>
      </c>
      <c r="R424" s="222" t="s">
        <v>212</v>
      </c>
      <c r="S424" s="222" t="s">
        <v>212</v>
      </c>
      <c r="T424" s="531" t="s">
        <v>212</v>
      </c>
      <c r="U424" s="531"/>
      <c r="V424" s="222" t="s">
        <v>212</v>
      </c>
      <c r="W424" s="222" t="s">
        <v>212</v>
      </c>
      <c r="X424" s="531" t="s">
        <v>212</v>
      </c>
      <c r="Y424" s="531"/>
      <c r="Z424" s="222" t="s">
        <v>212</v>
      </c>
      <c r="AA424" s="222" t="s">
        <v>212</v>
      </c>
      <c r="AB424" s="222" t="s">
        <v>212</v>
      </c>
      <c r="AC424" s="215"/>
    </row>
    <row r="425" spans="1:29" ht="13.5" customHeight="1">
      <c r="A425" s="215"/>
      <c r="B425" s="532">
        <v>38922</v>
      </c>
      <c r="C425" s="532"/>
      <c r="D425" s="219" t="s">
        <v>212</v>
      </c>
      <c r="E425" s="224">
        <v>0</v>
      </c>
      <c r="F425" s="533">
        <v>0</v>
      </c>
      <c r="G425" s="533"/>
      <c r="H425" s="224">
        <v>332.5</v>
      </c>
      <c r="I425" s="533">
        <v>24</v>
      </c>
      <c r="J425" s="533"/>
      <c r="K425" s="224">
        <v>262.7</v>
      </c>
      <c r="L425" s="225">
        <v>24</v>
      </c>
      <c r="M425" s="224">
        <v>0</v>
      </c>
      <c r="N425" s="225">
        <v>0</v>
      </c>
      <c r="O425" s="226">
        <v>595.20000000000005</v>
      </c>
      <c r="P425" s="222" t="s">
        <v>212</v>
      </c>
      <c r="Q425" s="224">
        <v>0</v>
      </c>
      <c r="R425" s="225">
        <v>0</v>
      </c>
      <c r="S425" s="224">
        <v>0</v>
      </c>
      <c r="T425" s="533">
        <v>0</v>
      </c>
      <c r="U425" s="533"/>
      <c r="V425" s="224">
        <v>0</v>
      </c>
      <c r="W425" s="222" t="s">
        <v>212</v>
      </c>
      <c r="X425" s="534">
        <v>595.20000000000005</v>
      </c>
      <c r="Y425" s="534"/>
      <c r="Z425" s="222" t="s">
        <v>212</v>
      </c>
      <c r="AA425" s="227">
        <v>7975500</v>
      </c>
      <c r="AB425" s="228">
        <v>0</v>
      </c>
      <c r="AC425" s="215"/>
    </row>
    <row r="426" spans="1:29" ht="2.25" customHeight="1">
      <c r="A426" s="215"/>
      <c r="B426" s="529" t="s">
        <v>212</v>
      </c>
      <c r="C426" s="529"/>
      <c r="D426" s="219" t="s">
        <v>212</v>
      </c>
      <c r="E426" s="222" t="s">
        <v>212</v>
      </c>
      <c r="F426" s="531" t="s">
        <v>212</v>
      </c>
      <c r="G426" s="531"/>
      <c r="H426" s="222" t="s">
        <v>212</v>
      </c>
      <c r="I426" s="531" t="s">
        <v>212</v>
      </c>
      <c r="J426" s="531"/>
      <c r="K426" s="222" t="s">
        <v>212</v>
      </c>
      <c r="L426" s="222" t="s">
        <v>212</v>
      </c>
      <c r="M426" s="222" t="s">
        <v>212</v>
      </c>
      <c r="N426" s="222" t="s">
        <v>212</v>
      </c>
      <c r="O426" s="222" t="s">
        <v>212</v>
      </c>
      <c r="P426" s="222" t="s">
        <v>212</v>
      </c>
      <c r="Q426" s="222" t="s">
        <v>212</v>
      </c>
      <c r="R426" s="222" t="s">
        <v>212</v>
      </c>
      <c r="S426" s="222" t="s">
        <v>212</v>
      </c>
      <c r="T426" s="531" t="s">
        <v>212</v>
      </c>
      <c r="U426" s="531"/>
      <c r="V426" s="222" t="s">
        <v>212</v>
      </c>
      <c r="W426" s="222" t="s">
        <v>212</v>
      </c>
      <c r="X426" s="531" t="s">
        <v>212</v>
      </c>
      <c r="Y426" s="531"/>
      <c r="Z426" s="222" t="s">
        <v>212</v>
      </c>
      <c r="AA426" s="222" t="s">
        <v>212</v>
      </c>
      <c r="AB426" s="222" t="s">
        <v>212</v>
      </c>
      <c r="AC426" s="215"/>
    </row>
    <row r="427" spans="1:29" ht="13.5" customHeight="1">
      <c r="A427" s="215"/>
      <c r="B427" s="535">
        <v>38923</v>
      </c>
      <c r="C427" s="535"/>
      <c r="D427" s="219" t="s">
        <v>212</v>
      </c>
      <c r="E427" s="229">
        <v>0</v>
      </c>
      <c r="F427" s="536">
        <v>0</v>
      </c>
      <c r="G427" s="536"/>
      <c r="H427" s="229">
        <v>338</v>
      </c>
      <c r="I427" s="536">
        <v>24</v>
      </c>
      <c r="J427" s="536"/>
      <c r="K427" s="229">
        <v>263</v>
      </c>
      <c r="L427" s="230">
        <v>24</v>
      </c>
      <c r="M427" s="229">
        <v>0</v>
      </c>
      <c r="N427" s="230">
        <v>0</v>
      </c>
      <c r="O427" s="231">
        <v>601</v>
      </c>
      <c r="P427" s="222" t="s">
        <v>212</v>
      </c>
      <c r="Q427" s="229">
        <v>0</v>
      </c>
      <c r="R427" s="230">
        <v>0</v>
      </c>
      <c r="S427" s="229">
        <v>0</v>
      </c>
      <c r="T427" s="536">
        <v>0</v>
      </c>
      <c r="U427" s="536"/>
      <c r="V427" s="229">
        <v>0</v>
      </c>
      <c r="W427" s="222" t="s">
        <v>212</v>
      </c>
      <c r="X427" s="530">
        <v>601</v>
      </c>
      <c r="Y427" s="530"/>
      <c r="Z427" s="222" t="s">
        <v>212</v>
      </c>
      <c r="AA427" s="232">
        <v>8171600</v>
      </c>
      <c r="AB427" s="233">
        <v>0</v>
      </c>
      <c r="AC427" s="215"/>
    </row>
    <row r="428" spans="1:29" ht="2.25" customHeight="1">
      <c r="A428" s="215"/>
      <c r="B428" s="529" t="s">
        <v>212</v>
      </c>
      <c r="C428" s="529"/>
      <c r="D428" s="219" t="s">
        <v>212</v>
      </c>
      <c r="E428" s="222" t="s">
        <v>212</v>
      </c>
      <c r="F428" s="531" t="s">
        <v>212</v>
      </c>
      <c r="G428" s="531"/>
      <c r="H428" s="222" t="s">
        <v>212</v>
      </c>
      <c r="I428" s="531" t="s">
        <v>212</v>
      </c>
      <c r="J428" s="531"/>
      <c r="K428" s="222" t="s">
        <v>212</v>
      </c>
      <c r="L428" s="222" t="s">
        <v>212</v>
      </c>
      <c r="M428" s="222" t="s">
        <v>212</v>
      </c>
      <c r="N428" s="222" t="s">
        <v>212</v>
      </c>
      <c r="O428" s="222" t="s">
        <v>212</v>
      </c>
      <c r="P428" s="222" t="s">
        <v>212</v>
      </c>
      <c r="Q428" s="222" t="s">
        <v>212</v>
      </c>
      <c r="R428" s="222" t="s">
        <v>212</v>
      </c>
      <c r="S428" s="222" t="s">
        <v>212</v>
      </c>
      <c r="T428" s="531" t="s">
        <v>212</v>
      </c>
      <c r="U428" s="531"/>
      <c r="V428" s="222" t="s">
        <v>212</v>
      </c>
      <c r="W428" s="222" t="s">
        <v>212</v>
      </c>
      <c r="X428" s="531" t="s">
        <v>212</v>
      </c>
      <c r="Y428" s="531"/>
      <c r="Z428" s="222" t="s">
        <v>212</v>
      </c>
      <c r="AA428" s="222" t="s">
        <v>212</v>
      </c>
      <c r="AB428" s="222" t="s">
        <v>212</v>
      </c>
      <c r="AC428" s="215"/>
    </row>
    <row r="429" spans="1:29" ht="13.5" customHeight="1">
      <c r="A429" s="215"/>
      <c r="B429" s="532">
        <v>38924</v>
      </c>
      <c r="C429" s="532"/>
      <c r="D429" s="219" t="s">
        <v>212</v>
      </c>
      <c r="E429" s="224">
        <v>0</v>
      </c>
      <c r="F429" s="533">
        <v>0</v>
      </c>
      <c r="G429" s="533"/>
      <c r="H429" s="224">
        <v>318.89999999999998</v>
      </c>
      <c r="I429" s="533">
        <v>24</v>
      </c>
      <c r="J429" s="533"/>
      <c r="K429" s="224">
        <v>245.1</v>
      </c>
      <c r="L429" s="225">
        <v>24</v>
      </c>
      <c r="M429" s="224">
        <v>0</v>
      </c>
      <c r="N429" s="225">
        <v>0</v>
      </c>
      <c r="O429" s="226">
        <v>564</v>
      </c>
      <c r="P429" s="222" t="s">
        <v>212</v>
      </c>
      <c r="Q429" s="224">
        <v>0</v>
      </c>
      <c r="R429" s="225">
        <v>0</v>
      </c>
      <c r="S429" s="224">
        <v>0</v>
      </c>
      <c r="T429" s="533">
        <v>0</v>
      </c>
      <c r="U429" s="533"/>
      <c r="V429" s="224">
        <v>0</v>
      </c>
      <c r="W429" s="222" t="s">
        <v>212</v>
      </c>
      <c r="X429" s="534">
        <v>564</v>
      </c>
      <c r="Y429" s="534"/>
      <c r="Z429" s="222" t="s">
        <v>212</v>
      </c>
      <c r="AA429" s="227">
        <v>7808900</v>
      </c>
      <c r="AB429" s="228">
        <v>0</v>
      </c>
      <c r="AC429" s="215"/>
    </row>
    <row r="430" spans="1:29" ht="2.25" customHeight="1">
      <c r="A430" s="215"/>
      <c r="B430" s="529" t="s">
        <v>212</v>
      </c>
      <c r="C430" s="529"/>
      <c r="D430" s="219" t="s">
        <v>212</v>
      </c>
      <c r="E430" s="222" t="s">
        <v>212</v>
      </c>
      <c r="F430" s="531" t="s">
        <v>212</v>
      </c>
      <c r="G430" s="531"/>
      <c r="H430" s="222" t="s">
        <v>212</v>
      </c>
      <c r="I430" s="531" t="s">
        <v>212</v>
      </c>
      <c r="J430" s="531"/>
      <c r="K430" s="222" t="s">
        <v>212</v>
      </c>
      <c r="L430" s="222" t="s">
        <v>212</v>
      </c>
      <c r="M430" s="222" t="s">
        <v>212</v>
      </c>
      <c r="N430" s="222" t="s">
        <v>212</v>
      </c>
      <c r="O430" s="222" t="s">
        <v>212</v>
      </c>
      <c r="P430" s="222" t="s">
        <v>212</v>
      </c>
      <c r="Q430" s="222" t="s">
        <v>212</v>
      </c>
      <c r="R430" s="222" t="s">
        <v>212</v>
      </c>
      <c r="S430" s="222" t="s">
        <v>212</v>
      </c>
      <c r="T430" s="531" t="s">
        <v>212</v>
      </c>
      <c r="U430" s="531"/>
      <c r="V430" s="222" t="s">
        <v>212</v>
      </c>
      <c r="W430" s="222" t="s">
        <v>212</v>
      </c>
      <c r="X430" s="531" t="s">
        <v>212</v>
      </c>
      <c r="Y430" s="531"/>
      <c r="Z430" s="222" t="s">
        <v>212</v>
      </c>
      <c r="AA430" s="222" t="s">
        <v>212</v>
      </c>
      <c r="AB430" s="222" t="s">
        <v>212</v>
      </c>
      <c r="AC430" s="215"/>
    </row>
    <row r="431" spans="1:29" ht="13.5" customHeight="1">
      <c r="A431" s="215"/>
      <c r="B431" s="535">
        <v>38925</v>
      </c>
      <c r="C431" s="535"/>
      <c r="D431" s="219" t="s">
        <v>212</v>
      </c>
      <c r="E431" s="229">
        <v>58.8</v>
      </c>
      <c r="F431" s="536">
        <v>6</v>
      </c>
      <c r="G431" s="536"/>
      <c r="H431" s="229">
        <v>234.8</v>
      </c>
      <c r="I431" s="536">
        <v>19</v>
      </c>
      <c r="J431" s="536"/>
      <c r="K431" s="229">
        <v>230.2</v>
      </c>
      <c r="L431" s="230">
        <v>24</v>
      </c>
      <c r="M431" s="229">
        <v>0</v>
      </c>
      <c r="N431" s="230">
        <v>0</v>
      </c>
      <c r="O431" s="231">
        <v>523.79999999999995</v>
      </c>
      <c r="P431" s="222" t="s">
        <v>212</v>
      </c>
      <c r="Q431" s="229">
        <v>0</v>
      </c>
      <c r="R431" s="230">
        <v>0</v>
      </c>
      <c r="S431" s="229">
        <v>0</v>
      </c>
      <c r="T431" s="536">
        <v>0</v>
      </c>
      <c r="U431" s="536"/>
      <c r="V431" s="229">
        <v>0</v>
      </c>
      <c r="W431" s="222" t="s">
        <v>212</v>
      </c>
      <c r="X431" s="530">
        <v>523.79999999999995</v>
      </c>
      <c r="Y431" s="530"/>
      <c r="Z431" s="222" t="s">
        <v>212</v>
      </c>
      <c r="AA431" s="232">
        <v>7610100</v>
      </c>
      <c r="AB431" s="233">
        <v>0</v>
      </c>
      <c r="AC431" s="215"/>
    </row>
    <row r="432" spans="1:29" ht="2.25" customHeight="1">
      <c r="A432" s="215"/>
      <c r="B432" s="529" t="s">
        <v>212</v>
      </c>
      <c r="C432" s="529"/>
      <c r="D432" s="219" t="s">
        <v>212</v>
      </c>
      <c r="E432" s="222" t="s">
        <v>212</v>
      </c>
      <c r="F432" s="531" t="s">
        <v>212</v>
      </c>
      <c r="G432" s="531"/>
      <c r="H432" s="222" t="s">
        <v>212</v>
      </c>
      <c r="I432" s="531" t="s">
        <v>212</v>
      </c>
      <c r="J432" s="531"/>
      <c r="K432" s="222" t="s">
        <v>212</v>
      </c>
      <c r="L432" s="222" t="s">
        <v>212</v>
      </c>
      <c r="M432" s="222" t="s">
        <v>212</v>
      </c>
      <c r="N432" s="222" t="s">
        <v>212</v>
      </c>
      <c r="O432" s="222" t="s">
        <v>212</v>
      </c>
      <c r="P432" s="222" t="s">
        <v>212</v>
      </c>
      <c r="Q432" s="222" t="s">
        <v>212</v>
      </c>
      <c r="R432" s="222" t="s">
        <v>212</v>
      </c>
      <c r="S432" s="222" t="s">
        <v>212</v>
      </c>
      <c r="T432" s="531" t="s">
        <v>212</v>
      </c>
      <c r="U432" s="531"/>
      <c r="V432" s="222" t="s">
        <v>212</v>
      </c>
      <c r="W432" s="222" t="s">
        <v>212</v>
      </c>
      <c r="X432" s="531" t="s">
        <v>212</v>
      </c>
      <c r="Y432" s="531"/>
      <c r="Z432" s="222" t="s">
        <v>212</v>
      </c>
      <c r="AA432" s="222" t="s">
        <v>212</v>
      </c>
      <c r="AB432" s="222" t="s">
        <v>212</v>
      </c>
      <c r="AC432" s="215"/>
    </row>
    <row r="433" spans="1:29" ht="13.5" customHeight="1">
      <c r="A433" s="215"/>
      <c r="B433" s="532">
        <v>38926</v>
      </c>
      <c r="C433" s="532"/>
      <c r="D433" s="219" t="s">
        <v>212</v>
      </c>
      <c r="E433" s="224">
        <v>280</v>
      </c>
      <c r="F433" s="533">
        <v>24</v>
      </c>
      <c r="G433" s="533"/>
      <c r="H433" s="224">
        <v>0</v>
      </c>
      <c r="I433" s="533">
        <v>0</v>
      </c>
      <c r="J433" s="533"/>
      <c r="K433" s="224">
        <v>259.7</v>
      </c>
      <c r="L433" s="225">
        <v>24</v>
      </c>
      <c r="M433" s="224">
        <v>0</v>
      </c>
      <c r="N433" s="225">
        <v>0</v>
      </c>
      <c r="O433" s="226">
        <v>539.70000000000005</v>
      </c>
      <c r="P433" s="222" t="s">
        <v>212</v>
      </c>
      <c r="Q433" s="224">
        <v>0</v>
      </c>
      <c r="R433" s="225">
        <v>0</v>
      </c>
      <c r="S433" s="224">
        <v>0</v>
      </c>
      <c r="T433" s="533">
        <v>0</v>
      </c>
      <c r="U433" s="533"/>
      <c r="V433" s="224">
        <v>0</v>
      </c>
      <c r="W433" s="222" t="s">
        <v>212</v>
      </c>
      <c r="X433" s="534">
        <v>539.70000000000005</v>
      </c>
      <c r="Y433" s="534"/>
      <c r="Z433" s="222" t="s">
        <v>212</v>
      </c>
      <c r="AA433" s="227">
        <v>7657500</v>
      </c>
      <c r="AB433" s="228">
        <v>0</v>
      </c>
      <c r="AC433" s="215"/>
    </row>
    <row r="434" spans="1:29" ht="2.25" customHeight="1">
      <c r="A434" s="215"/>
      <c r="B434" s="529" t="s">
        <v>212</v>
      </c>
      <c r="C434" s="529"/>
      <c r="D434" s="219" t="s">
        <v>212</v>
      </c>
      <c r="E434" s="222" t="s">
        <v>212</v>
      </c>
      <c r="F434" s="531" t="s">
        <v>212</v>
      </c>
      <c r="G434" s="531"/>
      <c r="H434" s="222" t="s">
        <v>212</v>
      </c>
      <c r="I434" s="531" t="s">
        <v>212</v>
      </c>
      <c r="J434" s="531"/>
      <c r="K434" s="222" t="s">
        <v>212</v>
      </c>
      <c r="L434" s="222" t="s">
        <v>212</v>
      </c>
      <c r="M434" s="222" t="s">
        <v>212</v>
      </c>
      <c r="N434" s="222" t="s">
        <v>212</v>
      </c>
      <c r="O434" s="222" t="s">
        <v>212</v>
      </c>
      <c r="P434" s="222" t="s">
        <v>212</v>
      </c>
      <c r="Q434" s="222" t="s">
        <v>212</v>
      </c>
      <c r="R434" s="222" t="s">
        <v>212</v>
      </c>
      <c r="S434" s="222" t="s">
        <v>212</v>
      </c>
      <c r="T434" s="531" t="s">
        <v>212</v>
      </c>
      <c r="U434" s="531"/>
      <c r="V434" s="222" t="s">
        <v>212</v>
      </c>
      <c r="W434" s="222" t="s">
        <v>212</v>
      </c>
      <c r="X434" s="531" t="s">
        <v>212</v>
      </c>
      <c r="Y434" s="531"/>
      <c r="Z434" s="222" t="s">
        <v>212</v>
      </c>
      <c r="AA434" s="222" t="s">
        <v>212</v>
      </c>
      <c r="AB434" s="222" t="s">
        <v>212</v>
      </c>
      <c r="AC434" s="215"/>
    </row>
    <row r="435" spans="1:29" ht="13.5" customHeight="1">
      <c r="A435" s="215"/>
      <c r="B435" s="535">
        <v>38927</v>
      </c>
      <c r="C435" s="535"/>
      <c r="D435" s="219" t="s">
        <v>212</v>
      </c>
      <c r="E435" s="229">
        <v>293.89999999999998</v>
      </c>
      <c r="F435" s="536">
        <v>24</v>
      </c>
      <c r="G435" s="536"/>
      <c r="H435" s="229">
        <v>0</v>
      </c>
      <c r="I435" s="536">
        <v>0</v>
      </c>
      <c r="J435" s="536"/>
      <c r="K435" s="229">
        <v>248.1</v>
      </c>
      <c r="L435" s="230">
        <v>24</v>
      </c>
      <c r="M435" s="229">
        <v>0</v>
      </c>
      <c r="N435" s="230">
        <v>0</v>
      </c>
      <c r="O435" s="231">
        <v>542</v>
      </c>
      <c r="P435" s="222" t="s">
        <v>212</v>
      </c>
      <c r="Q435" s="229">
        <v>0</v>
      </c>
      <c r="R435" s="230">
        <v>24</v>
      </c>
      <c r="S435" s="229">
        <v>0</v>
      </c>
      <c r="T435" s="536">
        <v>0</v>
      </c>
      <c r="U435" s="536"/>
      <c r="V435" s="229">
        <v>0</v>
      </c>
      <c r="W435" s="222" t="s">
        <v>212</v>
      </c>
      <c r="X435" s="530">
        <v>542</v>
      </c>
      <c r="Y435" s="530"/>
      <c r="Z435" s="222" t="s">
        <v>212</v>
      </c>
      <c r="AA435" s="232">
        <v>7848600</v>
      </c>
      <c r="AB435" s="233">
        <v>0</v>
      </c>
      <c r="AC435" s="215"/>
    </row>
    <row r="436" spans="1:29" ht="2.25" customHeight="1">
      <c r="A436" s="215"/>
      <c r="B436" s="529" t="s">
        <v>212</v>
      </c>
      <c r="C436" s="529"/>
      <c r="D436" s="219" t="s">
        <v>212</v>
      </c>
      <c r="E436" s="222" t="s">
        <v>212</v>
      </c>
      <c r="F436" s="531" t="s">
        <v>212</v>
      </c>
      <c r="G436" s="531"/>
      <c r="H436" s="222" t="s">
        <v>212</v>
      </c>
      <c r="I436" s="531" t="s">
        <v>212</v>
      </c>
      <c r="J436" s="531"/>
      <c r="K436" s="222" t="s">
        <v>212</v>
      </c>
      <c r="L436" s="222" t="s">
        <v>212</v>
      </c>
      <c r="M436" s="222" t="s">
        <v>212</v>
      </c>
      <c r="N436" s="222" t="s">
        <v>212</v>
      </c>
      <c r="O436" s="222" t="s">
        <v>212</v>
      </c>
      <c r="P436" s="222" t="s">
        <v>212</v>
      </c>
      <c r="Q436" s="222" t="s">
        <v>212</v>
      </c>
      <c r="R436" s="222" t="s">
        <v>212</v>
      </c>
      <c r="S436" s="222" t="s">
        <v>212</v>
      </c>
      <c r="T436" s="531" t="s">
        <v>212</v>
      </c>
      <c r="U436" s="531"/>
      <c r="V436" s="222" t="s">
        <v>212</v>
      </c>
      <c r="W436" s="222" t="s">
        <v>212</v>
      </c>
      <c r="X436" s="531" t="s">
        <v>212</v>
      </c>
      <c r="Y436" s="531"/>
      <c r="Z436" s="222" t="s">
        <v>212</v>
      </c>
      <c r="AA436" s="222" t="s">
        <v>212</v>
      </c>
      <c r="AB436" s="222" t="s">
        <v>212</v>
      </c>
      <c r="AC436" s="215"/>
    </row>
    <row r="437" spans="1:29" ht="13.5" customHeight="1">
      <c r="A437" s="215"/>
      <c r="B437" s="532">
        <v>38928</v>
      </c>
      <c r="C437" s="532"/>
      <c r="D437" s="219" t="s">
        <v>212</v>
      </c>
      <c r="E437" s="224">
        <v>284.39999999999998</v>
      </c>
      <c r="F437" s="533">
        <v>24</v>
      </c>
      <c r="G437" s="533"/>
      <c r="H437" s="224">
        <v>0</v>
      </c>
      <c r="I437" s="533">
        <v>0</v>
      </c>
      <c r="J437" s="533"/>
      <c r="K437" s="224">
        <v>240.3</v>
      </c>
      <c r="L437" s="225">
        <v>24</v>
      </c>
      <c r="M437" s="224">
        <v>0</v>
      </c>
      <c r="N437" s="225">
        <v>0</v>
      </c>
      <c r="O437" s="226">
        <v>524.70000000000005</v>
      </c>
      <c r="P437" s="222" t="s">
        <v>212</v>
      </c>
      <c r="Q437" s="224">
        <v>0</v>
      </c>
      <c r="R437" s="225">
        <v>0</v>
      </c>
      <c r="S437" s="224">
        <v>0</v>
      </c>
      <c r="T437" s="533">
        <v>0</v>
      </c>
      <c r="U437" s="533"/>
      <c r="V437" s="224">
        <v>0</v>
      </c>
      <c r="W437" s="222" t="s">
        <v>212</v>
      </c>
      <c r="X437" s="534">
        <v>524.70000000000005</v>
      </c>
      <c r="Y437" s="534"/>
      <c r="Z437" s="222" t="s">
        <v>212</v>
      </c>
      <c r="AA437" s="227">
        <v>7684700</v>
      </c>
      <c r="AB437" s="228">
        <v>0</v>
      </c>
      <c r="AC437" s="215"/>
    </row>
    <row r="438" spans="1:29" ht="2.25" customHeight="1">
      <c r="A438" s="215"/>
      <c r="B438" s="529" t="s">
        <v>212</v>
      </c>
      <c r="C438" s="529"/>
      <c r="D438" s="219" t="s">
        <v>212</v>
      </c>
      <c r="E438" s="222" t="s">
        <v>212</v>
      </c>
      <c r="F438" s="531" t="s">
        <v>212</v>
      </c>
      <c r="G438" s="531"/>
      <c r="H438" s="222" t="s">
        <v>212</v>
      </c>
      <c r="I438" s="531" t="s">
        <v>212</v>
      </c>
      <c r="J438" s="531"/>
      <c r="K438" s="222" t="s">
        <v>212</v>
      </c>
      <c r="L438" s="222" t="s">
        <v>212</v>
      </c>
      <c r="M438" s="222" t="s">
        <v>212</v>
      </c>
      <c r="N438" s="222" t="s">
        <v>212</v>
      </c>
      <c r="O438" s="222" t="s">
        <v>212</v>
      </c>
      <c r="P438" s="222" t="s">
        <v>212</v>
      </c>
      <c r="Q438" s="222" t="s">
        <v>212</v>
      </c>
      <c r="R438" s="222" t="s">
        <v>212</v>
      </c>
      <c r="S438" s="222" t="s">
        <v>212</v>
      </c>
      <c r="T438" s="531" t="s">
        <v>212</v>
      </c>
      <c r="U438" s="531"/>
      <c r="V438" s="222" t="s">
        <v>212</v>
      </c>
      <c r="W438" s="222" t="s">
        <v>212</v>
      </c>
      <c r="X438" s="531" t="s">
        <v>212</v>
      </c>
      <c r="Y438" s="531"/>
      <c r="Z438" s="222" t="s">
        <v>212</v>
      </c>
      <c r="AA438" s="222" t="s">
        <v>212</v>
      </c>
      <c r="AB438" s="222" t="s">
        <v>212</v>
      </c>
      <c r="AC438" s="215"/>
    </row>
    <row r="439" spans="1:29" ht="13.5" customHeight="1">
      <c r="A439" s="215"/>
      <c r="B439" s="535">
        <v>38929</v>
      </c>
      <c r="C439" s="535"/>
      <c r="D439" s="219" t="s">
        <v>212</v>
      </c>
      <c r="E439" s="229">
        <v>265.89999999999998</v>
      </c>
      <c r="F439" s="536">
        <v>24</v>
      </c>
      <c r="G439" s="536"/>
      <c r="H439" s="229">
        <v>234.8</v>
      </c>
      <c r="I439" s="536">
        <v>19</v>
      </c>
      <c r="J439" s="536"/>
      <c r="K439" s="229">
        <v>54.6</v>
      </c>
      <c r="L439" s="230">
        <v>5</v>
      </c>
      <c r="M439" s="229">
        <v>0</v>
      </c>
      <c r="N439" s="230">
        <v>0</v>
      </c>
      <c r="O439" s="231">
        <v>555.29999999999995</v>
      </c>
      <c r="P439" s="222" t="s">
        <v>212</v>
      </c>
      <c r="Q439" s="229">
        <v>0</v>
      </c>
      <c r="R439" s="230">
        <v>0</v>
      </c>
      <c r="S439" s="229">
        <v>0</v>
      </c>
      <c r="T439" s="536">
        <v>0</v>
      </c>
      <c r="U439" s="536"/>
      <c r="V439" s="229">
        <v>0</v>
      </c>
      <c r="W439" s="222" t="s">
        <v>212</v>
      </c>
      <c r="X439" s="530">
        <v>555.29999999999995</v>
      </c>
      <c r="Y439" s="530"/>
      <c r="Z439" s="222" t="s">
        <v>212</v>
      </c>
      <c r="AA439" s="232">
        <v>7863300</v>
      </c>
      <c r="AB439" s="233">
        <v>0</v>
      </c>
      <c r="AC439" s="215"/>
    </row>
    <row r="440" spans="1:29" ht="2.25" customHeight="1">
      <c r="A440" s="215"/>
      <c r="B440" s="529" t="s">
        <v>212</v>
      </c>
      <c r="C440" s="529"/>
      <c r="D440" s="219" t="s">
        <v>212</v>
      </c>
      <c r="E440" s="222" t="s">
        <v>212</v>
      </c>
      <c r="F440" s="531" t="s">
        <v>212</v>
      </c>
      <c r="G440" s="531"/>
      <c r="H440" s="222" t="s">
        <v>212</v>
      </c>
      <c r="I440" s="531" t="s">
        <v>212</v>
      </c>
      <c r="J440" s="531"/>
      <c r="K440" s="222" t="s">
        <v>212</v>
      </c>
      <c r="L440" s="222" t="s">
        <v>212</v>
      </c>
      <c r="M440" s="222" t="s">
        <v>212</v>
      </c>
      <c r="N440" s="222" t="s">
        <v>212</v>
      </c>
      <c r="O440" s="222" t="s">
        <v>212</v>
      </c>
      <c r="P440" s="222" t="s">
        <v>212</v>
      </c>
      <c r="Q440" s="222" t="s">
        <v>212</v>
      </c>
      <c r="R440" s="222" t="s">
        <v>212</v>
      </c>
      <c r="S440" s="222" t="s">
        <v>212</v>
      </c>
      <c r="T440" s="531" t="s">
        <v>212</v>
      </c>
      <c r="U440" s="531"/>
      <c r="V440" s="222" t="s">
        <v>212</v>
      </c>
      <c r="W440" s="222" t="s">
        <v>212</v>
      </c>
      <c r="X440" s="531" t="s">
        <v>212</v>
      </c>
      <c r="Y440" s="531"/>
      <c r="Z440" s="222" t="s">
        <v>212</v>
      </c>
      <c r="AA440" s="222" t="s">
        <v>212</v>
      </c>
      <c r="AB440" s="222" t="s">
        <v>212</v>
      </c>
      <c r="AC440" s="215"/>
    </row>
    <row r="441" spans="1:29" ht="13.5" customHeight="1">
      <c r="A441" s="215"/>
      <c r="B441" s="532">
        <v>38930</v>
      </c>
      <c r="C441" s="532"/>
      <c r="D441" s="219" t="s">
        <v>212</v>
      </c>
      <c r="E441" s="224">
        <v>221.1</v>
      </c>
      <c r="F441" s="533">
        <v>24</v>
      </c>
      <c r="G441" s="533"/>
      <c r="H441" s="224">
        <v>248.5</v>
      </c>
      <c r="I441" s="533">
        <v>24</v>
      </c>
      <c r="J441" s="533"/>
      <c r="K441" s="224">
        <v>76.5</v>
      </c>
      <c r="L441" s="225">
        <v>10</v>
      </c>
      <c r="M441" s="224">
        <v>0</v>
      </c>
      <c r="N441" s="225">
        <v>0</v>
      </c>
      <c r="O441" s="226">
        <v>546.1</v>
      </c>
      <c r="P441" s="222" t="s">
        <v>212</v>
      </c>
      <c r="Q441" s="224">
        <v>0</v>
      </c>
      <c r="R441" s="225">
        <v>0</v>
      </c>
      <c r="S441" s="224">
        <v>0</v>
      </c>
      <c r="T441" s="533">
        <v>0</v>
      </c>
      <c r="U441" s="533"/>
      <c r="V441" s="224">
        <v>0</v>
      </c>
      <c r="W441" s="222" t="s">
        <v>212</v>
      </c>
      <c r="X441" s="534">
        <v>546.1</v>
      </c>
      <c r="Y441" s="534"/>
      <c r="Z441" s="222" t="s">
        <v>212</v>
      </c>
      <c r="AA441" s="227">
        <v>8507900</v>
      </c>
      <c r="AB441" s="228">
        <v>207</v>
      </c>
      <c r="AC441" s="215"/>
    </row>
    <row r="442" spans="1:29" ht="2.25" customHeight="1">
      <c r="A442" s="215"/>
      <c r="B442" s="529" t="s">
        <v>212</v>
      </c>
      <c r="C442" s="529"/>
      <c r="D442" s="219" t="s">
        <v>212</v>
      </c>
      <c r="E442" s="222" t="s">
        <v>212</v>
      </c>
      <c r="F442" s="531" t="s">
        <v>212</v>
      </c>
      <c r="G442" s="531"/>
      <c r="H442" s="222" t="s">
        <v>212</v>
      </c>
      <c r="I442" s="531" t="s">
        <v>212</v>
      </c>
      <c r="J442" s="531"/>
      <c r="K442" s="222" t="s">
        <v>212</v>
      </c>
      <c r="L442" s="222" t="s">
        <v>212</v>
      </c>
      <c r="M442" s="222" t="s">
        <v>212</v>
      </c>
      <c r="N442" s="222" t="s">
        <v>212</v>
      </c>
      <c r="O442" s="222" t="s">
        <v>212</v>
      </c>
      <c r="P442" s="222" t="s">
        <v>212</v>
      </c>
      <c r="Q442" s="222" t="s">
        <v>212</v>
      </c>
      <c r="R442" s="222" t="s">
        <v>212</v>
      </c>
      <c r="S442" s="222" t="s">
        <v>212</v>
      </c>
      <c r="T442" s="531" t="s">
        <v>212</v>
      </c>
      <c r="U442" s="531"/>
      <c r="V442" s="222" t="s">
        <v>212</v>
      </c>
      <c r="W442" s="222" t="s">
        <v>212</v>
      </c>
      <c r="X442" s="531" t="s">
        <v>212</v>
      </c>
      <c r="Y442" s="531"/>
      <c r="Z442" s="222" t="s">
        <v>212</v>
      </c>
      <c r="AA442" s="222" t="s">
        <v>212</v>
      </c>
      <c r="AB442" s="222" t="s">
        <v>212</v>
      </c>
      <c r="AC442" s="215"/>
    </row>
    <row r="443" spans="1:29" ht="13.5" customHeight="1">
      <c r="A443" s="215"/>
      <c r="B443" s="535">
        <v>38931</v>
      </c>
      <c r="C443" s="535"/>
      <c r="D443" s="219" t="s">
        <v>212</v>
      </c>
      <c r="E443" s="229">
        <v>187.3</v>
      </c>
      <c r="F443" s="536">
        <v>24</v>
      </c>
      <c r="G443" s="536"/>
      <c r="H443" s="229">
        <v>84.9</v>
      </c>
      <c r="I443" s="536">
        <v>16</v>
      </c>
      <c r="J443" s="536"/>
      <c r="K443" s="229">
        <v>289.7</v>
      </c>
      <c r="L443" s="230">
        <v>24</v>
      </c>
      <c r="M443" s="229">
        <v>0</v>
      </c>
      <c r="N443" s="230">
        <v>0</v>
      </c>
      <c r="O443" s="231">
        <v>561.9</v>
      </c>
      <c r="P443" s="222" t="s">
        <v>212</v>
      </c>
      <c r="Q443" s="229">
        <v>0</v>
      </c>
      <c r="R443" s="230">
        <v>0</v>
      </c>
      <c r="S443" s="229">
        <v>0</v>
      </c>
      <c r="T443" s="536">
        <v>0</v>
      </c>
      <c r="U443" s="536"/>
      <c r="V443" s="229">
        <v>0</v>
      </c>
      <c r="W443" s="222" t="s">
        <v>212</v>
      </c>
      <c r="X443" s="530">
        <v>561.9</v>
      </c>
      <c r="Y443" s="530"/>
      <c r="Z443" s="222" t="s">
        <v>212</v>
      </c>
      <c r="AA443" s="232">
        <v>9217400</v>
      </c>
      <c r="AB443" s="233">
        <v>0</v>
      </c>
      <c r="AC443" s="215"/>
    </row>
    <row r="444" spans="1:29" ht="2.25" customHeight="1">
      <c r="A444" s="215"/>
      <c r="B444" s="529" t="s">
        <v>212</v>
      </c>
      <c r="C444" s="529"/>
      <c r="D444" s="219" t="s">
        <v>212</v>
      </c>
      <c r="E444" s="222" t="s">
        <v>212</v>
      </c>
      <c r="F444" s="531" t="s">
        <v>212</v>
      </c>
      <c r="G444" s="531"/>
      <c r="H444" s="222" t="s">
        <v>212</v>
      </c>
      <c r="I444" s="531" t="s">
        <v>212</v>
      </c>
      <c r="J444" s="531"/>
      <c r="K444" s="222" t="s">
        <v>212</v>
      </c>
      <c r="L444" s="222" t="s">
        <v>212</v>
      </c>
      <c r="M444" s="222" t="s">
        <v>212</v>
      </c>
      <c r="N444" s="222" t="s">
        <v>212</v>
      </c>
      <c r="O444" s="222" t="s">
        <v>212</v>
      </c>
      <c r="P444" s="222" t="s">
        <v>212</v>
      </c>
      <c r="Q444" s="222" t="s">
        <v>212</v>
      </c>
      <c r="R444" s="222" t="s">
        <v>212</v>
      </c>
      <c r="S444" s="222" t="s">
        <v>212</v>
      </c>
      <c r="T444" s="531" t="s">
        <v>212</v>
      </c>
      <c r="U444" s="531"/>
      <c r="V444" s="222" t="s">
        <v>212</v>
      </c>
      <c r="W444" s="222" t="s">
        <v>212</v>
      </c>
      <c r="X444" s="531" t="s">
        <v>212</v>
      </c>
      <c r="Y444" s="531"/>
      <c r="Z444" s="222" t="s">
        <v>212</v>
      </c>
      <c r="AA444" s="222" t="s">
        <v>212</v>
      </c>
      <c r="AB444" s="222" t="s">
        <v>212</v>
      </c>
      <c r="AC444" s="215"/>
    </row>
    <row r="445" spans="1:29" ht="13.5" customHeight="1">
      <c r="A445" s="215"/>
      <c r="B445" s="532">
        <v>38932</v>
      </c>
      <c r="C445" s="532"/>
      <c r="D445" s="219" t="s">
        <v>212</v>
      </c>
      <c r="E445" s="224">
        <v>323.39999999999998</v>
      </c>
      <c r="F445" s="533">
        <v>24</v>
      </c>
      <c r="G445" s="533"/>
      <c r="H445" s="224">
        <v>0</v>
      </c>
      <c r="I445" s="533">
        <v>0</v>
      </c>
      <c r="J445" s="533"/>
      <c r="K445" s="224">
        <v>333.3</v>
      </c>
      <c r="L445" s="225">
        <v>24</v>
      </c>
      <c r="M445" s="224">
        <v>0</v>
      </c>
      <c r="N445" s="225">
        <v>0</v>
      </c>
      <c r="O445" s="226">
        <v>656.7</v>
      </c>
      <c r="P445" s="222" t="s">
        <v>212</v>
      </c>
      <c r="Q445" s="224">
        <v>0</v>
      </c>
      <c r="R445" s="225">
        <v>0</v>
      </c>
      <c r="S445" s="224">
        <v>0</v>
      </c>
      <c r="T445" s="533">
        <v>0</v>
      </c>
      <c r="U445" s="533"/>
      <c r="V445" s="224">
        <v>0</v>
      </c>
      <c r="W445" s="222" t="s">
        <v>212</v>
      </c>
      <c r="X445" s="534">
        <v>656.7</v>
      </c>
      <c r="Y445" s="534"/>
      <c r="Z445" s="222" t="s">
        <v>212</v>
      </c>
      <c r="AA445" s="227">
        <v>8861600</v>
      </c>
      <c r="AB445" s="228">
        <v>0</v>
      </c>
      <c r="AC445" s="215"/>
    </row>
    <row r="446" spans="1:29" ht="2.25" customHeight="1">
      <c r="A446" s="215"/>
      <c r="B446" s="529" t="s">
        <v>212</v>
      </c>
      <c r="C446" s="529"/>
      <c r="D446" s="219" t="s">
        <v>212</v>
      </c>
      <c r="E446" s="222" t="s">
        <v>212</v>
      </c>
      <c r="F446" s="531" t="s">
        <v>212</v>
      </c>
      <c r="G446" s="531"/>
      <c r="H446" s="222" t="s">
        <v>212</v>
      </c>
      <c r="I446" s="531" t="s">
        <v>212</v>
      </c>
      <c r="J446" s="531"/>
      <c r="K446" s="222" t="s">
        <v>212</v>
      </c>
      <c r="L446" s="222" t="s">
        <v>212</v>
      </c>
      <c r="M446" s="222" t="s">
        <v>212</v>
      </c>
      <c r="N446" s="222" t="s">
        <v>212</v>
      </c>
      <c r="O446" s="222" t="s">
        <v>212</v>
      </c>
      <c r="P446" s="222" t="s">
        <v>212</v>
      </c>
      <c r="Q446" s="222" t="s">
        <v>212</v>
      </c>
      <c r="R446" s="222" t="s">
        <v>212</v>
      </c>
      <c r="S446" s="222" t="s">
        <v>212</v>
      </c>
      <c r="T446" s="531" t="s">
        <v>212</v>
      </c>
      <c r="U446" s="531"/>
      <c r="V446" s="222" t="s">
        <v>212</v>
      </c>
      <c r="W446" s="222" t="s">
        <v>212</v>
      </c>
      <c r="X446" s="531" t="s">
        <v>212</v>
      </c>
      <c r="Y446" s="531"/>
      <c r="Z446" s="222" t="s">
        <v>212</v>
      </c>
      <c r="AA446" s="222" t="s">
        <v>212</v>
      </c>
      <c r="AB446" s="222" t="s">
        <v>212</v>
      </c>
      <c r="AC446" s="215"/>
    </row>
    <row r="447" spans="1:29" ht="13.5" customHeight="1">
      <c r="A447" s="215"/>
      <c r="B447" s="535">
        <v>38933</v>
      </c>
      <c r="C447" s="535"/>
      <c r="D447" s="219" t="s">
        <v>212</v>
      </c>
      <c r="E447" s="229">
        <v>284.10000000000002</v>
      </c>
      <c r="F447" s="536">
        <v>24</v>
      </c>
      <c r="G447" s="536"/>
      <c r="H447" s="229">
        <v>93</v>
      </c>
      <c r="I447" s="536">
        <v>11</v>
      </c>
      <c r="J447" s="536"/>
      <c r="K447" s="229">
        <v>273.10000000000002</v>
      </c>
      <c r="L447" s="230">
        <v>24</v>
      </c>
      <c r="M447" s="229">
        <v>0</v>
      </c>
      <c r="N447" s="230">
        <v>0</v>
      </c>
      <c r="O447" s="231">
        <v>650.20000000000005</v>
      </c>
      <c r="P447" s="222" t="s">
        <v>212</v>
      </c>
      <c r="Q447" s="229">
        <v>0</v>
      </c>
      <c r="R447" s="230">
        <v>0</v>
      </c>
      <c r="S447" s="229">
        <v>0</v>
      </c>
      <c r="T447" s="536">
        <v>0</v>
      </c>
      <c r="U447" s="536"/>
      <c r="V447" s="229">
        <v>0</v>
      </c>
      <c r="W447" s="222" t="s">
        <v>212</v>
      </c>
      <c r="X447" s="530">
        <v>650.20000000000005</v>
      </c>
      <c r="Y447" s="530"/>
      <c r="Z447" s="222" t="s">
        <v>212</v>
      </c>
      <c r="AA447" s="232">
        <v>9373900</v>
      </c>
      <c r="AB447" s="233">
        <v>0</v>
      </c>
      <c r="AC447" s="215"/>
    </row>
    <row r="448" spans="1:29" ht="2.25" customHeight="1">
      <c r="A448" s="215"/>
      <c r="B448" s="529" t="s">
        <v>212</v>
      </c>
      <c r="C448" s="529"/>
      <c r="D448" s="219" t="s">
        <v>212</v>
      </c>
      <c r="E448" s="222" t="s">
        <v>212</v>
      </c>
      <c r="F448" s="531" t="s">
        <v>212</v>
      </c>
      <c r="G448" s="531"/>
      <c r="H448" s="222" t="s">
        <v>212</v>
      </c>
      <c r="I448" s="531" t="s">
        <v>212</v>
      </c>
      <c r="J448" s="531"/>
      <c r="K448" s="222" t="s">
        <v>212</v>
      </c>
      <c r="L448" s="222" t="s">
        <v>212</v>
      </c>
      <c r="M448" s="222" t="s">
        <v>212</v>
      </c>
      <c r="N448" s="222" t="s">
        <v>212</v>
      </c>
      <c r="O448" s="222" t="s">
        <v>212</v>
      </c>
      <c r="P448" s="222" t="s">
        <v>212</v>
      </c>
      <c r="Q448" s="222" t="s">
        <v>212</v>
      </c>
      <c r="R448" s="222" t="s">
        <v>212</v>
      </c>
      <c r="S448" s="222" t="s">
        <v>212</v>
      </c>
      <c r="T448" s="531" t="s">
        <v>212</v>
      </c>
      <c r="U448" s="531"/>
      <c r="V448" s="222" t="s">
        <v>212</v>
      </c>
      <c r="W448" s="222" t="s">
        <v>212</v>
      </c>
      <c r="X448" s="531" t="s">
        <v>212</v>
      </c>
      <c r="Y448" s="531"/>
      <c r="Z448" s="222" t="s">
        <v>212</v>
      </c>
      <c r="AA448" s="222" t="s">
        <v>212</v>
      </c>
      <c r="AB448" s="222" t="s">
        <v>212</v>
      </c>
      <c r="AC448" s="215"/>
    </row>
    <row r="449" spans="1:29" ht="13.5" customHeight="1">
      <c r="A449" s="215"/>
      <c r="B449" s="532">
        <v>38934</v>
      </c>
      <c r="C449" s="532"/>
      <c r="D449" s="219" t="s">
        <v>212</v>
      </c>
      <c r="E449" s="224">
        <v>259.60000000000002</v>
      </c>
      <c r="F449" s="533">
        <v>24</v>
      </c>
      <c r="G449" s="533"/>
      <c r="H449" s="224">
        <v>0</v>
      </c>
      <c r="I449" s="533">
        <v>1</v>
      </c>
      <c r="J449" s="533"/>
      <c r="K449" s="224">
        <v>249.2</v>
      </c>
      <c r="L449" s="225">
        <v>24</v>
      </c>
      <c r="M449" s="224">
        <v>0</v>
      </c>
      <c r="N449" s="225">
        <v>0</v>
      </c>
      <c r="O449" s="226">
        <v>508.8</v>
      </c>
      <c r="P449" s="222" t="s">
        <v>212</v>
      </c>
      <c r="Q449" s="224">
        <v>0</v>
      </c>
      <c r="R449" s="225">
        <v>0</v>
      </c>
      <c r="S449" s="224">
        <v>0</v>
      </c>
      <c r="T449" s="533">
        <v>0</v>
      </c>
      <c r="U449" s="533"/>
      <c r="V449" s="224">
        <v>0</v>
      </c>
      <c r="W449" s="222" t="s">
        <v>212</v>
      </c>
      <c r="X449" s="534">
        <v>508.8</v>
      </c>
      <c r="Y449" s="534"/>
      <c r="Z449" s="222" t="s">
        <v>212</v>
      </c>
      <c r="AA449" s="227">
        <v>7620564</v>
      </c>
      <c r="AB449" s="228">
        <v>1725</v>
      </c>
      <c r="AC449" s="215"/>
    </row>
    <row r="450" spans="1:29" ht="2.25" customHeight="1">
      <c r="A450" s="215"/>
      <c r="B450" s="529" t="s">
        <v>212</v>
      </c>
      <c r="C450" s="529"/>
      <c r="D450" s="219" t="s">
        <v>212</v>
      </c>
      <c r="E450" s="222" t="s">
        <v>212</v>
      </c>
      <c r="F450" s="531" t="s">
        <v>212</v>
      </c>
      <c r="G450" s="531"/>
      <c r="H450" s="222" t="s">
        <v>212</v>
      </c>
      <c r="I450" s="531" t="s">
        <v>212</v>
      </c>
      <c r="J450" s="531"/>
      <c r="K450" s="222" t="s">
        <v>212</v>
      </c>
      <c r="L450" s="222" t="s">
        <v>212</v>
      </c>
      <c r="M450" s="222" t="s">
        <v>212</v>
      </c>
      <c r="N450" s="222" t="s">
        <v>212</v>
      </c>
      <c r="O450" s="222" t="s">
        <v>212</v>
      </c>
      <c r="P450" s="222" t="s">
        <v>212</v>
      </c>
      <c r="Q450" s="222" t="s">
        <v>212</v>
      </c>
      <c r="R450" s="222" t="s">
        <v>212</v>
      </c>
      <c r="S450" s="222" t="s">
        <v>212</v>
      </c>
      <c r="T450" s="531" t="s">
        <v>212</v>
      </c>
      <c r="U450" s="531"/>
      <c r="V450" s="222" t="s">
        <v>212</v>
      </c>
      <c r="W450" s="222" t="s">
        <v>212</v>
      </c>
      <c r="X450" s="531" t="s">
        <v>212</v>
      </c>
      <c r="Y450" s="531"/>
      <c r="Z450" s="222" t="s">
        <v>212</v>
      </c>
      <c r="AA450" s="222" t="s">
        <v>212</v>
      </c>
      <c r="AB450" s="222" t="s">
        <v>212</v>
      </c>
      <c r="AC450" s="215"/>
    </row>
    <row r="451" spans="1:29" ht="13.5" customHeight="1">
      <c r="A451" s="215"/>
      <c r="B451" s="535">
        <v>38935</v>
      </c>
      <c r="C451" s="535"/>
      <c r="D451" s="219" t="s">
        <v>212</v>
      </c>
      <c r="E451" s="229">
        <v>225</v>
      </c>
      <c r="F451" s="536">
        <v>24</v>
      </c>
      <c r="G451" s="536"/>
      <c r="H451" s="229">
        <v>0</v>
      </c>
      <c r="I451" s="536">
        <v>0</v>
      </c>
      <c r="J451" s="536"/>
      <c r="K451" s="229">
        <v>206.4</v>
      </c>
      <c r="L451" s="230">
        <v>24</v>
      </c>
      <c r="M451" s="229">
        <v>0</v>
      </c>
      <c r="N451" s="230">
        <v>0</v>
      </c>
      <c r="O451" s="231">
        <v>431.4</v>
      </c>
      <c r="P451" s="222" t="s">
        <v>212</v>
      </c>
      <c r="Q451" s="229">
        <v>0</v>
      </c>
      <c r="R451" s="230">
        <v>0</v>
      </c>
      <c r="S451" s="229">
        <v>0</v>
      </c>
      <c r="T451" s="536">
        <v>0</v>
      </c>
      <c r="U451" s="536"/>
      <c r="V451" s="229">
        <v>0</v>
      </c>
      <c r="W451" s="222" t="s">
        <v>212</v>
      </c>
      <c r="X451" s="530">
        <v>431.4</v>
      </c>
      <c r="Y451" s="530"/>
      <c r="Z451" s="222" t="s">
        <v>212</v>
      </c>
      <c r="AA451" s="232">
        <v>6980268</v>
      </c>
      <c r="AB451" s="233">
        <v>221</v>
      </c>
      <c r="AC451" s="215"/>
    </row>
    <row r="452" spans="1:29" ht="2.25" customHeight="1">
      <c r="A452" s="215"/>
      <c r="B452" s="529" t="s">
        <v>212</v>
      </c>
      <c r="C452" s="529"/>
      <c r="D452" s="219" t="s">
        <v>212</v>
      </c>
      <c r="E452" s="222" t="s">
        <v>212</v>
      </c>
      <c r="F452" s="531" t="s">
        <v>212</v>
      </c>
      <c r="G452" s="531"/>
      <c r="H452" s="222" t="s">
        <v>212</v>
      </c>
      <c r="I452" s="531" t="s">
        <v>212</v>
      </c>
      <c r="J452" s="531"/>
      <c r="K452" s="222" t="s">
        <v>212</v>
      </c>
      <c r="L452" s="222" t="s">
        <v>212</v>
      </c>
      <c r="M452" s="222" t="s">
        <v>212</v>
      </c>
      <c r="N452" s="222" t="s">
        <v>212</v>
      </c>
      <c r="O452" s="222" t="s">
        <v>212</v>
      </c>
      <c r="P452" s="222" t="s">
        <v>212</v>
      </c>
      <c r="Q452" s="222" t="s">
        <v>212</v>
      </c>
      <c r="R452" s="222" t="s">
        <v>212</v>
      </c>
      <c r="S452" s="222" t="s">
        <v>212</v>
      </c>
      <c r="T452" s="531" t="s">
        <v>212</v>
      </c>
      <c r="U452" s="531"/>
      <c r="V452" s="222" t="s">
        <v>212</v>
      </c>
      <c r="W452" s="222" t="s">
        <v>212</v>
      </c>
      <c r="X452" s="531" t="s">
        <v>212</v>
      </c>
      <c r="Y452" s="531"/>
      <c r="Z452" s="222" t="s">
        <v>212</v>
      </c>
      <c r="AA452" s="222" t="s">
        <v>212</v>
      </c>
      <c r="AB452" s="222" t="s">
        <v>212</v>
      </c>
      <c r="AC452" s="215"/>
    </row>
    <row r="453" spans="1:29" ht="13.5" customHeight="1">
      <c r="A453" s="215"/>
      <c r="B453" s="532">
        <v>38936</v>
      </c>
      <c r="C453" s="532"/>
      <c r="D453" s="219" t="s">
        <v>212</v>
      </c>
      <c r="E453" s="224">
        <v>283.8</v>
      </c>
      <c r="F453" s="533">
        <v>24</v>
      </c>
      <c r="G453" s="533"/>
      <c r="H453" s="224">
        <v>0</v>
      </c>
      <c r="I453" s="533">
        <v>0</v>
      </c>
      <c r="J453" s="533"/>
      <c r="K453" s="224">
        <v>277.10000000000002</v>
      </c>
      <c r="L453" s="225">
        <v>24</v>
      </c>
      <c r="M453" s="224">
        <v>0</v>
      </c>
      <c r="N453" s="225">
        <v>0</v>
      </c>
      <c r="O453" s="226">
        <v>560.9</v>
      </c>
      <c r="P453" s="222" t="s">
        <v>212</v>
      </c>
      <c r="Q453" s="224">
        <v>0</v>
      </c>
      <c r="R453" s="225">
        <v>0</v>
      </c>
      <c r="S453" s="224">
        <v>0</v>
      </c>
      <c r="T453" s="533">
        <v>0</v>
      </c>
      <c r="U453" s="533"/>
      <c r="V453" s="224">
        <v>0</v>
      </c>
      <c r="W453" s="222" t="s">
        <v>212</v>
      </c>
      <c r="X453" s="534">
        <v>560.9</v>
      </c>
      <c r="Y453" s="534"/>
      <c r="Z453" s="222" t="s">
        <v>212</v>
      </c>
      <c r="AA453" s="227">
        <v>8047600</v>
      </c>
      <c r="AB453" s="228">
        <v>0</v>
      </c>
      <c r="AC453" s="215"/>
    </row>
    <row r="454" spans="1:29" ht="2.25" customHeight="1">
      <c r="A454" s="215"/>
      <c r="B454" s="529" t="s">
        <v>212</v>
      </c>
      <c r="C454" s="529"/>
      <c r="D454" s="219" t="s">
        <v>212</v>
      </c>
      <c r="E454" s="222" t="s">
        <v>212</v>
      </c>
      <c r="F454" s="531" t="s">
        <v>212</v>
      </c>
      <c r="G454" s="531"/>
      <c r="H454" s="222" t="s">
        <v>212</v>
      </c>
      <c r="I454" s="531" t="s">
        <v>212</v>
      </c>
      <c r="J454" s="531"/>
      <c r="K454" s="222" t="s">
        <v>212</v>
      </c>
      <c r="L454" s="222" t="s">
        <v>212</v>
      </c>
      <c r="M454" s="222" t="s">
        <v>212</v>
      </c>
      <c r="N454" s="222" t="s">
        <v>212</v>
      </c>
      <c r="O454" s="222" t="s">
        <v>212</v>
      </c>
      <c r="P454" s="222" t="s">
        <v>212</v>
      </c>
      <c r="Q454" s="222" t="s">
        <v>212</v>
      </c>
      <c r="R454" s="222" t="s">
        <v>212</v>
      </c>
      <c r="S454" s="222" t="s">
        <v>212</v>
      </c>
      <c r="T454" s="531" t="s">
        <v>212</v>
      </c>
      <c r="U454" s="531"/>
      <c r="V454" s="222" t="s">
        <v>212</v>
      </c>
      <c r="W454" s="222" t="s">
        <v>212</v>
      </c>
      <c r="X454" s="531" t="s">
        <v>212</v>
      </c>
      <c r="Y454" s="531"/>
      <c r="Z454" s="222" t="s">
        <v>212</v>
      </c>
      <c r="AA454" s="222" t="s">
        <v>212</v>
      </c>
      <c r="AB454" s="222" t="s">
        <v>212</v>
      </c>
      <c r="AC454" s="215"/>
    </row>
    <row r="455" spans="1:29" ht="13.5" customHeight="1">
      <c r="A455" s="215"/>
      <c r="B455" s="535">
        <v>38937</v>
      </c>
      <c r="C455" s="535"/>
      <c r="D455" s="219" t="s">
        <v>212</v>
      </c>
      <c r="E455" s="229">
        <v>293.60000000000002</v>
      </c>
      <c r="F455" s="536">
        <v>24</v>
      </c>
      <c r="G455" s="536"/>
      <c r="H455" s="229">
        <v>0</v>
      </c>
      <c r="I455" s="536">
        <v>0</v>
      </c>
      <c r="J455" s="536"/>
      <c r="K455" s="229">
        <v>291.7</v>
      </c>
      <c r="L455" s="230">
        <v>24</v>
      </c>
      <c r="M455" s="229">
        <v>0</v>
      </c>
      <c r="N455" s="230">
        <v>0</v>
      </c>
      <c r="O455" s="231">
        <v>585.29999999999995</v>
      </c>
      <c r="P455" s="222" t="s">
        <v>212</v>
      </c>
      <c r="Q455" s="229">
        <v>0</v>
      </c>
      <c r="R455" s="230">
        <v>0</v>
      </c>
      <c r="S455" s="229">
        <v>0</v>
      </c>
      <c r="T455" s="536">
        <v>0</v>
      </c>
      <c r="U455" s="536"/>
      <c r="V455" s="229">
        <v>0</v>
      </c>
      <c r="W455" s="222" t="s">
        <v>212</v>
      </c>
      <c r="X455" s="530">
        <v>585.29999999999995</v>
      </c>
      <c r="Y455" s="530"/>
      <c r="Z455" s="222" t="s">
        <v>212</v>
      </c>
      <c r="AA455" s="232">
        <v>8195300</v>
      </c>
      <c r="AB455" s="233">
        <v>0</v>
      </c>
      <c r="AC455" s="215"/>
    </row>
    <row r="456" spans="1:29" ht="2.25" customHeight="1">
      <c r="A456" s="215"/>
      <c r="B456" s="529" t="s">
        <v>212</v>
      </c>
      <c r="C456" s="529"/>
      <c r="D456" s="219" t="s">
        <v>212</v>
      </c>
      <c r="E456" s="222" t="s">
        <v>212</v>
      </c>
      <c r="F456" s="531" t="s">
        <v>212</v>
      </c>
      <c r="G456" s="531"/>
      <c r="H456" s="222" t="s">
        <v>212</v>
      </c>
      <c r="I456" s="531" t="s">
        <v>212</v>
      </c>
      <c r="J456" s="531"/>
      <c r="K456" s="222" t="s">
        <v>212</v>
      </c>
      <c r="L456" s="222" t="s">
        <v>212</v>
      </c>
      <c r="M456" s="222" t="s">
        <v>212</v>
      </c>
      <c r="N456" s="222" t="s">
        <v>212</v>
      </c>
      <c r="O456" s="222" t="s">
        <v>212</v>
      </c>
      <c r="P456" s="222" t="s">
        <v>212</v>
      </c>
      <c r="Q456" s="222" t="s">
        <v>212</v>
      </c>
      <c r="R456" s="222" t="s">
        <v>212</v>
      </c>
      <c r="S456" s="222" t="s">
        <v>212</v>
      </c>
      <c r="T456" s="531" t="s">
        <v>212</v>
      </c>
      <c r="U456" s="531"/>
      <c r="V456" s="222" t="s">
        <v>212</v>
      </c>
      <c r="W456" s="222" t="s">
        <v>212</v>
      </c>
      <c r="X456" s="531" t="s">
        <v>212</v>
      </c>
      <c r="Y456" s="531"/>
      <c r="Z456" s="222" t="s">
        <v>212</v>
      </c>
      <c r="AA456" s="222" t="s">
        <v>212</v>
      </c>
      <c r="AB456" s="222" t="s">
        <v>212</v>
      </c>
      <c r="AC456" s="215"/>
    </row>
    <row r="457" spans="1:29" ht="13.5" customHeight="1">
      <c r="A457" s="215"/>
      <c r="B457" s="532">
        <v>38938</v>
      </c>
      <c r="C457" s="532"/>
      <c r="D457" s="219" t="s">
        <v>212</v>
      </c>
      <c r="E457" s="224">
        <v>279.60000000000002</v>
      </c>
      <c r="F457" s="533">
        <v>24</v>
      </c>
      <c r="G457" s="533"/>
      <c r="H457" s="224">
        <v>0</v>
      </c>
      <c r="I457" s="533">
        <v>0</v>
      </c>
      <c r="J457" s="533"/>
      <c r="K457" s="224">
        <v>264.10000000000002</v>
      </c>
      <c r="L457" s="225">
        <v>24</v>
      </c>
      <c r="M457" s="224">
        <v>0</v>
      </c>
      <c r="N457" s="225">
        <v>0</v>
      </c>
      <c r="O457" s="226">
        <v>543.70000000000005</v>
      </c>
      <c r="P457" s="222" t="s">
        <v>212</v>
      </c>
      <c r="Q457" s="224">
        <v>0</v>
      </c>
      <c r="R457" s="225">
        <v>0</v>
      </c>
      <c r="S457" s="224">
        <v>0</v>
      </c>
      <c r="T457" s="533">
        <v>0</v>
      </c>
      <c r="U457" s="533"/>
      <c r="V457" s="224">
        <v>0</v>
      </c>
      <c r="W457" s="222" t="s">
        <v>212</v>
      </c>
      <c r="X457" s="534">
        <v>543.70000000000005</v>
      </c>
      <c r="Y457" s="534"/>
      <c r="Z457" s="222" t="s">
        <v>212</v>
      </c>
      <c r="AA457" s="227">
        <v>7861000</v>
      </c>
      <c r="AB457" s="228">
        <v>0</v>
      </c>
      <c r="AC457" s="215"/>
    </row>
    <row r="458" spans="1:29" ht="2.25" customHeight="1">
      <c r="A458" s="215"/>
      <c r="B458" s="529" t="s">
        <v>212</v>
      </c>
      <c r="C458" s="529"/>
      <c r="D458" s="219" t="s">
        <v>212</v>
      </c>
      <c r="E458" s="222" t="s">
        <v>212</v>
      </c>
      <c r="F458" s="531" t="s">
        <v>212</v>
      </c>
      <c r="G458" s="531"/>
      <c r="H458" s="222" t="s">
        <v>212</v>
      </c>
      <c r="I458" s="531" t="s">
        <v>212</v>
      </c>
      <c r="J458" s="531"/>
      <c r="K458" s="222" t="s">
        <v>212</v>
      </c>
      <c r="L458" s="222" t="s">
        <v>212</v>
      </c>
      <c r="M458" s="222" t="s">
        <v>212</v>
      </c>
      <c r="N458" s="222" t="s">
        <v>212</v>
      </c>
      <c r="O458" s="222" t="s">
        <v>212</v>
      </c>
      <c r="P458" s="222" t="s">
        <v>212</v>
      </c>
      <c r="Q458" s="222" t="s">
        <v>212</v>
      </c>
      <c r="R458" s="222" t="s">
        <v>212</v>
      </c>
      <c r="S458" s="222" t="s">
        <v>212</v>
      </c>
      <c r="T458" s="531" t="s">
        <v>212</v>
      </c>
      <c r="U458" s="531"/>
      <c r="V458" s="222" t="s">
        <v>212</v>
      </c>
      <c r="W458" s="222" t="s">
        <v>212</v>
      </c>
      <c r="X458" s="531" t="s">
        <v>212</v>
      </c>
      <c r="Y458" s="531"/>
      <c r="Z458" s="222" t="s">
        <v>212</v>
      </c>
      <c r="AA458" s="222" t="s">
        <v>212</v>
      </c>
      <c r="AB458" s="222" t="s">
        <v>212</v>
      </c>
      <c r="AC458" s="215"/>
    </row>
    <row r="459" spans="1:29" ht="13.5" customHeight="1">
      <c r="A459" s="215"/>
      <c r="B459" s="535">
        <v>38939</v>
      </c>
      <c r="C459" s="535"/>
      <c r="D459" s="219" t="s">
        <v>212</v>
      </c>
      <c r="E459" s="229">
        <v>290.10000000000002</v>
      </c>
      <c r="F459" s="536">
        <v>24</v>
      </c>
      <c r="G459" s="536"/>
      <c r="H459" s="229">
        <v>5.4</v>
      </c>
      <c r="I459" s="536">
        <v>1</v>
      </c>
      <c r="J459" s="536"/>
      <c r="K459" s="229">
        <v>293.10000000000002</v>
      </c>
      <c r="L459" s="230">
        <v>24</v>
      </c>
      <c r="M459" s="229">
        <v>0</v>
      </c>
      <c r="N459" s="230">
        <v>0</v>
      </c>
      <c r="O459" s="231">
        <v>588.6</v>
      </c>
      <c r="P459" s="222" t="s">
        <v>212</v>
      </c>
      <c r="Q459" s="229">
        <v>0</v>
      </c>
      <c r="R459" s="230">
        <v>0</v>
      </c>
      <c r="S459" s="229">
        <v>0</v>
      </c>
      <c r="T459" s="536">
        <v>0</v>
      </c>
      <c r="U459" s="536"/>
      <c r="V459" s="229">
        <v>0</v>
      </c>
      <c r="W459" s="222" t="s">
        <v>212</v>
      </c>
      <c r="X459" s="530">
        <v>588.6</v>
      </c>
      <c r="Y459" s="530"/>
      <c r="Z459" s="222" t="s">
        <v>212</v>
      </c>
      <c r="AA459" s="232">
        <v>8266400</v>
      </c>
      <c r="AB459" s="233">
        <v>510</v>
      </c>
      <c r="AC459" s="215"/>
    </row>
    <row r="460" spans="1:29" ht="2.25" customHeight="1">
      <c r="A460" s="215"/>
      <c r="B460" s="529" t="s">
        <v>212</v>
      </c>
      <c r="C460" s="529"/>
      <c r="D460" s="219" t="s">
        <v>212</v>
      </c>
      <c r="E460" s="222" t="s">
        <v>212</v>
      </c>
      <c r="F460" s="531" t="s">
        <v>212</v>
      </c>
      <c r="G460" s="531"/>
      <c r="H460" s="222" t="s">
        <v>212</v>
      </c>
      <c r="I460" s="531" t="s">
        <v>212</v>
      </c>
      <c r="J460" s="531"/>
      <c r="K460" s="222" t="s">
        <v>212</v>
      </c>
      <c r="L460" s="222" t="s">
        <v>212</v>
      </c>
      <c r="M460" s="222" t="s">
        <v>212</v>
      </c>
      <c r="N460" s="222" t="s">
        <v>212</v>
      </c>
      <c r="O460" s="222" t="s">
        <v>212</v>
      </c>
      <c r="P460" s="222" t="s">
        <v>212</v>
      </c>
      <c r="Q460" s="222" t="s">
        <v>212</v>
      </c>
      <c r="R460" s="222" t="s">
        <v>212</v>
      </c>
      <c r="S460" s="222" t="s">
        <v>212</v>
      </c>
      <c r="T460" s="531" t="s">
        <v>212</v>
      </c>
      <c r="U460" s="531"/>
      <c r="V460" s="222" t="s">
        <v>212</v>
      </c>
      <c r="W460" s="222" t="s">
        <v>212</v>
      </c>
      <c r="X460" s="531" t="s">
        <v>212</v>
      </c>
      <c r="Y460" s="531"/>
      <c r="Z460" s="222" t="s">
        <v>212</v>
      </c>
      <c r="AA460" s="222" t="s">
        <v>212</v>
      </c>
      <c r="AB460" s="222" t="s">
        <v>212</v>
      </c>
      <c r="AC460" s="215"/>
    </row>
    <row r="461" spans="1:29" ht="13.5" customHeight="1">
      <c r="A461" s="215"/>
      <c r="B461" s="532">
        <v>38940</v>
      </c>
      <c r="C461" s="532"/>
      <c r="D461" s="219" t="s">
        <v>212</v>
      </c>
      <c r="E461" s="224">
        <v>310</v>
      </c>
      <c r="F461" s="533">
        <v>24</v>
      </c>
      <c r="G461" s="533"/>
      <c r="H461" s="224">
        <v>0</v>
      </c>
      <c r="I461" s="533">
        <v>0</v>
      </c>
      <c r="J461" s="533"/>
      <c r="K461" s="224">
        <v>304.60000000000002</v>
      </c>
      <c r="L461" s="225">
        <v>24</v>
      </c>
      <c r="M461" s="224">
        <v>0</v>
      </c>
      <c r="N461" s="225">
        <v>0</v>
      </c>
      <c r="O461" s="226">
        <v>614.6</v>
      </c>
      <c r="P461" s="222" t="s">
        <v>212</v>
      </c>
      <c r="Q461" s="224">
        <v>0</v>
      </c>
      <c r="R461" s="225">
        <v>0</v>
      </c>
      <c r="S461" s="224">
        <v>0</v>
      </c>
      <c r="T461" s="533">
        <v>0</v>
      </c>
      <c r="U461" s="533"/>
      <c r="V461" s="224">
        <v>0</v>
      </c>
      <c r="W461" s="222" t="s">
        <v>212</v>
      </c>
      <c r="X461" s="534">
        <v>614.6</v>
      </c>
      <c r="Y461" s="534"/>
      <c r="Z461" s="222" t="s">
        <v>212</v>
      </c>
      <c r="AA461" s="227">
        <v>8417500</v>
      </c>
      <c r="AB461" s="228">
        <v>0</v>
      </c>
      <c r="AC461" s="215"/>
    </row>
    <row r="462" spans="1:29" ht="2.25" customHeight="1">
      <c r="A462" s="215"/>
      <c r="B462" s="529" t="s">
        <v>212</v>
      </c>
      <c r="C462" s="529"/>
      <c r="D462" s="219" t="s">
        <v>212</v>
      </c>
      <c r="E462" s="222" t="s">
        <v>212</v>
      </c>
      <c r="F462" s="531" t="s">
        <v>212</v>
      </c>
      <c r="G462" s="531"/>
      <c r="H462" s="222" t="s">
        <v>212</v>
      </c>
      <c r="I462" s="531" t="s">
        <v>212</v>
      </c>
      <c r="J462" s="531"/>
      <c r="K462" s="222" t="s">
        <v>212</v>
      </c>
      <c r="L462" s="222" t="s">
        <v>212</v>
      </c>
      <c r="M462" s="222" t="s">
        <v>212</v>
      </c>
      <c r="N462" s="222" t="s">
        <v>212</v>
      </c>
      <c r="O462" s="222" t="s">
        <v>212</v>
      </c>
      <c r="P462" s="222" t="s">
        <v>212</v>
      </c>
      <c r="Q462" s="222" t="s">
        <v>212</v>
      </c>
      <c r="R462" s="222" t="s">
        <v>212</v>
      </c>
      <c r="S462" s="222" t="s">
        <v>212</v>
      </c>
      <c r="T462" s="531" t="s">
        <v>212</v>
      </c>
      <c r="U462" s="531"/>
      <c r="V462" s="222" t="s">
        <v>212</v>
      </c>
      <c r="W462" s="222" t="s">
        <v>212</v>
      </c>
      <c r="X462" s="531" t="s">
        <v>212</v>
      </c>
      <c r="Y462" s="531"/>
      <c r="Z462" s="222" t="s">
        <v>212</v>
      </c>
      <c r="AA462" s="222" t="s">
        <v>212</v>
      </c>
      <c r="AB462" s="222" t="s">
        <v>212</v>
      </c>
      <c r="AC462" s="215"/>
    </row>
    <row r="463" spans="1:29" ht="13.5" customHeight="1">
      <c r="A463" s="215"/>
      <c r="B463" s="535">
        <v>38941</v>
      </c>
      <c r="C463" s="535"/>
      <c r="D463" s="219" t="s">
        <v>212</v>
      </c>
      <c r="E463" s="229">
        <v>291.60000000000002</v>
      </c>
      <c r="F463" s="536">
        <v>24</v>
      </c>
      <c r="G463" s="536"/>
      <c r="H463" s="229">
        <v>0</v>
      </c>
      <c r="I463" s="536">
        <v>0</v>
      </c>
      <c r="J463" s="536"/>
      <c r="K463" s="229">
        <v>288.60000000000002</v>
      </c>
      <c r="L463" s="230">
        <v>24</v>
      </c>
      <c r="M463" s="229">
        <v>0</v>
      </c>
      <c r="N463" s="230">
        <v>0</v>
      </c>
      <c r="O463" s="231">
        <v>580.20000000000005</v>
      </c>
      <c r="P463" s="222" t="s">
        <v>212</v>
      </c>
      <c r="Q463" s="229">
        <v>0</v>
      </c>
      <c r="R463" s="230">
        <v>0</v>
      </c>
      <c r="S463" s="229">
        <v>0</v>
      </c>
      <c r="T463" s="536">
        <v>0</v>
      </c>
      <c r="U463" s="536"/>
      <c r="V463" s="229">
        <v>0</v>
      </c>
      <c r="W463" s="222" t="s">
        <v>212</v>
      </c>
      <c r="X463" s="530">
        <v>580.20000000000005</v>
      </c>
      <c r="Y463" s="530"/>
      <c r="Z463" s="222" t="s">
        <v>212</v>
      </c>
      <c r="AA463" s="232">
        <v>8180300</v>
      </c>
      <c r="AB463" s="233">
        <v>0</v>
      </c>
      <c r="AC463" s="215"/>
    </row>
    <row r="464" spans="1:29" ht="2.25" customHeight="1">
      <c r="A464" s="215"/>
      <c r="B464" s="529" t="s">
        <v>212</v>
      </c>
      <c r="C464" s="529"/>
      <c r="D464" s="219" t="s">
        <v>212</v>
      </c>
      <c r="E464" s="222" t="s">
        <v>212</v>
      </c>
      <c r="F464" s="531" t="s">
        <v>212</v>
      </c>
      <c r="G464" s="531"/>
      <c r="H464" s="222" t="s">
        <v>212</v>
      </c>
      <c r="I464" s="531" t="s">
        <v>212</v>
      </c>
      <c r="J464" s="531"/>
      <c r="K464" s="222" t="s">
        <v>212</v>
      </c>
      <c r="L464" s="222" t="s">
        <v>212</v>
      </c>
      <c r="M464" s="222" t="s">
        <v>212</v>
      </c>
      <c r="N464" s="222" t="s">
        <v>212</v>
      </c>
      <c r="O464" s="222" t="s">
        <v>212</v>
      </c>
      <c r="P464" s="222" t="s">
        <v>212</v>
      </c>
      <c r="Q464" s="222" t="s">
        <v>212</v>
      </c>
      <c r="R464" s="222" t="s">
        <v>212</v>
      </c>
      <c r="S464" s="222" t="s">
        <v>212</v>
      </c>
      <c r="T464" s="531" t="s">
        <v>212</v>
      </c>
      <c r="U464" s="531"/>
      <c r="V464" s="222" t="s">
        <v>212</v>
      </c>
      <c r="W464" s="222" t="s">
        <v>212</v>
      </c>
      <c r="X464" s="531" t="s">
        <v>212</v>
      </c>
      <c r="Y464" s="531"/>
      <c r="Z464" s="222" t="s">
        <v>212</v>
      </c>
      <c r="AA464" s="222" t="s">
        <v>212</v>
      </c>
      <c r="AB464" s="222" t="s">
        <v>212</v>
      </c>
      <c r="AC464" s="215"/>
    </row>
    <row r="465" spans="1:29" ht="13.5" customHeight="1">
      <c r="A465" s="215"/>
      <c r="B465" s="532">
        <v>38942</v>
      </c>
      <c r="C465" s="532"/>
      <c r="D465" s="219" t="s">
        <v>212</v>
      </c>
      <c r="E465" s="224">
        <v>271.2</v>
      </c>
      <c r="F465" s="533">
        <v>24</v>
      </c>
      <c r="G465" s="533"/>
      <c r="H465" s="224">
        <v>0</v>
      </c>
      <c r="I465" s="533">
        <v>0</v>
      </c>
      <c r="J465" s="533"/>
      <c r="K465" s="224">
        <v>264.7</v>
      </c>
      <c r="L465" s="225">
        <v>24</v>
      </c>
      <c r="M465" s="224">
        <v>0</v>
      </c>
      <c r="N465" s="225">
        <v>0</v>
      </c>
      <c r="O465" s="226">
        <v>535.9</v>
      </c>
      <c r="P465" s="222" t="s">
        <v>212</v>
      </c>
      <c r="Q465" s="224">
        <v>0</v>
      </c>
      <c r="R465" s="225">
        <v>0</v>
      </c>
      <c r="S465" s="224">
        <v>0</v>
      </c>
      <c r="T465" s="533">
        <v>0</v>
      </c>
      <c r="U465" s="533"/>
      <c r="V465" s="224">
        <v>0</v>
      </c>
      <c r="W465" s="222" t="s">
        <v>212</v>
      </c>
      <c r="X465" s="534">
        <v>535.9</v>
      </c>
      <c r="Y465" s="534"/>
      <c r="Z465" s="222" t="s">
        <v>212</v>
      </c>
      <c r="AA465" s="227">
        <v>7828700</v>
      </c>
      <c r="AB465" s="228">
        <v>0</v>
      </c>
      <c r="AC465" s="215"/>
    </row>
    <row r="466" spans="1:29" ht="2.25" customHeight="1">
      <c r="A466" s="215"/>
      <c r="B466" s="529" t="s">
        <v>212</v>
      </c>
      <c r="C466" s="529"/>
      <c r="D466" s="219" t="s">
        <v>212</v>
      </c>
      <c r="E466" s="222" t="s">
        <v>212</v>
      </c>
      <c r="F466" s="531" t="s">
        <v>212</v>
      </c>
      <c r="G466" s="531"/>
      <c r="H466" s="222" t="s">
        <v>212</v>
      </c>
      <c r="I466" s="531" t="s">
        <v>212</v>
      </c>
      <c r="J466" s="531"/>
      <c r="K466" s="222" t="s">
        <v>212</v>
      </c>
      <c r="L466" s="222" t="s">
        <v>212</v>
      </c>
      <c r="M466" s="222" t="s">
        <v>212</v>
      </c>
      <c r="N466" s="222" t="s">
        <v>212</v>
      </c>
      <c r="O466" s="222" t="s">
        <v>212</v>
      </c>
      <c r="P466" s="222" t="s">
        <v>212</v>
      </c>
      <c r="Q466" s="222" t="s">
        <v>212</v>
      </c>
      <c r="R466" s="222" t="s">
        <v>212</v>
      </c>
      <c r="S466" s="222" t="s">
        <v>212</v>
      </c>
      <c r="T466" s="531" t="s">
        <v>212</v>
      </c>
      <c r="U466" s="531"/>
      <c r="V466" s="222" t="s">
        <v>212</v>
      </c>
      <c r="W466" s="222" t="s">
        <v>212</v>
      </c>
      <c r="X466" s="531" t="s">
        <v>212</v>
      </c>
      <c r="Y466" s="531"/>
      <c r="Z466" s="222" t="s">
        <v>212</v>
      </c>
      <c r="AA466" s="222" t="s">
        <v>212</v>
      </c>
      <c r="AB466" s="222" t="s">
        <v>212</v>
      </c>
      <c r="AC466" s="215"/>
    </row>
    <row r="467" spans="1:29" ht="13.5" customHeight="1">
      <c r="A467" s="215"/>
      <c r="B467" s="535">
        <v>38943</v>
      </c>
      <c r="C467" s="535"/>
      <c r="D467" s="219" t="s">
        <v>212</v>
      </c>
      <c r="E467" s="229">
        <v>252.7</v>
      </c>
      <c r="F467" s="536">
        <v>24</v>
      </c>
      <c r="G467" s="536"/>
      <c r="H467" s="229">
        <v>0</v>
      </c>
      <c r="I467" s="536">
        <v>0</v>
      </c>
      <c r="J467" s="536"/>
      <c r="K467" s="229">
        <v>237.4</v>
      </c>
      <c r="L467" s="230">
        <v>24</v>
      </c>
      <c r="M467" s="229">
        <v>0</v>
      </c>
      <c r="N467" s="230">
        <v>0</v>
      </c>
      <c r="O467" s="231">
        <v>490.1</v>
      </c>
      <c r="P467" s="222" t="s">
        <v>212</v>
      </c>
      <c r="Q467" s="229">
        <v>0</v>
      </c>
      <c r="R467" s="230">
        <v>0</v>
      </c>
      <c r="S467" s="229">
        <v>0</v>
      </c>
      <c r="T467" s="536">
        <v>0</v>
      </c>
      <c r="U467" s="536"/>
      <c r="V467" s="229">
        <v>0</v>
      </c>
      <c r="W467" s="222" t="s">
        <v>212</v>
      </c>
      <c r="X467" s="530">
        <v>490.1</v>
      </c>
      <c r="Y467" s="530"/>
      <c r="Z467" s="222" t="s">
        <v>212</v>
      </c>
      <c r="AA467" s="232">
        <v>7554600</v>
      </c>
      <c r="AB467" s="233">
        <v>0</v>
      </c>
      <c r="AC467" s="215"/>
    </row>
    <row r="468" spans="1:29" ht="2.25" customHeight="1">
      <c r="A468" s="215"/>
      <c r="B468" s="529" t="s">
        <v>212</v>
      </c>
      <c r="C468" s="529"/>
      <c r="D468" s="219" t="s">
        <v>212</v>
      </c>
      <c r="E468" s="222" t="s">
        <v>212</v>
      </c>
      <c r="F468" s="531" t="s">
        <v>212</v>
      </c>
      <c r="G468" s="531"/>
      <c r="H468" s="222" t="s">
        <v>212</v>
      </c>
      <c r="I468" s="531" t="s">
        <v>212</v>
      </c>
      <c r="J468" s="531"/>
      <c r="K468" s="222" t="s">
        <v>212</v>
      </c>
      <c r="L468" s="222" t="s">
        <v>212</v>
      </c>
      <c r="M468" s="222" t="s">
        <v>212</v>
      </c>
      <c r="N468" s="222" t="s">
        <v>212</v>
      </c>
      <c r="O468" s="222" t="s">
        <v>212</v>
      </c>
      <c r="P468" s="222" t="s">
        <v>212</v>
      </c>
      <c r="Q468" s="222" t="s">
        <v>212</v>
      </c>
      <c r="R468" s="222" t="s">
        <v>212</v>
      </c>
      <c r="S468" s="222" t="s">
        <v>212</v>
      </c>
      <c r="T468" s="531" t="s">
        <v>212</v>
      </c>
      <c r="U468" s="531"/>
      <c r="V468" s="222" t="s">
        <v>212</v>
      </c>
      <c r="W468" s="222" t="s">
        <v>212</v>
      </c>
      <c r="X468" s="531" t="s">
        <v>212</v>
      </c>
      <c r="Y468" s="531"/>
      <c r="Z468" s="222" t="s">
        <v>212</v>
      </c>
      <c r="AA468" s="222" t="s">
        <v>212</v>
      </c>
      <c r="AB468" s="222" t="s">
        <v>212</v>
      </c>
      <c r="AC468" s="215"/>
    </row>
    <row r="469" spans="1:29" ht="13.5" customHeight="1">
      <c r="A469" s="215"/>
      <c r="B469" s="532">
        <v>38944</v>
      </c>
      <c r="C469" s="532"/>
      <c r="D469" s="219" t="s">
        <v>212</v>
      </c>
      <c r="E469" s="224">
        <v>245.5</v>
      </c>
      <c r="F469" s="533">
        <v>24</v>
      </c>
      <c r="G469" s="533"/>
      <c r="H469" s="224">
        <v>200.2</v>
      </c>
      <c r="I469" s="533">
        <v>16</v>
      </c>
      <c r="J469" s="533"/>
      <c r="K469" s="224">
        <v>105.9</v>
      </c>
      <c r="L469" s="225">
        <v>9</v>
      </c>
      <c r="M469" s="224">
        <v>0</v>
      </c>
      <c r="N469" s="225">
        <v>0</v>
      </c>
      <c r="O469" s="226">
        <v>551.6</v>
      </c>
      <c r="P469" s="222" t="s">
        <v>212</v>
      </c>
      <c r="Q469" s="224">
        <v>0</v>
      </c>
      <c r="R469" s="225">
        <v>0</v>
      </c>
      <c r="S469" s="224">
        <v>0</v>
      </c>
      <c r="T469" s="533">
        <v>0</v>
      </c>
      <c r="U469" s="533"/>
      <c r="V469" s="224">
        <v>0</v>
      </c>
      <c r="W469" s="222" t="s">
        <v>212</v>
      </c>
      <c r="X469" s="534">
        <v>551.6</v>
      </c>
      <c r="Y469" s="534"/>
      <c r="Z469" s="222" t="s">
        <v>212</v>
      </c>
      <c r="AA469" s="227">
        <v>7713900</v>
      </c>
      <c r="AB469" s="228">
        <v>194</v>
      </c>
      <c r="AC469" s="215"/>
    </row>
    <row r="470" spans="1:29" ht="2.25" customHeight="1">
      <c r="A470" s="215"/>
      <c r="B470" s="529" t="s">
        <v>212</v>
      </c>
      <c r="C470" s="529"/>
      <c r="D470" s="219" t="s">
        <v>212</v>
      </c>
      <c r="E470" s="222" t="s">
        <v>212</v>
      </c>
      <c r="F470" s="531" t="s">
        <v>212</v>
      </c>
      <c r="G470" s="531"/>
      <c r="H470" s="222" t="s">
        <v>212</v>
      </c>
      <c r="I470" s="531" t="s">
        <v>212</v>
      </c>
      <c r="J470" s="531"/>
      <c r="K470" s="222" t="s">
        <v>212</v>
      </c>
      <c r="L470" s="222" t="s">
        <v>212</v>
      </c>
      <c r="M470" s="222" t="s">
        <v>212</v>
      </c>
      <c r="N470" s="222" t="s">
        <v>212</v>
      </c>
      <c r="O470" s="222" t="s">
        <v>212</v>
      </c>
      <c r="P470" s="222" t="s">
        <v>212</v>
      </c>
      <c r="Q470" s="222" t="s">
        <v>212</v>
      </c>
      <c r="R470" s="222" t="s">
        <v>212</v>
      </c>
      <c r="S470" s="222" t="s">
        <v>212</v>
      </c>
      <c r="T470" s="531" t="s">
        <v>212</v>
      </c>
      <c r="U470" s="531"/>
      <c r="V470" s="222" t="s">
        <v>212</v>
      </c>
      <c r="W470" s="222" t="s">
        <v>212</v>
      </c>
      <c r="X470" s="531" t="s">
        <v>212</v>
      </c>
      <c r="Y470" s="531"/>
      <c r="Z470" s="222" t="s">
        <v>212</v>
      </c>
      <c r="AA470" s="222" t="s">
        <v>212</v>
      </c>
      <c r="AB470" s="222" t="s">
        <v>212</v>
      </c>
      <c r="AC470" s="215"/>
    </row>
    <row r="471" spans="1:29" ht="13.5" customHeight="1">
      <c r="A471" s="215"/>
      <c r="B471" s="535">
        <v>38945</v>
      </c>
      <c r="C471" s="535"/>
      <c r="D471" s="219" t="s">
        <v>212</v>
      </c>
      <c r="E471" s="229">
        <v>272</v>
      </c>
      <c r="F471" s="536">
        <v>24</v>
      </c>
      <c r="G471" s="536"/>
      <c r="H471" s="229">
        <v>344.7</v>
      </c>
      <c r="I471" s="536">
        <v>24</v>
      </c>
      <c r="J471" s="536"/>
      <c r="K471" s="229">
        <v>0</v>
      </c>
      <c r="L471" s="230">
        <v>2</v>
      </c>
      <c r="M471" s="229">
        <v>0</v>
      </c>
      <c r="N471" s="230">
        <v>0</v>
      </c>
      <c r="O471" s="231">
        <v>616.70000000000005</v>
      </c>
      <c r="P471" s="222" t="s">
        <v>212</v>
      </c>
      <c r="Q471" s="229">
        <v>0</v>
      </c>
      <c r="R471" s="230">
        <v>0</v>
      </c>
      <c r="S471" s="229">
        <v>0</v>
      </c>
      <c r="T471" s="536">
        <v>0</v>
      </c>
      <c r="U471" s="536"/>
      <c r="V471" s="229">
        <v>0</v>
      </c>
      <c r="W471" s="222" t="s">
        <v>212</v>
      </c>
      <c r="X471" s="530">
        <v>616.70000000000005</v>
      </c>
      <c r="Y471" s="530"/>
      <c r="Z471" s="222" t="s">
        <v>212</v>
      </c>
      <c r="AA471" s="232">
        <v>8375400</v>
      </c>
      <c r="AB471" s="233">
        <v>473</v>
      </c>
      <c r="AC471" s="215"/>
    </row>
    <row r="472" spans="1:29" ht="2.25" customHeight="1">
      <c r="A472" s="215"/>
      <c r="B472" s="529" t="s">
        <v>212</v>
      </c>
      <c r="C472" s="529"/>
      <c r="D472" s="219" t="s">
        <v>212</v>
      </c>
      <c r="E472" s="222" t="s">
        <v>212</v>
      </c>
      <c r="F472" s="531" t="s">
        <v>212</v>
      </c>
      <c r="G472" s="531"/>
      <c r="H472" s="222" t="s">
        <v>212</v>
      </c>
      <c r="I472" s="531" t="s">
        <v>212</v>
      </c>
      <c r="J472" s="531"/>
      <c r="K472" s="222" t="s">
        <v>212</v>
      </c>
      <c r="L472" s="222" t="s">
        <v>212</v>
      </c>
      <c r="M472" s="222" t="s">
        <v>212</v>
      </c>
      <c r="N472" s="222" t="s">
        <v>212</v>
      </c>
      <c r="O472" s="222" t="s">
        <v>212</v>
      </c>
      <c r="P472" s="222" t="s">
        <v>212</v>
      </c>
      <c r="Q472" s="222" t="s">
        <v>212</v>
      </c>
      <c r="R472" s="222" t="s">
        <v>212</v>
      </c>
      <c r="S472" s="222" t="s">
        <v>212</v>
      </c>
      <c r="T472" s="531" t="s">
        <v>212</v>
      </c>
      <c r="U472" s="531"/>
      <c r="V472" s="222" t="s">
        <v>212</v>
      </c>
      <c r="W472" s="222" t="s">
        <v>212</v>
      </c>
      <c r="X472" s="531" t="s">
        <v>212</v>
      </c>
      <c r="Y472" s="531"/>
      <c r="Z472" s="222" t="s">
        <v>212</v>
      </c>
      <c r="AA472" s="222" t="s">
        <v>212</v>
      </c>
      <c r="AB472" s="222" t="s">
        <v>212</v>
      </c>
      <c r="AC472" s="215"/>
    </row>
    <row r="473" spans="1:29" ht="13.5" customHeight="1">
      <c r="A473" s="215"/>
      <c r="B473" s="532">
        <v>38946</v>
      </c>
      <c r="C473" s="532"/>
      <c r="D473" s="219" t="s">
        <v>212</v>
      </c>
      <c r="E473" s="224">
        <v>271.89999999999998</v>
      </c>
      <c r="F473" s="533">
        <v>24</v>
      </c>
      <c r="G473" s="533"/>
      <c r="H473" s="224">
        <v>351.1</v>
      </c>
      <c r="I473" s="533">
        <v>24</v>
      </c>
      <c r="J473" s="533"/>
      <c r="K473" s="224">
        <v>0</v>
      </c>
      <c r="L473" s="225">
        <v>0</v>
      </c>
      <c r="M473" s="224">
        <v>0</v>
      </c>
      <c r="N473" s="225">
        <v>0</v>
      </c>
      <c r="O473" s="226">
        <v>623</v>
      </c>
      <c r="P473" s="222" t="s">
        <v>212</v>
      </c>
      <c r="Q473" s="224">
        <v>0</v>
      </c>
      <c r="R473" s="225">
        <v>0</v>
      </c>
      <c r="S473" s="224">
        <v>0</v>
      </c>
      <c r="T473" s="533">
        <v>0</v>
      </c>
      <c r="U473" s="533"/>
      <c r="V473" s="224">
        <v>0</v>
      </c>
      <c r="W473" s="222" t="s">
        <v>212</v>
      </c>
      <c r="X473" s="534">
        <v>623</v>
      </c>
      <c r="Y473" s="534"/>
      <c r="Z473" s="222" t="s">
        <v>212</v>
      </c>
      <c r="AA473" s="227">
        <v>8282300</v>
      </c>
      <c r="AB473" s="228">
        <v>0</v>
      </c>
      <c r="AC473" s="215"/>
    </row>
    <row r="474" spans="1:29" ht="2.25" customHeight="1">
      <c r="A474" s="215"/>
      <c r="B474" s="529" t="s">
        <v>212</v>
      </c>
      <c r="C474" s="529"/>
      <c r="D474" s="219" t="s">
        <v>212</v>
      </c>
      <c r="E474" s="222" t="s">
        <v>212</v>
      </c>
      <c r="F474" s="531" t="s">
        <v>212</v>
      </c>
      <c r="G474" s="531"/>
      <c r="H474" s="222" t="s">
        <v>212</v>
      </c>
      <c r="I474" s="531" t="s">
        <v>212</v>
      </c>
      <c r="J474" s="531"/>
      <c r="K474" s="222" t="s">
        <v>212</v>
      </c>
      <c r="L474" s="222" t="s">
        <v>212</v>
      </c>
      <c r="M474" s="222" t="s">
        <v>212</v>
      </c>
      <c r="N474" s="222" t="s">
        <v>212</v>
      </c>
      <c r="O474" s="222" t="s">
        <v>212</v>
      </c>
      <c r="P474" s="222" t="s">
        <v>212</v>
      </c>
      <c r="Q474" s="222" t="s">
        <v>212</v>
      </c>
      <c r="R474" s="222" t="s">
        <v>212</v>
      </c>
      <c r="S474" s="222" t="s">
        <v>212</v>
      </c>
      <c r="T474" s="531" t="s">
        <v>212</v>
      </c>
      <c r="U474" s="531"/>
      <c r="V474" s="222" t="s">
        <v>212</v>
      </c>
      <c r="W474" s="222" t="s">
        <v>212</v>
      </c>
      <c r="X474" s="531" t="s">
        <v>212</v>
      </c>
      <c r="Y474" s="531"/>
      <c r="Z474" s="222" t="s">
        <v>212</v>
      </c>
      <c r="AA474" s="222" t="s">
        <v>212</v>
      </c>
      <c r="AB474" s="222" t="s">
        <v>212</v>
      </c>
      <c r="AC474" s="215"/>
    </row>
    <row r="475" spans="1:29" ht="13.5" customHeight="1">
      <c r="A475" s="215"/>
      <c r="B475" s="535">
        <v>38947</v>
      </c>
      <c r="C475" s="535"/>
      <c r="D475" s="219" t="s">
        <v>212</v>
      </c>
      <c r="E475" s="229">
        <v>256.7</v>
      </c>
      <c r="F475" s="536">
        <v>24</v>
      </c>
      <c r="G475" s="536"/>
      <c r="H475" s="229">
        <v>308.8</v>
      </c>
      <c r="I475" s="536">
        <v>24</v>
      </c>
      <c r="J475" s="536"/>
      <c r="K475" s="229">
        <v>0</v>
      </c>
      <c r="L475" s="230">
        <v>0</v>
      </c>
      <c r="M475" s="229">
        <v>0</v>
      </c>
      <c r="N475" s="230">
        <v>0</v>
      </c>
      <c r="O475" s="231">
        <v>565.5</v>
      </c>
      <c r="P475" s="222" t="s">
        <v>212</v>
      </c>
      <c r="Q475" s="229">
        <v>0</v>
      </c>
      <c r="R475" s="230">
        <v>0</v>
      </c>
      <c r="S475" s="229">
        <v>0</v>
      </c>
      <c r="T475" s="536">
        <v>0</v>
      </c>
      <c r="U475" s="536"/>
      <c r="V475" s="229">
        <v>0</v>
      </c>
      <c r="W475" s="222" t="s">
        <v>212</v>
      </c>
      <c r="X475" s="530">
        <v>565.5</v>
      </c>
      <c r="Y475" s="530"/>
      <c r="Z475" s="222" t="s">
        <v>212</v>
      </c>
      <c r="AA475" s="232">
        <v>7752600</v>
      </c>
      <c r="AB475" s="233">
        <v>0</v>
      </c>
      <c r="AC475" s="215"/>
    </row>
    <row r="476" spans="1:29" ht="2.25" customHeight="1">
      <c r="A476" s="215"/>
      <c r="B476" s="529" t="s">
        <v>212</v>
      </c>
      <c r="C476" s="529"/>
      <c r="D476" s="219" t="s">
        <v>212</v>
      </c>
      <c r="E476" s="222" t="s">
        <v>212</v>
      </c>
      <c r="F476" s="531" t="s">
        <v>212</v>
      </c>
      <c r="G476" s="531"/>
      <c r="H476" s="222" t="s">
        <v>212</v>
      </c>
      <c r="I476" s="531" t="s">
        <v>212</v>
      </c>
      <c r="J476" s="531"/>
      <c r="K476" s="222" t="s">
        <v>212</v>
      </c>
      <c r="L476" s="222" t="s">
        <v>212</v>
      </c>
      <c r="M476" s="222" t="s">
        <v>212</v>
      </c>
      <c r="N476" s="222" t="s">
        <v>212</v>
      </c>
      <c r="O476" s="222" t="s">
        <v>212</v>
      </c>
      <c r="P476" s="222" t="s">
        <v>212</v>
      </c>
      <c r="Q476" s="222" t="s">
        <v>212</v>
      </c>
      <c r="R476" s="222" t="s">
        <v>212</v>
      </c>
      <c r="S476" s="222" t="s">
        <v>212</v>
      </c>
      <c r="T476" s="531" t="s">
        <v>212</v>
      </c>
      <c r="U476" s="531"/>
      <c r="V476" s="222" t="s">
        <v>212</v>
      </c>
      <c r="W476" s="222" t="s">
        <v>212</v>
      </c>
      <c r="X476" s="531" t="s">
        <v>212</v>
      </c>
      <c r="Y476" s="531"/>
      <c r="Z476" s="222" t="s">
        <v>212</v>
      </c>
      <c r="AA476" s="222" t="s">
        <v>212</v>
      </c>
      <c r="AB476" s="222" t="s">
        <v>212</v>
      </c>
      <c r="AC476" s="215"/>
    </row>
    <row r="477" spans="1:29" ht="13.5" customHeight="1">
      <c r="A477" s="215"/>
      <c r="B477" s="532">
        <v>38948</v>
      </c>
      <c r="C477" s="532"/>
      <c r="D477" s="219" t="s">
        <v>212</v>
      </c>
      <c r="E477" s="224">
        <v>270.60000000000002</v>
      </c>
      <c r="F477" s="533">
        <v>24</v>
      </c>
      <c r="G477" s="533"/>
      <c r="H477" s="224">
        <v>292.5</v>
      </c>
      <c r="I477" s="533">
        <v>24</v>
      </c>
      <c r="J477" s="533"/>
      <c r="K477" s="224">
        <v>0</v>
      </c>
      <c r="L477" s="225">
        <v>0</v>
      </c>
      <c r="M477" s="224">
        <v>0</v>
      </c>
      <c r="N477" s="225">
        <v>0</v>
      </c>
      <c r="O477" s="226">
        <v>563.1</v>
      </c>
      <c r="P477" s="222" t="s">
        <v>212</v>
      </c>
      <c r="Q477" s="224">
        <v>0</v>
      </c>
      <c r="R477" s="225">
        <v>0</v>
      </c>
      <c r="S477" s="224">
        <v>0</v>
      </c>
      <c r="T477" s="533">
        <v>0</v>
      </c>
      <c r="U477" s="533"/>
      <c r="V477" s="224">
        <v>0</v>
      </c>
      <c r="W477" s="222" t="s">
        <v>212</v>
      </c>
      <c r="X477" s="534">
        <v>563.1</v>
      </c>
      <c r="Y477" s="534"/>
      <c r="Z477" s="222" t="s">
        <v>212</v>
      </c>
      <c r="AA477" s="227">
        <v>7804000</v>
      </c>
      <c r="AB477" s="228">
        <v>0</v>
      </c>
      <c r="AC477" s="215"/>
    </row>
    <row r="478" spans="1:29" ht="2.25" customHeight="1">
      <c r="A478" s="215"/>
      <c r="B478" s="529" t="s">
        <v>212</v>
      </c>
      <c r="C478" s="529"/>
      <c r="D478" s="219" t="s">
        <v>212</v>
      </c>
      <c r="E478" s="222" t="s">
        <v>212</v>
      </c>
      <c r="F478" s="531" t="s">
        <v>212</v>
      </c>
      <c r="G478" s="531"/>
      <c r="H478" s="222" t="s">
        <v>212</v>
      </c>
      <c r="I478" s="531" t="s">
        <v>212</v>
      </c>
      <c r="J478" s="531"/>
      <c r="K478" s="222" t="s">
        <v>212</v>
      </c>
      <c r="L478" s="222" t="s">
        <v>212</v>
      </c>
      <c r="M478" s="222" t="s">
        <v>212</v>
      </c>
      <c r="N478" s="222" t="s">
        <v>212</v>
      </c>
      <c r="O478" s="222" t="s">
        <v>212</v>
      </c>
      <c r="P478" s="222" t="s">
        <v>212</v>
      </c>
      <c r="Q478" s="222" t="s">
        <v>212</v>
      </c>
      <c r="R478" s="222" t="s">
        <v>212</v>
      </c>
      <c r="S478" s="222" t="s">
        <v>212</v>
      </c>
      <c r="T478" s="531" t="s">
        <v>212</v>
      </c>
      <c r="U478" s="531"/>
      <c r="V478" s="222" t="s">
        <v>212</v>
      </c>
      <c r="W478" s="222" t="s">
        <v>212</v>
      </c>
      <c r="X478" s="531" t="s">
        <v>212</v>
      </c>
      <c r="Y478" s="531"/>
      <c r="Z478" s="222" t="s">
        <v>212</v>
      </c>
      <c r="AA478" s="222" t="s">
        <v>212</v>
      </c>
      <c r="AB478" s="222" t="s">
        <v>212</v>
      </c>
      <c r="AC478" s="215"/>
    </row>
    <row r="479" spans="1:29" ht="13.5" customHeight="1">
      <c r="A479" s="215"/>
      <c r="B479" s="535">
        <v>38949</v>
      </c>
      <c r="C479" s="535"/>
      <c r="D479" s="219" t="s">
        <v>212</v>
      </c>
      <c r="E479" s="229">
        <v>254.6</v>
      </c>
      <c r="F479" s="536">
        <v>24</v>
      </c>
      <c r="G479" s="536"/>
      <c r="H479" s="229">
        <v>286.60000000000002</v>
      </c>
      <c r="I479" s="536">
        <v>24</v>
      </c>
      <c r="J479" s="536"/>
      <c r="K479" s="229">
        <v>0</v>
      </c>
      <c r="L479" s="230">
        <v>1</v>
      </c>
      <c r="M479" s="229">
        <v>0</v>
      </c>
      <c r="N479" s="230">
        <v>0</v>
      </c>
      <c r="O479" s="231">
        <v>541.20000000000005</v>
      </c>
      <c r="P479" s="222" t="s">
        <v>212</v>
      </c>
      <c r="Q479" s="229">
        <v>0</v>
      </c>
      <c r="R479" s="230">
        <v>0</v>
      </c>
      <c r="S479" s="229">
        <v>0</v>
      </c>
      <c r="T479" s="536">
        <v>0</v>
      </c>
      <c r="U479" s="536"/>
      <c r="V479" s="229">
        <v>0</v>
      </c>
      <c r="W479" s="222" t="s">
        <v>212</v>
      </c>
      <c r="X479" s="530">
        <v>541.20000000000005</v>
      </c>
      <c r="Y479" s="530"/>
      <c r="Z479" s="222" t="s">
        <v>212</v>
      </c>
      <c r="AA479" s="232">
        <v>7683000</v>
      </c>
      <c r="AB479" s="233">
        <v>537</v>
      </c>
      <c r="AC479" s="215"/>
    </row>
    <row r="480" spans="1:29" ht="2.25" customHeight="1">
      <c r="A480" s="215"/>
      <c r="B480" s="529" t="s">
        <v>212</v>
      </c>
      <c r="C480" s="529"/>
      <c r="D480" s="219" t="s">
        <v>212</v>
      </c>
      <c r="E480" s="222" t="s">
        <v>212</v>
      </c>
      <c r="F480" s="531" t="s">
        <v>212</v>
      </c>
      <c r="G480" s="531"/>
      <c r="H480" s="222" t="s">
        <v>212</v>
      </c>
      <c r="I480" s="531" t="s">
        <v>212</v>
      </c>
      <c r="J480" s="531"/>
      <c r="K480" s="222" t="s">
        <v>212</v>
      </c>
      <c r="L480" s="222" t="s">
        <v>212</v>
      </c>
      <c r="M480" s="222" t="s">
        <v>212</v>
      </c>
      <c r="N480" s="222" t="s">
        <v>212</v>
      </c>
      <c r="O480" s="222" t="s">
        <v>212</v>
      </c>
      <c r="P480" s="222" t="s">
        <v>212</v>
      </c>
      <c r="Q480" s="222" t="s">
        <v>212</v>
      </c>
      <c r="R480" s="222" t="s">
        <v>212</v>
      </c>
      <c r="S480" s="222" t="s">
        <v>212</v>
      </c>
      <c r="T480" s="531" t="s">
        <v>212</v>
      </c>
      <c r="U480" s="531"/>
      <c r="V480" s="222" t="s">
        <v>212</v>
      </c>
      <c r="W480" s="222" t="s">
        <v>212</v>
      </c>
      <c r="X480" s="531" t="s">
        <v>212</v>
      </c>
      <c r="Y480" s="531"/>
      <c r="Z480" s="222" t="s">
        <v>212</v>
      </c>
      <c r="AA480" s="222" t="s">
        <v>212</v>
      </c>
      <c r="AB480" s="222" t="s">
        <v>212</v>
      </c>
      <c r="AC480" s="215"/>
    </row>
    <row r="481" spans="1:29" ht="13.5" customHeight="1">
      <c r="A481" s="215"/>
      <c r="B481" s="532">
        <v>38950</v>
      </c>
      <c r="C481" s="532"/>
      <c r="D481" s="219" t="s">
        <v>212</v>
      </c>
      <c r="E481" s="224">
        <v>283.2</v>
      </c>
      <c r="F481" s="533">
        <v>24</v>
      </c>
      <c r="G481" s="533"/>
      <c r="H481" s="224">
        <v>281.3</v>
      </c>
      <c r="I481" s="533">
        <v>24</v>
      </c>
      <c r="J481" s="533"/>
      <c r="K481" s="224">
        <v>0</v>
      </c>
      <c r="L481" s="225">
        <v>0</v>
      </c>
      <c r="M481" s="224">
        <v>0</v>
      </c>
      <c r="N481" s="225">
        <v>0</v>
      </c>
      <c r="O481" s="226">
        <v>564.5</v>
      </c>
      <c r="P481" s="222" t="s">
        <v>212</v>
      </c>
      <c r="Q481" s="224">
        <v>0</v>
      </c>
      <c r="R481" s="225">
        <v>0</v>
      </c>
      <c r="S481" s="224">
        <v>0</v>
      </c>
      <c r="T481" s="533">
        <v>0</v>
      </c>
      <c r="U481" s="533"/>
      <c r="V481" s="224">
        <v>0</v>
      </c>
      <c r="W481" s="222" t="s">
        <v>212</v>
      </c>
      <c r="X481" s="534">
        <v>564.5</v>
      </c>
      <c r="Y481" s="534"/>
      <c r="Z481" s="222" t="s">
        <v>212</v>
      </c>
      <c r="AA481" s="227">
        <v>7828200</v>
      </c>
      <c r="AB481" s="228">
        <v>0</v>
      </c>
      <c r="AC481" s="215"/>
    </row>
    <row r="482" spans="1:29" ht="2.25" customHeight="1">
      <c r="A482" s="215"/>
      <c r="B482" s="529" t="s">
        <v>212</v>
      </c>
      <c r="C482" s="529"/>
      <c r="D482" s="219" t="s">
        <v>212</v>
      </c>
      <c r="E482" s="222" t="s">
        <v>212</v>
      </c>
      <c r="F482" s="531" t="s">
        <v>212</v>
      </c>
      <c r="G482" s="531"/>
      <c r="H482" s="222" t="s">
        <v>212</v>
      </c>
      <c r="I482" s="531" t="s">
        <v>212</v>
      </c>
      <c r="J482" s="531"/>
      <c r="K482" s="222" t="s">
        <v>212</v>
      </c>
      <c r="L482" s="222" t="s">
        <v>212</v>
      </c>
      <c r="M482" s="222" t="s">
        <v>212</v>
      </c>
      <c r="N482" s="222" t="s">
        <v>212</v>
      </c>
      <c r="O482" s="222" t="s">
        <v>212</v>
      </c>
      <c r="P482" s="222" t="s">
        <v>212</v>
      </c>
      <c r="Q482" s="222" t="s">
        <v>212</v>
      </c>
      <c r="R482" s="222" t="s">
        <v>212</v>
      </c>
      <c r="S482" s="222" t="s">
        <v>212</v>
      </c>
      <c r="T482" s="531" t="s">
        <v>212</v>
      </c>
      <c r="U482" s="531"/>
      <c r="V482" s="222" t="s">
        <v>212</v>
      </c>
      <c r="W482" s="222" t="s">
        <v>212</v>
      </c>
      <c r="X482" s="531" t="s">
        <v>212</v>
      </c>
      <c r="Y482" s="531"/>
      <c r="Z482" s="222" t="s">
        <v>212</v>
      </c>
      <c r="AA482" s="222" t="s">
        <v>212</v>
      </c>
      <c r="AB482" s="222" t="s">
        <v>212</v>
      </c>
      <c r="AC482" s="215"/>
    </row>
    <row r="483" spans="1:29" ht="13.5" customHeight="1">
      <c r="A483" s="215"/>
      <c r="B483" s="535">
        <v>38951</v>
      </c>
      <c r="C483" s="535"/>
      <c r="D483" s="219" t="s">
        <v>212</v>
      </c>
      <c r="E483" s="229">
        <v>281.5</v>
      </c>
      <c r="F483" s="536">
        <v>24</v>
      </c>
      <c r="G483" s="536"/>
      <c r="H483" s="229">
        <v>304.5</v>
      </c>
      <c r="I483" s="536">
        <v>24</v>
      </c>
      <c r="J483" s="536"/>
      <c r="K483" s="229">
        <v>0</v>
      </c>
      <c r="L483" s="230">
        <v>0</v>
      </c>
      <c r="M483" s="229">
        <v>0</v>
      </c>
      <c r="N483" s="230">
        <v>0</v>
      </c>
      <c r="O483" s="231">
        <v>586</v>
      </c>
      <c r="P483" s="222" t="s">
        <v>212</v>
      </c>
      <c r="Q483" s="229">
        <v>0</v>
      </c>
      <c r="R483" s="230">
        <v>0</v>
      </c>
      <c r="S483" s="229">
        <v>0</v>
      </c>
      <c r="T483" s="536">
        <v>0</v>
      </c>
      <c r="U483" s="536"/>
      <c r="V483" s="229">
        <v>0</v>
      </c>
      <c r="W483" s="222" t="s">
        <v>212</v>
      </c>
      <c r="X483" s="530">
        <v>586</v>
      </c>
      <c r="Y483" s="530"/>
      <c r="Z483" s="222" t="s">
        <v>212</v>
      </c>
      <c r="AA483" s="232">
        <v>7945000</v>
      </c>
      <c r="AB483" s="233">
        <v>0</v>
      </c>
      <c r="AC483" s="215"/>
    </row>
    <row r="484" spans="1:29" ht="2.25" customHeight="1">
      <c r="A484" s="215"/>
      <c r="B484" s="529" t="s">
        <v>212</v>
      </c>
      <c r="C484" s="529"/>
      <c r="D484" s="219" t="s">
        <v>212</v>
      </c>
      <c r="E484" s="222" t="s">
        <v>212</v>
      </c>
      <c r="F484" s="531" t="s">
        <v>212</v>
      </c>
      <c r="G484" s="531"/>
      <c r="H484" s="222" t="s">
        <v>212</v>
      </c>
      <c r="I484" s="531" t="s">
        <v>212</v>
      </c>
      <c r="J484" s="531"/>
      <c r="K484" s="222" t="s">
        <v>212</v>
      </c>
      <c r="L484" s="222" t="s">
        <v>212</v>
      </c>
      <c r="M484" s="222" t="s">
        <v>212</v>
      </c>
      <c r="N484" s="222" t="s">
        <v>212</v>
      </c>
      <c r="O484" s="222" t="s">
        <v>212</v>
      </c>
      <c r="P484" s="222" t="s">
        <v>212</v>
      </c>
      <c r="Q484" s="222" t="s">
        <v>212</v>
      </c>
      <c r="R484" s="222" t="s">
        <v>212</v>
      </c>
      <c r="S484" s="222" t="s">
        <v>212</v>
      </c>
      <c r="T484" s="531" t="s">
        <v>212</v>
      </c>
      <c r="U484" s="531"/>
      <c r="V484" s="222" t="s">
        <v>212</v>
      </c>
      <c r="W484" s="222" t="s">
        <v>212</v>
      </c>
      <c r="X484" s="531" t="s">
        <v>212</v>
      </c>
      <c r="Y484" s="531"/>
      <c r="Z484" s="222" t="s">
        <v>212</v>
      </c>
      <c r="AA484" s="222" t="s">
        <v>212</v>
      </c>
      <c r="AB484" s="222" t="s">
        <v>212</v>
      </c>
      <c r="AC484" s="215"/>
    </row>
    <row r="485" spans="1:29" ht="13.5" customHeight="1">
      <c r="A485" s="215"/>
      <c r="B485" s="532">
        <v>38952</v>
      </c>
      <c r="C485" s="532"/>
      <c r="D485" s="219" t="s">
        <v>212</v>
      </c>
      <c r="E485" s="224">
        <v>276.10000000000002</v>
      </c>
      <c r="F485" s="533">
        <v>24</v>
      </c>
      <c r="G485" s="533"/>
      <c r="H485" s="224">
        <v>304</v>
      </c>
      <c r="I485" s="533">
        <v>24</v>
      </c>
      <c r="J485" s="533"/>
      <c r="K485" s="224">
        <v>0</v>
      </c>
      <c r="L485" s="225">
        <v>0</v>
      </c>
      <c r="M485" s="224">
        <v>0</v>
      </c>
      <c r="N485" s="225">
        <v>0</v>
      </c>
      <c r="O485" s="226">
        <v>580.1</v>
      </c>
      <c r="P485" s="222" t="s">
        <v>212</v>
      </c>
      <c r="Q485" s="224">
        <v>0</v>
      </c>
      <c r="R485" s="225">
        <v>0</v>
      </c>
      <c r="S485" s="224">
        <v>0</v>
      </c>
      <c r="T485" s="533">
        <v>0</v>
      </c>
      <c r="U485" s="533"/>
      <c r="V485" s="224">
        <v>0</v>
      </c>
      <c r="W485" s="222" t="s">
        <v>212</v>
      </c>
      <c r="X485" s="534">
        <v>580.1</v>
      </c>
      <c r="Y485" s="534"/>
      <c r="Z485" s="222" t="s">
        <v>212</v>
      </c>
      <c r="AA485" s="227">
        <v>7893400</v>
      </c>
      <c r="AB485" s="228">
        <v>0</v>
      </c>
      <c r="AC485" s="215"/>
    </row>
    <row r="486" spans="1:29" ht="2.25" customHeight="1">
      <c r="A486" s="215"/>
      <c r="B486" s="529" t="s">
        <v>212</v>
      </c>
      <c r="C486" s="529"/>
      <c r="D486" s="219" t="s">
        <v>212</v>
      </c>
      <c r="E486" s="222" t="s">
        <v>212</v>
      </c>
      <c r="F486" s="531" t="s">
        <v>212</v>
      </c>
      <c r="G486" s="531"/>
      <c r="H486" s="222" t="s">
        <v>212</v>
      </c>
      <c r="I486" s="531" t="s">
        <v>212</v>
      </c>
      <c r="J486" s="531"/>
      <c r="K486" s="222" t="s">
        <v>212</v>
      </c>
      <c r="L486" s="222" t="s">
        <v>212</v>
      </c>
      <c r="M486" s="222" t="s">
        <v>212</v>
      </c>
      <c r="N486" s="222" t="s">
        <v>212</v>
      </c>
      <c r="O486" s="222" t="s">
        <v>212</v>
      </c>
      <c r="P486" s="222" t="s">
        <v>212</v>
      </c>
      <c r="Q486" s="222" t="s">
        <v>212</v>
      </c>
      <c r="R486" s="222" t="s">
        <v>212</v>
      </c>
      <c r="S486" s="222" t="s">
        <v>212</v>
      </c>
      <c r="T486" s="531" t="s">
        <v>212</v>
      </c>
      <c r="U486" s="531"/>
      <c r="V486" s="222" t="s">
        <v>212</v>
      </c>
      <c r="W486" s="222" t="s">
        <v>212</v>
      </c>
      <c r="X486" s="531" t="s">
        <v>212</v>
      </c>
      <c r="Y486" s="531"/>
      <c r="Z486" s="222" t="s">
        <v>212</v>
      </c>
      <c r="AA486" s="222" t="s">
        <v>212</v>
      </c>
      <c r="AB486" s="222" t="s">
        <v>212</v>
      </c>
      <c r="AC486" s="215"/>
    </row>
    <row r="487" spans="1:29" ht="13.5" customHeight="1">
      <c r="A487" s="215"/>
      <c r="B487" s="535">
        <v>38953</v>
      </c>
      <c r="C487" s="535"/>
      <c r="D487" s="219" t="s">
        <v>212</v>
      </c>
      <c r="E487" s="229">
        <v>220.9</v>
      </c>
      <c r="F487" s="536">
        <v>24</v>
      </c>
      <c r="G487" s="536"/>
      <c r="H487" s="229">
        <v>245.4</v>
      </c>
      <c r="I487" s="536">
        <v>24</v>
      </c>
      <c r="J487" s="536"/>
      <c r="K487" s="229">
        <v>87.4</v>
      </c>
      <c r="L487" s="230">
        <v>14</v>
      </c>
      <c r="M487" s="229">
        <v>0</v>
      </c>
      <c r="N487" s="230">
        <v>0</v>
      </c>
      <c r="O487" s="231">
        <v>553.70000000000005</v>
      </c>
      <c r="P487" s="222" t="s">
        <v>212</v>
      </c>
      <c r="Q487" s="229">
        <v>0</v>
      </c>
      <c r="R487" s="230">
        <v>0</v>
      </c>
      <c r="S487" s="229">
        <v>0</v>
      </c>
      <c r="T487" s="536">
        <v>0</v>
      </c>
      <c r="U487" s="536"/>
      <c r="V487" s="229">
        <v>0</v>
      </c>
      <c r="W487" s="222" t="s">
        <v>212</v>
      </c>
      <c r="X487" s="530">
        <v>553.70000000000005</v>
      </c>
      <c r="Y487" s="530"/>
      <c r="Z487" s="222" t="s">
        <v>212</v>
      </c>
      <c r="AA487" s="232">
        <v>8721200</v>
      </c>
      <c r="AB487" s="233">
        <v>4765</v>
      </c>
      <c r="AC487" s="215"/>
    </row>
    <row r="488" spans="1:29" ht="2.25" customHeight="1">
      <c r="A488" s="215"/>
      <c r="B488" s="529" t="s">
        <v>212</v>
      </c>
      <c r="C488" s="529"/>
      <c r="D488" s="219" t="s">
        <v>212</v>
      </c>
      <c r="E488" s="222" t="s">
        <v>212</v>
      </c>
      <c r="F488" s="531" t="s">
        <v>212</v>
      </c>
      <c r="G488" s="531"/>
      <c r="H488" s="222" t="s">
        <v>212</v>
      </c>
      <c r="I488" s="531" t="s">
        <v>212</v>
      </c>
      <c r="J488" s="531"/>
      <c r="K488" s="222" t="s">
        <v>212</v>
      </c>
      <c r="L488" s="222" t="s">
        <v>212</v>
      </c>
      <c r="M488" s="222" t="s">
        <v>212</v>
      </c>
      <c r="N488" s="222" t="s">
        <v>212</v>
      </c>
      <c r="O488" s="222" t="s">
        <v>212</v>
      </c>
      <c r="P488" s="222" t="s">
        <v>212</v>
      </c>
      <c r="Q488" s="222" t="s">
        <v>212</v>
      </c>
      <c r="R488" s="222" t="s">
        <v>212</v>
      </c>
      <c r="S488" s="222" t="s">
        <v>212</v>
      </c>
      <c r="T488" s="531" t="s">
        <v>212</v>
      </c>
      <c r="U488" s="531"/>
      <c r="V488" s="222" t="s">
        <v>212</v>
      </c>
      <c r="W488" s="222" t="s">
        <v>212</v>
      </c>
      <c r="X488" s="531" t="s">
        <v>212</v>
      </c>
      <c r="Y488" s="531"/>
      <c r="Z488" s="222" t="s">
        <v>212</v>
      </c>
      <c r="AA488" s="222" t="s">
        <v>212</v>
      </c>
      <c r="AB488" s="222" t="s">
        <v>212</v>
      </c>
      <c r="AC488" s="215"/>
    </row>
    <row r="489" spans="1:29" ht="13.5" customHeight="1">
      <c r="A489" s="215"/>
      <c r="B489" s="532">
        <v>38954</v>
      </c>
      <c r="C489" s="532"/>
      <c r="D489" s="219" t="s">
        <v>212</v>
      </c>
      <c r="E489" s="224">
        <v>51.4</v>
      </c>
      <c r="F489" s="533">
        <v>10</v>
      </c>
      <c r="G489" s="533"/>
      <c r="H489" s="224">
        <v>236.4</v>
      </c>
      <c r="I489" s="533">
        <v>24</v>
      </c>
      <c r="J489" s="533"/>
      <c r="K489" s="224">
        <v>281.60000000000002</v>
      </c>
      <c r="L489" s="225">
        <v>24</v>
      </c>
      <c r="M489" s="224">
        <v>0</v>
      </c>
      <c r="N489" s="225">
        <v>0</v>
      </c>
      <c r="O489" s="226">
        <v>569.4</v>
      </c>
      <c r="P489" s="222" t="s">
        <v>212</v>
      </c>
      <c r="Q489" s="224">
        <v>0</v>
      </c>
      <c r="R489" s="225">
        <v>0</v>
      </c>
      <c r="S489" s="224">
        <v>0</v>
      </c>
      <c r="T489" s="533">
        <v>0</v>
      </c>
      <c r="U489" s="533"/>
      <c r="V489" s="224">
        <v>0</v>
      </c>
      <c r="W489" s="222" t="s">
        <v>212</v>
      </c>
      <c r="X489" s="534">
        <v>569.4</v>
      </c>
      <c r="Y489" s="534"/>
      <c r="Z489" s="222" t="s">
        <v>212</v>
      </c>
      <c r="AA489" s="227">
        <v>7706300</v>
      </c>
      <c r="AB489" s="228">
        <v>34756</v>
      </c>
      <c r="AC489" s="215"/>
    </row>
    <row r="490" spans="1:29" ht="2.25" customHeight="1">
      <c r="A490" s="215"/>
      <c r="B490" s="529" t="s">
        <v>212</v>
      </c>
      <c r="C490" s="529"/>
      <c r="D490" s="219" t="s">
        <v>212</v>
      </c>
      <c r="E490" s="222" t="s">
        <v>212</v>
      </c>
      <c r="F490" s="531" t="s">
        <v>212</v>
      </c>
      <c r="G490" s="531"/>
      <c r="H490" s="222" t="s">
        <v>212</v>
      </c>
      <c r="I490" s="531" t="s">
        <v>212</v>
      </c>
      <c r="J490" s="531"/>
      <c r="K490" s="222" t="s">
        <v>212</v>
      </c>
      <c r="L490" s="222" t="s">
        <v>212</v>
      </c>
      <c r="M490" s="222" t="s">
        <v>212</v>
      </c>
      <c r="N490" s="222" t="s">
        <v>212</v>
      </c>
      <c r="O490" s="222" t="s">
        <v>212</v>
      </c>
      <c r="P490" s="222" t="s">
        <v>212</v>
      </c>
      <c r="Q490" s="222" t="s">
        <v>212</v>
      </c>
      <c r="R490" s="222" t="s">
        <v>212</v>
      </c>
      <c r="S490" s="222" t="s">
        <v>212</v>
      </c>
      <c r="T490" s="531" t="s">
        <v>212</v>
      </c>
      <c r="U490" s="531"/>
      <c r="V490" s="222" t="s">
        <v>212</v>
      </c>
      <c r="W490" s="222" t="s">
        <v>212</v>
      </c>
      <c r="X490" s="531" t="s">
        <v>212</v>
      </c>
      <c r="Y490" s="531"/>
      <c r="Z490" s="222" t="s">
        <v>212</v>
      </c>
      <c r="AA490" s="222" t="s">
        <v>212</v>
      </c>
      <c r="AB490" s="222" t="s">
        <v>212</v>
      </c>
      <c r="AC490" s="215"/>
    </row>
    <row r="491" spans="1:29" ht="13.5" customHeight="1">
      <c r="A491" s="215"/>
      <c r="B491" s="535">
        <v>38955</v>
      </c>
      <c r="C491" s="535"/>
      <c r="D491" s="219" t="s">
        <v>212</v>
      </c>
      <c r="E491" s="229">
        <v>0.7</v>
      </c>
      <c r="F491" s="536">
        <v>1</v>
      </c>
      <c r="G491" s="536"/>
      <c r="H491" s="229">
        <v>325.2</v>
      </c>
      <c r="I491" s="536">
        <v>24</v>
      </c>
      <c r="J491" s="536"/>
      <c r="K491" s="229">
        <v>276.5</v>
      </c>
      <c r="L491" s="230">
        <v>24</v>
      </c>
      <c r="M491" s="229">
        <v>0</v>
      </c>
      <c r="N491" s="230">
        <v>0</v>
      </c>
      <c r="O491" s="231">
        <v>602.4</v>
      </c>
      <c r="P491" s="222" t="s">
        <v>212</v>
      </c>
      <c r="Q491" s="229">
        <v>0</v>
      </c>
      <c r="R491" s="230">
        <v>0</v>
      </c>
      <c r="S491" s="229">
        <v>0</v>
      </c>
      <c r="T491" s="536">
        <v>0</v>
      </c>
      <c r="U491" s="536"/>
      <c r="V491" s="229">
        <v>0</v>
      </c>
      <c r="W491" s="222" t="s">
        <v>212</v>
      </c>
      <c r="X491" s="530">
        <v>602.4</v>
      </c>
      <c r="Y491" s="530"/>
      <c r="Z491" s="222" t="s">
        <v>212</v>
      </c>
      <c r="AA491" s="232">
        <v>4619500</v>
      </c>
      <c r="AB491" s="233">
        <v>131414</v>
      </c>
      <c r="AC491" s="215"/>
    </row>
    <row r="492" spans="1:29" ht="2.25" customHeight="1">
      <c r="A492" s="215"/>
      <c r="B492" s="529" t="s">
        <v>212</v>
      </c>
      <c r="C492" s="529"/>
      <c r="D492" s="219" t="s">
        <v>212</v>
      </c>
      <c r="E492" s="222" t="s">
        <v>212</v>
      </c>
      <c r="F492" s="531" t="s">
        <v>212</v>
      </c>
      <c r="G492" s="531"/>
      <c r="H492" s="222" t="s">
        <v>212</v>
      </c>
      <c r="I492" s="531" t="s">
        <v>212</v>
      </c>
      <c r="J492" s="531"/>
      <c r="K492" s="222" t="s">
        <v>212</v>
      </c>
      <c r="L492" s="222" t="s">
        <v>212</v>
      </c>
      <c r="M492" s="222" t="s">
        <v>212</v>
      </c>
      <c r="N492" s="222" t="s">
        <v>212</v>
      </c>
      <c r="O492" s="222" t="s">
        <v>212</v>
      </c>
      <c r="P492" s="222" t="s">
        <v>212</v>
      </c>
      <c r="Q492" s="222" t="s">
        <v>212</v>
      </c>
      <c r="R492" s="222" t="s">
        <v>212</v>
      </c>
      <c r="S492" s="222" t="s">
        <v>212</v>
      </c>
      <c r="T492" s="531" t="s">
        <v>212</v>
      </c>
      <c r="U492" s="531"/>
      <c r="V492" s="222" t="s">
        <v>212</v>
      </c>
      <c r="W492" s="222" t="s">
        <v>212</v>
      </c>
      <c r="X492" s="531" t="s">
        <v>212</v>
      </c>
      <c r="Y492" s="531"/>
      <c r="Z492" s="222" t="s">
        <v>212</v>
      </c>
      <c r="AA492" s="222" t="s">
        <v>212</v>
      </c>
      <c r="AB492" s="222" t="s">
        <v>212</v>
      </c>
      <c r="AC492" s="215"/>
    </row>
    <row r="493" spans="1:29" ht="13.5" customHeight="1">
      <c r="A493" s="215"/>
      <c r="B493" s="532">
        <v>38956</v>
      </c>
      <c r="C493" s="532"/>
      <c r="D493" s="219" t="s">
        <v>212</v>
      </c>
      <c r="E493" s="224">
        <v>0</v>
      </c>
      <c r="F493" s="533">
        <v>0</v>
      </c>
      <c r="G493" s="533"/>
      <c r="H493" s="224">
        <v>307.3</v>
      </c>
      <c r="I493" s="533">
        <v>24</v>
      </c>
      <c r="J493" s="533"/>
      <c r="K493" s="224">
        <v>288.60000000000002</v>
      </c>
      <c r="L493" s="225">
        <v>24</v>
      </c>
      <c r="M493" s="224">
        <v>0</v>
      </c>
      <c r="N493" s="225">
        <v>0</v>
      </c>
      <c r="O493" s="226">
        <v>595.9</v>
      </c>
      <c r="P493" s="222" t="s">
        <v>212</v>
      </c>
      <c r="Q493" s="224">
        <v>0</v>
      </c>
      <c r="R493" s="225">
        <v>0</v>
      </c>
      <c r="S493" s="224">
        <v>0</v>
      </c>
      <c r="T493" s="533">
        <v>0</v>
      </c>
      <c r="U493" s="533"/>
      <c r="V493" s="224">
        <v>0</v>
      </c>
      <c r="W493" s="222" t="s">
        <v>212</v>
      </c>
      <c r="X493" s="534">
        <v>595.9</v>
      </c>
      <c r="Y493" s="534"/>
      <c r="Z493" s="222" t="s">
        <v>212</v>
      </c>
      <c r="AA493" s="227">
        <v>8126700</v>
      </c>
      <c r="AB493" s="228">
        <v>0</v>
      </c>
      <c r="AC493" s="215"/>
    </row>
    <row r="494" spans="1:29" ht="2.25" customHeight="1">
      <c r="A494" s="215"/>
      <c r="B494" s="529" t="s">
        <v>212</v>
      </c>
      <c r="C494" s="529"/>
      <c r="D494" s="219" t="s">
        <v>212</v>
      </c>
      <c r="E494" s="222" t="s">
        <v>212</v>
      </c>
      <c r="F494" s="531" t="s">
        <v>212</v>
      </c>
      <c r="G494" s="531"/>
      <c r="H494" s="222" t="s">
        <v>212</v>
      </c>
      <c r="I494" s="531" t="s">
        <v>212</v>
      </c>
      <c r="J494" s="531"/>
      <c r="K494" s="222" t="s">
        <v>212</v>
      </c>
      <c r="L494" s="222" t="s">
        <v>212</v>
      </c>
      <c r="M494" s="222" t="s">
        <v>212</v>
      </c>
      <c r="N494" s="222" t="s">
        <v>212</v>
      </c>
      <c r="O494" s="222" t="s">
        <v>212</v>
      </c>
      <c r="P494" s="222" t="s">
        <v>212</v>
      </c>
      <c r="Q494" s="222" t="s">
        <v>212</v>
      </c>
      <c r="R494" s="222" t="s">
        <v>212</v>
      </c>
      <c r="S494" s="222" t="s">
        <v>212</v>
      </c>
      <c r="T494" s="531" t="s">
        <v>212</v>
      </c>
      <c r="U494" s="531"/>
      <c r="V494" s="222" t="s">
        <v>212</v>
      </c>
      <c r="W494" s="222" t="s">
        <v>212</v>
      </c>
      <c r="X494" s="531" t="s">
        <v>212</v>
      </c>
      <c r="Y494" s="531"/>
      <c r="Z494" s="222" t="s">
        <v>212</v>
      </c>
      <c r="AA494" s="222" t="s">
        <v>212</v>
      </c>
      <c r="AB494" s="222" t="s">
        <v>212</v>
      </c>
      <c r="AC494" s="215"/>
    </row>
    <row r="495" spans="1:29" ht="13.5" customHeight="1">
      <c r="A495" s="215"/>
      <c r="B495" s="535">
        <v>38957</v>
      </c>
      <c r="C495" s="535"/>
      <c r="D495" s="219" t="s">
        <v>212</v>
      </c>
      <c r="E495" s="229">
        <v>0</v>
      </c>
      <c r="F495" s="536">
        <v>0</v>
      </c>
      <c r="G495" s="536"/>
      <c r="H495" s="229">
        <v>311.2</v>
      </c>
      <c r="I495" s="536">
        <v>24</v>
      </c>
      <c r="J495" s="536"/>
      <c r="K495" s="229">
        <v>275.5</v>
      </c>
      <c r="L495" s="230">
        <v>24</v>
      </c>
      <c r="M495" s="229">
        <v>0</v>
      </c>
      <c r="N495" s="230">
        <v>0</v>
      </c>
      <c r="O495" s="231">
        <v>586.70000000000005</v>
      </c>
      <c r="P495" s="222" t="s">
        <v>212</v>
      </c>
      <c r="Q495" s="229">
        <v>0</v>
      </c>
      <c r="R495" s="230">
        <v>0</v>
      </c>
      <c r="S495" s="229">
        <v>0</v>
      </c>
      <c r="T495" s="536">
        <v>0</v>
      </c>
      <c r="U495" s="536"/>
      <c r="V495" s="229">
        <v>0</v>
      </c>
      <c r="W495" s="222" t="s">
        <v>212</v>
      </c>
      <c r="X495" s="530">
        <v>586.70000000000005</v>
      </c>
      <c r="Y495" s="530"/>
      <c r="Z495" s="222" t="s">
        <v>212</v>
      </c>
      <c r="AA495" s="232">
        <v>8003000</v>
      </c>
      <c r="AB495" s="233">
        <v>0</v>
      </c>
      <c r="AC495" s="215"/>
    </row>
    <row r="496" spans="1:29" ht="2.25" customHeight="1">
      <c r="A496" s="215"/>
      <c r="B496" s="529" t="s">
        <v>212</v>
      </c>
      <c r="C496" s="529"/>
      <c r="D496" s="219" t="s">
        <v>212</v>
      </c>
      <c r="E496" s="222" t="s">
        <v>212</v>
      </c>
      <c r="F496" s="531" t="s">
        <v>212</v>
      </c>
      <c r="G496" s="531"/>
      <c r="H496" s="222" t="s">
        <v>212</v>
      </c>
      <c r="I496" s="531" t="s">
        <v>212</v>
      </c>
      <c r="J496" s="531"/>
      <c r="K496" s="222" t="s">
        <v>212</v>
      </c>
      <c r="L496" s="222" t="s">
        <v>212</v>
      </c>
      <c r="M496" s="222" t="s">
        <v>212</v>
      </c>
      <c r="N496" s="222" t="s">
        <v>212</v>
      </c>
      <c r="O496" s="222" t="s">
        <v>212</v>
      </c>
      <c r="P496" s="222" t="s">
        <v>212</v>
      </c>
      <c r="Q496" s="222" t="s">
        <v>212</v>
      </c>
      <c r="R496" s="222" t="s">
        <v>212</v>
      </c>
      <c r="S496" s="222" t="s">
        <v>212</v>
      </c>
      <c r="T496" s="531" t="s">
        <v>212</v>
      </c>
      <c r="U496" s="531"/>
      <c r="V496" s="222" t="s">
        <v>212</v>
      </c>
      <c r="W496" s="222" t="s">
        <v>212</v>
      </c>
      <c r="X496" s="531" t="s">
        <v>212</v>
      </c>
      <c r="Y496" s="531"/>
      <c r="Z496" s="222" t="s">
        <v>212</v>
      </c>
      <c r="AA496" s="222" t="s">
        <v>212</v>
      </c>
      <c r="AB496" s="222" t="s">
        <v>212</v>
      </c>
      <c r="AC496" s="215"/>
    </row>
    <row r="497" spans="1:29" ht="13.5" customHeight="1">
      <c r="A497" s="215"/>
      <c r="B497" s="532">
        <v>38958</v>
      </c>
      <c r="C497" s="532"/>
      <c r="D497" s="219" t="s">
        <v>212</v>
      </c>
      <c r="E497" s="224">
        <v>0</v>
      </c>
      <c r="F497" s="533">
        <v>0</v>
      </c>
      <c r="G497" s="533"/>
      <c r="H497" s="224">
        <v>332.5</v>
      </c>
      <c r="I497" s="533">
        <v>24</v>
      </c>
      <c r="J497" s="533"/>
      <c r="K497" s="224">
        <v>286.5</v>
      </c>
      <c r="L497" s="225">
        <v>24</v>
      </c>
      <c r="M497" s="224">
        <v>0</v>
      </c>
      <c r="N497" s="225">
        <v>0</v>
      </c>
      <c r="O497" s="226">
        <v>619</v>
      </c>
      <c r="P497" s="222" t="s">
        <v>212</v>
      </c>
      <c r="Q497" s="224">
        <v>0</v>
      </c>
      <c r="R497" s="225">
        <v>0</v>
      </c>
      <c r="S497" s="224">
        <v>0</v>
      </c>
      <c r="T497" s="533">
        <v>0</v>
      </c>
      <c r="U497" s="533"/>
      <c r="V497" s="224">
        <v>0</v>
      </c>
      <c r="W497" s="222" t="s">
        <v>212</v>
      </c>
      <c r="X497" s="534">
        <v>619</v>
      </c>
      <c r="Y497" s="534"/>
      <c r="Z497" s="222" t="s">
        <v>212</v>
      </c>
      <c r="AA497" s="227">
        <v>8318900</v>
      </c>
      <c r="AB497" s="228">
        <v>0</v>
      </c>
      <c r="AC497" s="215"/>
    </row>
    <row r="498" spans="1:29" ht="2.25" customHeight="1">
      <c r="A498" s="215"/>
      <c r="B498" s="529" t="s">
        <v>212</v>
      </c>
      <c r="C498" s="529"/>
      <c r="D498" s="219" t="s">
        <v>212</v>
      </c>
      <c r="E498" s="222" t="s">
        <v>212</v>
      </c>
      <c r="F498" s="531" t="s">
        <v>212</v>
      </c>
      <c r="G498" s="531"/>
      <c r="H498" s="222" t="s">
        <v>212</v>
      </c>
      <c r="I498" s="531" t="s">
        <v>212</v>
      </c>
      <c r="J498" s="531"/>
      <c r="K498" s="222" t="s">
        <v>212</v>
      </c>
      <c r="L498" s="222" t="s">
        <v>212</v>
      </c>
      <c r="M498" s="222" t="s">
        <v>212</v>
      </c>
      <c r="N498" s="222" t="s">
        <v>212</v>
      </c>
      <c r="O498" s="222" t="s">
        <v>212</v>
      </c>
      <c r="P498" s="222" t="s">
        <v>212</v>
      </c>
      <c r="Q498" s="222" t="s">
        <v>212</v>
      </c>
      <c r="R498" s="222" t="s">
        <v>212</v>
      </c>
      <c r="S498" s="222" t="s">
        <v>212</v>
      </c>
      <c r="T498" s="531" t="s">
        <v>212</v>
      </c>
      <c r="U498" s="531"/>
      <c r="V498" s="222" t="s">
        <v>212</v>
      </c>
      <c r="W498" s="222" t="s">
        <v>212</v>
      </c>
      <c r="X498" s="531" t="s">
        <v>212</v>
      </c>
      <c r="Y498" s="531"/>
      <c r="Z498" s="222" t="s">
        <v>212</v>
      </c>
      <c r="AA498" s="222" t="s">
        <v>212</v>
      </c>
      <c r="AB498" s="222" t="s">
        <v>212</v>
      </c>
      <c r="AC498" s="215"/>
    </row>
    <row r="499" spans="1:29" ht="13.5" customHeight="1">
      <c r="A499" s="215"/>
      <c r="B499" s="535">
        <v>38959</v>
      </c>
      <c r="C499" s="535"/>
      <c r="D499" s="219" t="s">
        <v>212</v>
      </c>
      <c r="E499" s="229">
        <v>0</v>
      </c>
      <c r="F499" s="536">
        <v>0</v>
      </c>
      <c r="G499" s="536"/>
      <c r="H499" s="229">
        <v>330.2</v>
      </c>
      <c r="I499" s="536">
        <v>24</v>
      </c>
      <c r="J499" s="536"/>
      <c r="K499" s="229">
        <v>287.89999999999998</v>
      </c>
      <c r="L499" s="230">
        <v>24</v>
      </c>
      <c r="M499" s="229">
        <v>0</v>
      </c>
      <c r="N499" s="230">
        <v>0</v>
      </c>
      <c r="O499" s="231">
        <v>618.1</v>
      </c>
      <c r="P499" s="222" t="s">
        <v>212</v>
      </c>
      <c r="Q499" s="229">
        <v>0</v>
      </c>
      <c r="R499" s="230">
        <v>0</v>
      </c>
      <c r="S499" s="229">
        <v>0</v>
      </c>
      <c r="T499" s="536">
        <v>0</v>
      </c>
      <c r="U499" s="536"/>
      <c r="V499" s="229">
        <v>0</v>
      </c>
      <c r="W499" s="222" t="s">
        <v>212</v>
      </c>
      <c r="X499" s="530">
        <v>618.1</v>
      </c>
      <c r="Y499" s="530"/>
      <c r="Z499" s="222" t="s">
        <v>212</v>
      </c>
      <c r="AA499" s="232">
        <v>8278800</v>
      </c>
      <c r="AB499" s="233">
        <v>0</v>
      </c>
      <c r="AC499" s="215"/>
    </row>
    <row r="500" spans="1:29" ht="2.25" customHeight="1">
      <c r="A500" s="215"/>
      <c r="B500" s="529" t="s">
        <v>212</v>
      </c>
      <c r="C500" s="529"/>
      <c r="D500" s="219" t="s">
        <v>212</v>
      </c>
      <c r="E500" s="222" t="s">
        <v>212</v>
      </c>
      <c r="F500" s="531" t="s">
        <v>212</v>
      </c>
      <c r="G500" s="531"/>
      <c r="H500" s="222" t="s">
        <v>212</v>
      </c>
      <c r="I500" s="531" t="s">
        <v>212</v>
      </c>
      <c r="J500" s="531"/>
      <c r="K500" s="222" t="s">
        <v>212</v>
      </c>
      <c r="L500" s="222" t="s">
        <v>212</v>
      </c>
      <c r="M500" s="222" t="s">
        <v>212</v>
      </c>
      <c r="N500" s="222" t="s">
        <v>212</v>
      </c>
      <c r="O500" s="222" t="s">
        <v>212</v>
      </c>
      <c r="P500" s="222" t="s">
        <v>212</v>
      </c>
      <c r="Q500" s="222" t="s">
        <v>212</v>
      </c>
      <c r="R500" s="222" t="s">
        <v>212</v>
      </c>
      <c r="S500" s="222" t="s">
        <v>212</v>
      </c>
      <c r="T500" s="531" t="s">
        <v>212</v>
      </c>
      <c r="U500" s="531"/>
      <c r="V500" s="222" t="s">
        <v>212</v>
      </c>
      <c r="W500" s="222" t="s">
        <v>212</v>
      </c>
      <c r="X500" s="531" t="s">
        <v>212</v>
      </c>
      <c r="Y500" s="531"/>
      <c r="Z500" s="222" t="s">
        <v>212</v>
      </c>
      <c r="AA500" s="222" t="s">
        <v>212</v>
      </c>
      <c r="AB500" s="222" t="s">
        <v>212</v>
      </c>
      <c r="AC500" s="215"/>
    </row>
    <row r="501" spans="1:29" ht="13.5" customHeight="1">
      <c r="A501" s="215"/>
      <c r="B501" s="532">
        <v>38960</v>
      </c>
      <c r="C501" s="532"/>
      <c r="D501" s="219" t="s">
        <v>212</v>
      </c>
      <c r="E501" s="224">
        <v>127.7</v>
      </c>
      <c r="F501" s="533">
        <v>11</v>
      </c>
      <c r="G501" s="533"/>
      <c r="H501" s="224">
        <v>208</v>
      </c>
      <c r="I501" s="533">
        <v>16</v>
      </c>
      <c r="J501" s="533"/>
      <c r="K501" s="224">
        <v>311.10000000000002</v>
      </c>
      <c r="L501" s="225">
        <v>24</v>
      </c>
      <c r="M501" s="224">
        <v>0</v>
      </c>
      <c r="N501" s="225">
        <v>0</v>
      </c>
      <c r="O501" s="226">
        <v>646.79999999999995</v>
      </c>
      <c r="P501" s="222" t="s">
        <v>212</v>
      </c>
      <c r="Q501" s="224">
        <v>0</v>
      </c>
      <c r="R501" s="225">
        <v>0</v>
      </c>
      <c r="S501" s="224">
        <v>0</v>
      </c>
      <c r="T501" s="533">
        <v>0</v>
      </c>
      <c r="U501" s="533"/>
      <c r="V501" s="224">
        <v>0</v>
      </c>
      <c r="W501" s="222" t="s">
        <v>212</v>
      </c>
      <c r="X501" s="534">
        <v>646.79999999999995</v>
      </c>
      <c r="Y501" s="534"/>
      <c r="Z501" s="222" t="s">
        <v>212</v>
      </c>
      <c r="AA501" s="227">
        <v>8828300</v>
      </c>
      <c r="AB501" s="228">
        <v>417</v>
      </c>
      <c r="AC501" s="215"/>
    </row>
    <row r="502" spans="1:29" ht="2.25" customHeight="1">
      <c r="A502" s="215"/>
      <c r="B502" s="529" t="s">
        <v>212</v>
      </c>
      <c r="C502" s="529"/>
      <c r="D502" s="219" t="s">
        <v>212</v>
      </c>
      <c r="E502" s="222" t="s">
        <v>212</v>
      </c>
      <c r="F502" s="531" t="s">
        <v>212</v>
      </c>
      <c r="G502" s="531"/>
      <c r="H502" s="222" t="s">
        <v>212</v>
      </c>
      <c r="I502" s="531" t="s">
        <v>212</v>
      </c>
      <c r="J502" s="531"/>
      <c r="K502" s="222" t="s">
        <v>212</v>
      </c>
      <c r="L502" s="222" t="s">
        <v>212</v>
      </c>
      <c r="M502" s="222" t="s">
        <v>212</v>
      </c>
      <c r="N502" s="222" t="s">
        <v>212</v>
      </c>
      <c r="O502" s="222" t="s">
        <v>212</v>
      </c>
      <c r="P502" s="222" t="s">
        <v>212</v>
      </c>
      <c r="Q502" s="222" t="s">
        <v>212</v>
      </c>
      <c r="R502" s="222" t="s">
        <v>212</v>
      </c>
      <c r="S502" s="222" t="s">
        <v>212</v>
      </c>
      <c r="T502" s="531" t="s">
        <v>212</v>
      </c>
      <c r="U502" s="531"/>
      <c r="V502" s="222" t="s">
        <v>212</v>
      </c>
      <c r="W502" s="222" t="s">
        <v>212</v>
      </c>
      <c r="X502" s="531" t="s">
        <v>212</v>
      </c>
      <c r="Y502" s="531"/>
      <c r="Z502" s="222" t="s">
        <v>212</v>
      </c>
      <c r="AA502" s="222" t="s">
        <v>212</v>
      </c>
      <c r="AB502" s="222" t="s">
        <v>212</v>
      </c>
      <c r="AC502" s="215"/>
    </row>
    <row r="503" spans="1:29" ht="13.5" customHeight="1">
      <c r="A503" s="215"/>
      <c r="B503" s="535">
        <v>38961</v>
      </c>
      <c r="C503" s="535"/>
      <c r="D503" s="219" t="s">
        <v>212</v>
      </c>
      <c r="E503" s="229">
        <v>271.10000000000002</v>
      </c>
      <c r="F503" s="536">
        <v>24</v>
      </c>
      <c r="G503" s="536"/>
      <c r="H503" s="229">
        <v>254.1</v>
      </c>
      <c r="I503" s="536">
        <v>24</v>
      </c>
      <c r="J503" s="536"/>
      <c r="K503" s="229">
        <v>118.9</v>
      </c>
      <c r="L503" s="230">
        <v>11</v>
      </c>
      <c r="M503" s="229">
        <v>0</v>
      </c>
      <c r="N503" s="230">
        <v>0</v>
      </c>
      <c r="O503" s="231">
        <v>644.1</v>
      </c>
      <c r="P503" s="222" t="s">
        <v>212</v>
      </c>
      <c r="Q503" s="229">
        <v>0</v>
      </c>
      <c r="R503" s="230">
        <v>0</v>
      </c>
      <c r="S503" s="229">
        <v>0</v>
      </c>
      <c r="T503" s="536">
        <v>0</v>
      </c>
      <c r="U503" s="536"/>
      <c r="V503" s="229">
        <v>0</v>
      </c>
      <c r="W503" s="222" t="s">
        <v>212</v>
      </c>
      <c r="X503" s="530">
        <v>644.1</v>
      </c>
      <c r="Y503" s="530"/>
      <c r="Z503" s="222" t="s">
        <v>212</v>
      </c>
      <c r="AA503" s="232">
        <v>9222800</v>
      </c>
      <c r="AB503" s="233">
        <v>0</v>
      </c>
      <c r="AC503" s="215"/>
    </row>
    <row r="504" spans="1:29" ht="2.25" customHeight="1">
      <c r="A504" s="215"/>
      <c r="B504" s="529" t="s">
        <v>212</v>
      </c>
      <c r="C504" s="529"/>
      <c r="D504" s="219" t="s">
        <v>212</v>
      </c>
      <c r="E504" s="222" t="s">
        <v>212</v>
      </c>
      <c r="F504" s="531" t="s">
        <v>212</v>
      </c>
      <c r="G504" s="531"/>
      <c r="H504" s="222" t="s">
        <v>212</v>
      </c>
      <c r="I504" s="531" t="s">
        <v>212</v>
      </c>
      <c r="J504" s="531"/>
      <c r="K504" s="222" t="s">
        <v>212</v>
      </c>
      <c r="L504" s="222" t="s">
        <v>212</v>
      </c>
      <c r="M504" s="222" t="s">
        <v>212</v>
      </c>
      <c r="N504" s="222" t="s">
        <v>212</v>
      </c>
      <c r="O504" s="222" t="s">
        <v>212</v>
      </c>
      <c r="P504" s="222" t="s">
        <v>212</v>
      </c>
      <c r="Q504" s="222" t="s">
        <v>212</v>
      </c>
      <c r="R504" s="222" t="s">
        <v>212</v>
      </c>
      <c r="S504" s="222" t="s">
        <v>212</v>
      </c>
      <c r="T504" s="531" t="s">
        <v>212</v>
      </c>
      <c r="U504" s="531"/>
      <c r="V504" s="222" t="s">
        <v>212</v>
      </c>
      <c r="W504" s="222" t="s">
        <v>212</v>
      </c>
      <c r="X504" s="531" t="s">
        <v>212</v>
      </c>
      <c r="Y504" s="531"/>
      <c r="Z504" s="222" t="s">
        <v>212</v>
      </c>
      <c r="AA504" s="222" t="s">
        <v>212</v>
      </c>
      <c r="AB504" s="222" t="s">
        <v>212</v>
      </c>
      <c r="AC504" s="215"/>
    </row>
    <row r="505" spans="1:29" ht="13.5" customHeight="1">
      <c r="A505" s="215"/>
      <c r="B505" s="532">
        <v>38962</v>
      </c>
      <c r="C505" s="532"/>
      <c r="D505" s="219" t="s">
        <v>212</v>
      </c>
      <c r="E505" s="224">
        <v>246.1</v>
      </c>
      <c r="F505" s="533">
        <v>24</v>
      </c>
      <c r="G505" s="533"/>
      <c r="H505" s="224">
        <v>281.2</v>
      </c>
      <c r="I505" s="533">
        <v>24</v>
      </c>
      <c r="J505" s="533"/>
      <c r="K505" s="224">
        <v>7</v>
      </c>
      <c r="L505" s="225">
        <v>4</v>
      </c>
      <c r="M505" s="224">
        <v>0</v>
      </c>
      <c r="N505" s="225">
        <v>0</v>
      </c>
      <c r="O505" s="226">
        <v>534.29999999999995</v>
      </c>
      <c r="P505" s="222" t="s">
        <v>212</v>
      </c>
      <c r="Q505" s="224">
        <v>0</v>
      </c>
      <c r="R505" s="225">
        <v>24</v>
      </c>
      <c r="S505" s="224">
        <v>0</v>
      </c>
      <c r="T505" s="533">
        <v>0</v>
      </c>
      <c r="U505" s="533"/>
      <c r="V505" s="224">
        <v>0</v>
      </c>
      <c r="W505" s="222" t="s">
        <v>212</v>
      </c>
      <c r="X505" s="534">
        <v>534.29999999999995</v>
      </c>
      <c r="Y505" s="534"/>
      <c r="Z505" s="222" t="s">
        <v>212</v>
      </c>
      <c r="AA505" s="227">
        <v>7766500</v>
      </c>
      <c r="AB505" s="228">
        <v>3643</v>
      </c>
      <c r="AC505" s="215"/>
    </row>
    <row r="506" spans="1:29" ht="2.25" customHeight="1">
      <c r="A506" s="215"/>
      <c r="B506" s="529" t="s">
        <v>212</v>
      </c>
      <c r="C506" s="529"/>
      <c r="D506" s="219" t="s">
        <v>212</v>
      </c>
      <c r="E506" s="222" t="s">
        <v>212</v>
      </c>
      <c r="F506" s="531" t="s">
        <v>212</v>
      </c>
      <c r="G506" s="531"/>
      <c r="H506" s="222" t="s">
        <v>212</v>
      </c>
      <c r="I506" s="531" t="s">
        <v>212</v>
      </c>
      <c r="J506" s="531"/>
      <c r="K506" s="222" t="s">
        <v>212</v>
      </c>
      <c r="L506" s="222" t="s">
        <v>212</v>
      </c>
      <c r="M506" s="222" t="s">
        <v>212</v>
      </c>
      <c r="N506" s="222" t="s">
        <v>212</v>
      </c>
      <c r="O506" s="222" t="s">
        <v>212</v>
      </c>
      <c r="P506" s="222" t="s">
        <v>212</v>
      </c>
      <c r="Q506" s="222" t="s">
        <v>212</v>
      </c>
      <c r="R506" s="222" t="s">
        <v>212</v>
      </c>
      <c r="S506" s="222" t="s">
        <v>212</v>
      </c>
      <c r="T506" s="531" t="s">
        <v>212</v>
      </c>
      <c r="U506" s="531"/>
      <c r="V506" s="222" t="s">
        <v>212</v>
      </c>
      <c r="W506" s="222" t="s">
        <v>212</v>
      </c>
      <c r="X506" s="531" t="s">
        <v>212</v>
      </c>
      <c r="Y506" s="531"/>
      <c r="Z506" s="222" t="s">
        <v>212</v>
      </c>
      <c r="AA506" s="222" t="s">
        <v>212</v>
      </c>
      <c r="AB506" s="222" t="s">
        <v>212</v>
      </c>
      <c r="AC506" s="215"/>
    </row>
    <row r="507" spans="1:29" ht="13.5" customHeight="1">
      <c r="A507" s="215"/>
      <c r="B507" s="535">
        <v>38963</v>
      </c>
      <c r="C507" s="535"/>
      <c r="D507" s="219" t="s">
        <v>212</v>
      </c>
      <c r="E507" s="229">
        <v>250</v>
      </c>
      <c r="F507" s="536">
        <v>24</v>
      </c>
      <c r="G507" s="536"/>
      <c r="H507" s="229">
        <v>242.5</v>
      </c>
      <c r="I507" s="536">
        <v>24</v>
      </c>
      <c r="J507" s="536"/>
      <c r="K507" s="229">
        <v>29.4</v>
      </c>
      <c r="L507" s="230">
        <v>13</v>
      </c>
      <c r="M507" s="229">
        <v>0</v>
      </c>
      <c r="N507" s="230">
        <v>0</v>
      </c>
      <c r="O507" s="231">
        <v>521.9</v>
      </c>
      <c r="P507" s="222" t="s">
        <v>212</v>
      </c>
      <c r="Q507" s="229">
        <v>0</v>
      </c>
      <c r="R507" s="230">
        <v>0</v>
      </c>
      <c r="S507" s="229">
        <v>0</v>
      </c>
      <c r="T507" s="536">
        <v>0</v>
      </c>
      <c r="U507" s="536"/>
      <c r="V507" s="229">
        <v>0</v>
      </c>
      <c r="W507" s="222" t="s">
        <v>212</v>
      </c>
      <c r="X507" s="530">
        <v>521.9</v>
      </c>
      <c r="Y507" s="530"/>
      <c r="Z507" s="222" t="s">
        <v>212</v>
      </c>
      <c r="AA507" s="232">
        <v>8107500</v>
      </c>
      <c r="AB507" s="233">
        <v>16272</v>
      </c>
      <c r="AC507" s="215"/>
    </row>
    <row r="508" spans="1:29" ht="2.25" customHeight="1">
      <c r="A508" s="215"/>
      <c r="B508" s="529" t="s">
        <v>212</v>
      </c>
      <c r="C508" s="529"/>
      <c r="D508" s="219" t="s">
        <v>212</v>
      </c>
      <c r="E508" s="222" t="s">
        <v>212</v>
      </c>
      <c r="F508" s="531" t="s">
        <v>212</v>
      </c>
      <c r="G508" s="531"/>
      <c r="H508" s="222" t="s">
        <v>212</v>
      </c>
      <c r="I508" s="531" t="s">
        <v>212</v>
      </c>
      <c r="J508" s="531"/>
      <c r="K508" s="222" t="s">
        <v>212</v>
      </c>
      <c r="L508" s="222" t="s">
        <v>212</v>
      </c>
      <c r="M508" s="222" t="s">
        <v>212</v>
      </c>
      <c r="N508" s="222" t="s">
        <v>212</v>
      </c>
      <c r="O508" s="222" t="s">
        <v>212</v>
      </c>
      <c r="P508" s="222" t="s">
        <v>212</v>
      </c>
      <c r="Q508" s="222" t="s">
        <v>212</v>
      </c>
      <c r="R508" s="222" t="s">
        <v>212</v>
      </c>
      <c r="S508" s="222" t="s">
        <v>212</v>
      </c>
      <c r="T508" s="531" t="s">
        <v>212</v>
      </c>
      <c r="U508" s="531"/>
      <c r="V508" s="222" t="s">
        <v>212</v>
      </c>
      <c r="W508" s="222" t="s">
        <v>212</v>
      </c>
      <c r="X508" s="531" t="s">
        <v>212</v>
      </c>
      <c r="Y508" s="531"/>
      <c r="Z508" s="222" t="s">
        <v>212</v>
      </c>
      <c r="AA508" s="222" t="s">
        <v>212</v>
      </c>
      <c r="AB508" s="222" t="s">
        <v>212</v>
      </c>
      <c r="AC508" s="215"/>
    </row>
    <row r="509" spans="1:29" ht="13.5" customHeight="1">
      <c r="A509" s="215"/>
      <c r="B509" s="532">
        <v>38964</v>
      </c>
      <c r="C509" s="532"/>
      <c r="D509" s="219" t="s">
        <v>212</v>
      </c>
      <c r="E509" s="224">
        <v>248.5</v>
      </c>
      <c r="F509" s="533">
        <v>24</v>
      </c>
      <c r="G509" s="533"/>
      <c r="H509" s="224">
        <v>260</v>
      </c>
      <c r="I509" s="533">
        <v>24</v>
      </c>
      <c r="J509" s="533"/>
      <c r="K509" s="224">
        <v>0</v>
      </c>
      <c r="L509" s="225">
        <v>24</v>
      </c>
      <c r="M509" s="224">
        <v>0</v>
      </c>
      <c r="N509" s="225">
        <v>0</v>
      </c>
      <c r="O509" s="226">
        <v>508.5</v>
      </c>
      <c r="P509" s="222" t="s">
        <v>212</v>
      </c>
      <c r="Q509" s="224">
        <v>0</v>
      </c>
      <c r="R509" s="225">
        <v>0</v>
      </c>
      <c r="S509" s="224">
        <v>0</v>
      </c>
      <c r="T509" s="533">
        <v>0</v>
      </c>
      <c r="U509" s="533"/>
      <c r="V509" s="224">
        <v>0</v>
      </c>
      <c r="W509" s="222" t="s">
        <v>212</v>
      </c>
      <c r="X509" s="534">
        <v>508.5</v>
      </c>
      <c r="Y509" s="534"/>
      <c r="Z509" s="222" t="s">
        <v>212</v>
      </c>
      <c r="AA509" s="227">
        <v>8944941</v>
      </c>
      <c r="AB509" s="228">
        <v>0</v>
      </c>
      <c r="AC509" s="215"/>
    </row>
    <row r="510" spans="1:29" ht="2.25" customHeight="1">
      <c r="A510" s="215"/>
      <c r="B510" s="529" t="s">
        <v>212</v>
      </c>
      <c r="C510" s="529"/>
      <c r="D510" s="219" t="s">
        <v>212</v>
      </c>
      <c r="E510" s="222" t="s">
        <v>212</v>
      </c>
      <c r="F510" s="531" t="s">
        <v>212</v>
      </c>
      <c r="G510" s="531"/>
      <c r="H510" s="222" t="s">
        <v>212</v>
      </c>
      <c r="I510" s="531" t="s">
        <v>212</v>
      </c>
      <c r="J510" s="531"/>
      <c r="K510" s="222" t="s">
        <v>212</v>
      </c>
      <c r="L510" s="222" t="s">
        <v>212</v>
      </c>
      <c r="M510" s="222" t="s">
        <v>212</v>
      </c>
      <c r="N510" s="222" t="s">
        <v>212</v>
      </c>
      <c r="O510" s="222" t="s">
        <v>212</v>
      </c>
      <c r="P510" s="222" t="s">
        <v>212</v>
      </c>
      <c r="Q510" s="222" t="s">
        <v>212</v>
      </c>
      <c r="R510" s="222" t="s">
        <v>212</v>
      </c>
      <c r="S510" s="222" t="s">
        <v>212</v>
      </c>
      <c r="T510" s="531" t="s">
        <v>212</v>
      </c>
      <c r="U510" s="531"/>
      <c r="V510" s="222" t="s">
        <v>212</v>
      </c>
      <c r="W510" s="222" t="s">
        <v>212</v>
      </c>
      <c r="X510" s="531" t="s">
        <v>212</v>
      </c>
      <c r="Y510" s="531"/>
      <c r="Z510" s="222" t="s">
        <v>212</v>
      </c>
      <c r="AA510" s="222" t="s">
        <v>212</v>
      </c>
      <c r="AB510" s="222" t="s">
        <v>212</v>
      </c>
      <c r="AC510" s="215"/>
    </row>
    <row r="511" spans="1:29" ht="13.5" customHeight="1">
      <c r="A511" s="215"/>
      <c r="B511" s="535">
        <v>38965</v>
      </c>
      <c r="C511" s="535"/>
      <c r="D511" s="219" t="s">
        <v>212</v>
      </c>
      <c r="E511" s="229">
        <v>131</v>
      </c>
      <c r="F511" s="536">
        <v>15</v>
      </c>
      <c r="G511" s="536"/>
      <c r="H511" s="229">
        <v>285.5</v>
      </c>
      <c r="I511" s="536">
        <v>24</v>
      </c>
      <c r="J511" s="536"/>
      <c r="K511" s="229">
        <v>148.1</v>
      </c>
      <c r="L511" s="230">
        <v>24</v>
      </c>
      <c r="M511" s="229">
        <v>0</v>
      </c>
      <c r="N511" s="230">
        <v>0</v>
      </c>
      <c r="O511" s="231">
        <v>564.6</v>
      </c>
      <c r="P511" s="222" t="s">
        <v>212</v>
      </c>
      <c r="Q511" s="229">
        <v>0</v>
      </c>
      <c r="R511" s="230">
        <v>0</v>
      </c>
      <c r="S511" s="229">
        <v>0</v>
      </c>
      <c r="T511" s="536">
        <v>0</v>
      </c>
      <c r="U511" s="536"/>
      <c r="V511" s="229">
        <v>0</v>
      </c>
      <c r="W511" s="222" t="s">
        <v>212</v>
      </c>
      <c r="X511" s="530">
        <v>564.6</v>
      </c>
      <c r="Y511" s="530"/>
      <c r="Z511" s="222" t="s">
        <v>212</v>
      </c>
      <c r="AA511" s="232">
        <v>8607443</v>
      </c>
      <c r="AB511" s="233">
        <v>0</v>
      </c>
      <c r="AC511" s="215"/>
    </row>
    <row r="512" spans="1:29" ht="2.25" customHeight="1">
      <c r="A512" s="215"/>
      <c r="B512" s="529" t="s">
        <v>212</v>
      </c>
      <c r="C512" s="529"/>
      <c r="D512" s="219" t="s">
        <v>212</v>
      </c>
      <c r="E512" s="222" t="s">
        <v>212</v>
      </c>
      <c r="F512" s="531" t="s">
        <v>212</v>
      </c>
      <c r="G512" s="531"/>
      <c r="H512" s="222" t="s">
        <v>212</v>
      </c>
      <c r="I512" s="531" t="s">
        <v>212</v>
      </c>
      <c r="J512" s="531"/>
      <c r="K512" s="222" t="s">
        <v>212</v>
      </c>
      <c r="L512" s="222" t="s">
        <v>212</v>
      </c>
      <c r="M512" s="222" t="s">
        <v>212</v>
      </c>
      <c r="N512" s="222" t="s">
        <v>212</v>
      </c>
      <c r="O512" s="222" t="s">
        <v>212</v>
      </c>
      <c r="P512" s="222" t="s">
        <v>212</v>
      </c>
      <c r="Q512" s="222" t="s">
        <v>212</v>
      </c>
      <c r="R512" s="222" t="s">
        <v>212</v>
      </c>
      <c r="S512" s="222" t="s">
        <v>212</v>
      </c>
      <c r="T512" s="531" t="s">
        <v>212</v>
      </c>
      <c r="U512" s="531"/>
      <c r="V512" s="222" t="s">
        <v>212</v>
      </c>
      <c r="W512" s="222" t="s">
        <v>212</v>
      </c>
      <c r="X512" s="531" t="s">
        <v>212</v>
      </c>
      <c r="Y512" s="531"/>
      <c r="Z512" s="222" t="s">
        <v>212</v>
      </c>
      <c r="AA512" s="222" t="s">
        <v>212</v>
      </c>
      <c r="AB512" s="222" t="s">
        <v>212</v>
      </c>
      <c r="AC512" s="215"/>
    </row>
    <row r="513" spans="1:29" ht="13.5" customHeight="1">
      <c r="A513" s="215"/>
      <c r="B513" s="532">
        <v>38966</v>
      </c>
      <c r="C513" s="532"/>
      <c r="D513" s="219" t="s">
        <v>212</v>
      </c>
      <c r="E513" s="224">
        <v>0</v>
      </c>
      <c r="F513" s="533">
        <v>0</v>
      </c>
      <c r="G513" s="533"/>
      <c r="H513" s="224">
        <v>317.10000000000002</v>
      </c>
      <c r="I513" s="533">
        <v>24</v>
      </c>
      <c r="J513" s="533"/>
      <c r="K513" s="224">
        <v>237.5</v>
      </c>
      <c r="L513" s="225">
        <v>24</v>
      </c>
      <c r="M513" s="224">
        <v>0</v>
      </c>
      <c r="N513" s="225">
        <v>0</v>
      </c>
      <c r="O513" s="226">
        <v>554.6</v>
      </c>
      <c r="P513" s="222" t="s">
        <v>212</v>
      </c>
      <c r="Q513" s="224">
        <v>0</v>
      </c>
      <c r="R513" s="225">
        <v>0</v>
      </c>
      <c r="S513" s="224">
        <v>0</v>
      </c>
      <c r="T513" s="533">
        <v>0</v>
      </c>
      <c r="U513" s="533"/>
      <c r="V513" s="224">
        <v>0</v>
      </c>
      <c r="W513" s="222" t="s">
        <v>212</v>
      </c>
      <c r="X513" s="534">
        <v>554.6</v>
      </c>
      <c r="Y513" s="534"/>
      <c r="Z513" s="222" t="s">
        <v>212</v>
      </c>
      <c r="AA513" s="227">
        <v>7145100</v>
      </c>
      <c r="AB513" s="228">
        <v>0</v>
      </c>
      <c r="AC513" s="215"/>
    </row>
    <row r="514" spans="1:29" ht="2.25" customHeight="1">
      <c r="A514" s="215"/>
      <c r="B514" s="529" t="s">
        <v>212</v>
      </c>
      <c r="C514" s="529"/>
      <c r="D514" s="219" t="s">
        <v>212</v>
      </c>
      <c r="E514" s="222" t="s">
        <v>212</v>
      </c>
      <c r="F514" s="531" t="s">
        <v>212</v>
      </c>
      <c r="G514" s="531"/>
      <c r="H514" s="222" t="s">
        <v>212</v>
      </c>
      <c r="I514" s="531" t="s">
        <v>212</v>
      </c>
      <c r="J514" s="531"/>
      <c r="K514" s="222" t="s">
        <v>212</v>
      </c>
      <c r="L514" s="222" t="s">
        <v>212</v>
      </c>
      <c r="M514" s="222" t="s">
        <v>212</v>
      </c>
      <c r="N514" s="222" t="s">
        <v>212</v>
      </c>
      <c r="O514" s="222" t="s">
        <v>212</v>
      </c>
      <c r="P514" s="222" t="s">
        <v>212</v>
      </c>
      <c r="Q514" s="222" t="s">
        <v>212</v>
      </c>
      <c r="R514" s="222" t="s">
        <v>212</v>
      </c>
      <c r="S514" s="222" t="s">
        <v>212</v>
      </c>
      <c r="T514" s="531" t="s">
        <v>212</v>
      </c>
      <c r="U514" s="531"/>
      <c r="V514" s="222" t="s">
        <v>212</v>
      </c>
      <c r="W514" s="222" t="s">
        <v>212</v>
      </c>
      <c r="X514" s="531" t="s">
        <v>212</v>
      </c>
      <c r="Y514" s="531"/>
      <c r="Z514" s="222" t="s">
        <v>212</v>
      </c>
      <c r="AA514" s="222" t="s">
        <v>212</v>
      </c>
      <c r="AB514" s="222" t="s">
        <v>212</v>
      </c>
      <c r="AC514" s="215"/>
    </row>
    <row r="515" spans="1:29" ht="13.5" customHeight="1">
      <c r="A515" s="215"/>
      <c r="B515" s="535">
        <v>38967</v>
      </c>
      <c r="C515" s="535"/>
      <c r="D515" s="219" t="s">
        <v>212</v>
      </c>
      <c r="E515" s="229">
        <v>0</v>
      </c>
      <c r="F515" s="536">
        <v>0</v>
      </c>
      <c r="G515" s="536"/>
      <c r="H515" s="229">
        <v>313.8</v>
      </c>
      <c r="I515" s="536">
        <v>24</v>
      </c>
      <c r="J515" s="536"/>
      <c r="K515" s="229">
        <v>263.39999999999998</v>
      </c>
      <c r="L515" s="230">
        <v>24</v>
      </c>
      <c r="M515" s="229">
        <v>0</v>
      </c>
      <c r="N515" s="230">
        <v>0</v>
      </c>
      <c r="O515" s="231">
        <v>577.20000000000005</v>
      </c>
      <c r="P515" s="222" t="s">
        <v>212</v>
      </c>
      <c r="Q515" s="229">
        <v>0</v>
      </c>
      <c r="R515" s="230">
        <v>0</v>
      </c>
      <c r="S515" s="229">
        <v>0</v>
      </c>
      <c r="T515" s="536">
        <v>0</v>
      </c>
      <c r="U515" s="536"/>
      <c r="V515" s="229">
        <v>0</v>
      </c>
      <c r="W515" s="222" t="s">
        <v>212</v>
      </c>
      <c r="X515" s="530">
        <v>577.20000000000005</v>
      </c>
      <c r="Y515" s="530"/>
      <c r="Z515" s="222" t="s">
        <v>212</v>
      </c>
      <c r="AA515" s="232">
        <v>8008800</v>
      </c>
      <c r="AB515" s="233">
        <v>0</v>
      </c>
      <c r="AC515" s="215"/>
    </row>
    <row r="516" spans="1:29" ht="2.25" customHeight="1">
      <c r="A516" s="215"/>
      <c r="B516" s="529" t="s">
        <v>212</v>
      </c>
      <c r="C516" s="529"/>
      <c r="D516" s="219" t="s">
        <v>212</v>
      </c>
      <c r="E516" s="222" t="s">
        <v>212</v>
      </c>
      <c r="F516" s="531" t="s">
        <v>212</v>
      </c>
      <c r="G516" s="531"/>
      <c r="H516" s="222" t="s">
        <v>212</v>
      </c>
      <c r="I516" s="531" t="s">
        <v>212</v>
      </c>
      <c r="J516" s="531"/>
      <c r="K516" s="222" t="s">
        <v>212</v>
      </c>
      <c r="L516" s="222" t="s">
        <v>212</v>
      </c>
      <c r="M516" s="222" t="s">
        <v>212</v>
      </c>
      <c r="N516" s="222" t="s">
        <v>212</v>
      </c>
      <c r="O516" s="222" t="s">
        <v>212</v>
      </c>
      <c r="P516" s="222" t="s">
        <v>212</v>
      </c>
      <c r="Q516" s="222" t="s">
        <v>212</v>
      </c>
      <c r="R516" s="222" t="s">
        <v>212</v>
      </c>
      <c r="S516" s="222" t="s">
        <v>212</v>
      </c>
      <c r="T516" s="531" t="s">
        <v>212</v>
      </c>
      <c r="U516" s="531"/>
      <c r="V516" s="222" t="s">
        <v>212</v>
      </c>
      <c r="W516" s="222" t="s">
        <v>212</v>
      </c>
      <c r="X516" s="531" t="s">
        <v>212</v>
      </c>
      <c r="Y516" s="531"/>
      <c r="Z516" s="222" t="s">
        <v>212</v>
      </c>
      <c r="AA516" s="222" t="s">
        <v>212</v>
      </c>
      <c r="AB516" s="222" t="s">
        <v>212</v>
      </c>
      <c r="AC516" s="215"/>
    </row>
    <row r="517" spans="1:29" ht="13.5" customHeight="1">
      <c r="A517" s="215"/>
      <c r="B517" s="532">
        <v>38968</v>
      </c>
      <c r="C517" s="532"/>
      <c r="D517" s="219" t="s">
        <v>212</v>
      </c>
      <c r="E517" s="224">
        <v>0</v>
      </c>
      <c r="F517" s="533">
        <v>0</v>
      </c>
      <c r="G517" s="533"/>
      <c r="H517" s="224">
        <v>297.7</v>
      </c>
      <c r="I517" s="533">
        <v>24</v>
      </c>
      <c r="J517" s="533"/>
      <c r="K517" s="224">
        <v>251.5</v>
      </c>
      <c r="L517" s="225">
        <v>24</v>
      </c>
      <c r="M517" s="224">
        <v>0</v>
      </c>
      <c r="N517" s="225">
        <v>0</v>
      </c>
      <c r="O517" s="226">
        <v>549.20000000000005</v>
      </c>
      <c r="P517" s="222" t="s">
        <v>212</v>
      </c>
      <c r="Q517" s="224">
        <v>0</v>
      </c>
      <c r="R517" s="225">
        <v>0</v>
      </c>
      <c r="S517" s="224">
        <v>0</v>
      </c>
      <c r="T517" s="533">
        <v>0</v>
      </c>
      <c r="U517" s="533"/>
      <c r="V517" s="224">
        <v>0</v>
      </c>
      <c r="W517" s="222" t="s">
        <v>212</v>
      </c>
      <c r="X517" s="534">
        <v>549.20000000000005</v>
      </c>
      <c r="Y517" s="534"/>
      <c r="Z517" s="222" t="s">
        <v>212</v>
      </c>
      <c r="AA517" s="227">
        <v>7703400</v>
      </c>
      <c r="AB517" s="228">
        <v>0</v>
      </c>
      <c r="AC517" s="215"/>
    </row>
    <row r="518" spans="1:29" ht="2.25" customHeight="1">
      <c r="A518" s="215"/>
      <c r="B518" s="529" t="s">
        <v>212</v>
      </c>
      <c r="C518" s="529"/>
      <c r="D518" s="219" t="s">
        <v>212</v>
      </c>
      <c r="E518" s="222" t="s">
        <v>212</v>
      </c>
      <c r="F518" s="531" t="s">
        <v>212</v>
      </c>
      <c r="G518" s="531"/>
      <c r="H518" s="222" t="s">
        <v>212</v>
      </c>
      <c r="I518" s="531" t="s">
        <v>212</v>
      </c>
      <c r="J518" s="531"/>
      <c r="K518" s="222" t="s">
        <v>212</v>
      </c>
      <c r="L518" s="222" t="s">
        <v>212</v>
      </c>
      <c r="M518" s="222" t="s">
        <v>212</v>
      </c>
      <c r="N518" s="222" t="s">
        <v>212</v>
      </c>
      <c r="O518" s="222" t="s">
        <v>212</v>
      </c>
      <c r="P518" s="222" t="s">
        <v>212</v>
      </c>
      <c r="Q518" s="222" t="s">
        <v>212</v>
      </c>
      <c r="R518" s="222" t="s">
        <v>212</v>
      </c>
      <c r="S518" s="222" t="s">
        <v>212</v>
      </c>
      <c r="T518" s="531" t="s">
        <v>212</v>
      </c>
      <c r="U518" s="531"/>
      <c r="V518" s="222" t="s">
        <v>212</v>
      </c>
      <c r="W518" s="222" t="s">
        <v>212</v>
      </c>
      <c r="X518" s="531" t="s">
        <v>212</v>
      </c>
      <c r="Y518" s="531"/>
      <c r="Z518" s="222" t="s">
        <v>212</v>
      </c>
      <c r="AA518" s="222" t="s">
        <v>212</v>
      </c>
      <c r="AB518" s="222" t="s">
        <v>212</v>
      </c>
      <c r="AC518" s="215"/>
    </row>
    <row r="519" spans="1:29" ht="13.5" customHeight="1">
      <c r="A519" s="215"/>
      <c r="B519" s="535">
        <v>38969</v>
      </c>
      <c r="C519" s="535"/>
      <c r="D519" s="219" t="s">
        <v>212</v>
      </c>
      <c r="E519" s="229">
        <v>6.3</v>
      </c>
      <c r="F519" s="536">
        <v>5</v>
      </c>
      <c r="G519" s="536"/>
      <c r="H519" s="229">
        <v>295.5</v>
      </c>
      <c r="I519" s="536">
        <v>24</v>
      </c>
      <c r="J519" s="536"/>
      <c r="K519" s="229">
        <v>248.8</v>
      </c>
      <c r="L519" s="230">
        <v>24</v>
      </c>
      <c r="M519" s="229">
        <v>0</v>
      </c>
      <c r="N519" s="230">
        <v>0</v>
      </c>
      <c r="O519" s="231">
        <v>550.6</v>
      </c>
      <c r="P519" s="222" t="s">
        <v>212</v>
      </c>
      <c r="Q519" s="229">
        <v>0</v>
      </c>
      <c r="R519" s="230">
        <v>24</v>
      </c>
      <c r="S519" s="229">
        <v>0</v>
      </c>
      <c r="T519" s="536">
        <v>0</v>
      </c>
      <c r="U519" s="536"/>
      <c r="V519" s="229">
        <v>0</v>
      </c>
      <c r="W519" s="222" t="s">
        <v>212</v>
      </c>
      <c r="X519" s="530">
        <v>550.6</v>
      </c>
      <c r="Y519" s="530"/>
      <c r="Z519" s="222" t="s">
        <v>212</v>
      </c>
      <c r="AA519" s="232">
        <v>8108800</v>
      </c>
      <c r="AB519" s="233">
        <v>0</v>
      </c>
      <c r="AC519" s="215"/>
    </row>
    <row r="520" spans="1:29" ht="2.25" customHeight="1">
      <c r="A520" s="215"/>
      <c r="B520" s="529" t="s">
        <v>212</v>
      </c>
      <c r="C520" s="529"/>
      <c r="D520" s="219" t="s">
        <v>212</v>
      </c>
      <c r="E520" s="222" t="s">
        <v>212</v>
      </c>
      <c r="F520" s="531" t="s">
        <v>212</v>
      </c>
      <c r="G520" s="531"/>
      <c r="H520" s="222" t="s">
        <v>212</v>
      </c>
      <c r="I520" s="531" t="s">
        <v>212</v>
      </c>
      <c r="J520" s="531"/>
      <c r="K520" s="222" t="s">
        <v>212</v>
      </c>
      <c r="L520" s="222" t="s">
        <v>212</v>
      </c>
      <c r="M520" s="222" t="s">
        <v>212</v>
      </c>
      <c r="N520" s="222" t="s">
        <v>212</v>
      </c>
      <c r="O520" s="222" t="s">
        <v>212</v>
      </c>
      <c r="P520" s="222" t="s">
        <v>212</v>
      </c>
      <c r="Q520" s="222" t="s">
        <v>212</v>
      </c>
      <c r="R520" s="222" t="s">
        <v>212</v>
      </c>
      <c r="S520" s="222" t="s">
        <v>212</v>
      </c>
      <c r="T520" s="531" t="s">
        <v>212</v>
      </c>
      <c r="U520" s="531"/>
      <c r="V520" s="222" t="s">
        <v>212</v>
      </c>
      <c r="W520" s="222" t="s">
        <v>212</v>
      </c>
      <c r="X520" s="531" t="s">
        <v>212</v>
      </c>
      <c r="Y520" s="531"/>
      <c r="Z520" s="222" t="s">
        <v>212</v>
      </c>
      <c r="AA520" s="222" t="s">
        <v>212</v>
      </c>
      <c r="AB520" s="222" t="s">
        <v>212</v>
      </c>
      <c r="AC520" s="215"/>
    </row>
    <row r="521" spans="1:29" ht="13.5" customHeight="1">
      <c r="A521" s="215"/>
      <c r="B521" s="532">
        <v>38970</v>
      </c>
      <c r="C521" s="532"/>
      <c r="D521" s="219" t="s">
        <v>212</v>
      </c>
      <c r="E521" s="224">
        <v>0</v>
      </c>
      <c r="F521" s="533">
        <v>0</v>
      </c>
      <c r="G521" s="533"/>
      <c r="H521" s="224">
        <v>287.39999999999998</v>
      </c>
      <c r="I521" s="533">
        <v>24</v>
      </c>
      <c r="J521" s="533"/>
      <c r="K521" s="224">
        <v>270.3</v>
      </c>
      <c r="L521" s="225">
        <v>24</v>
      </c>
      <c r="M521" s="224">
        <v>0</v>
      </c>
      <c r="N521" s="225">
        <v>0</v>
      </c>
      <c r="O521" s="226">
        <v>557.70000000000005</v>
      </c>
      <c r="P521" s="222" t="s">
        <v>212</v>
      </c>
      <c r="Q521" s="224">
        <v>0</v>
      </c>
      <c r="R521" s="225">
        <v>0</v>
      </c>
      <c r="S521" s="224">
        <v>0</v>
      </c>
      <c r="T521" s="533">
        <v>0</v>
      </c>
      <c r="U521" s="533"/>
      <c r="V521" s="224">
        <v>0</v>
      </c>
      <c r="W521" s="222" t="s">
        <v>212</v>
      </c>
      <c r="X521" s="534">
        <v>557.70000000000005</v>
      </c>
      <c r="Y521" s="534"/>
      <c r="Z521" s="222" t="s">
        <v>212</v>
      </c>
      <c r="AA521" s="227">
        <v>7766500</v>
      </c>
      <c r="AB521" s="228">
        <v>0</v>
      </c>
      <c r="AC521" s="215"/>
    </row>
    <row r="522" spans="1:29" ht="2.25" customHeight="1">
      <c r="A522" s="215"/>
      <c r="B522" s="529" t="s">
        <v>212</v>
      </c>
      <c r="C522" s="529"/>
      <c r="D522" s="219" t="s">
        <v>212</v>
      </c>
      <c r="E522" s="222" t="s">
        <v>212</v>
      </c>
      <c r="F522" s="531" t="s">
        <v>212</v>
      </c>
      <c r="G522" s="531"/>
      <c r="H522" s="222" t="s">
        <v>212</v>
      </c>
      <c r="I522" s="531" t="s">
        <v>212</v>
      </c>
      <c r="J522" s="531"/>
      <c r="K522" s="222" t="s">
        <v>212</v>
      </c>
      <c r="L522" s="222" t="s">
        <v>212</v>
      </c>
      <c r="M522" s="222" t="s">
        <v>212</v>
      </c>
      <c r="N522" s="222" t="s">
        <v>212</v>
      </c>
      <c r="O522" s="222" t="s">
        <v>212</v>
      </c>
      <c r="P522" s="222" t="s">
        <v>212</v>
      </c>
      <c r="Q522" s="222" t="s">
        <v>212</v>
      </c>
      <c r="R522" s="222" t="s">
        <v>212</v>
      </c>
      <c r="S522" s="222" t="s">
        <v>212</v>
      </c>
      <c r="T522" s="531" t="s">
        <v>212</v>
      </c>
      <c r="U522" s="531"/>
      <c r="V522" s="222" t="s">
        <v>212</v>
      </c>
      <c r="W522" s="222" t="s">
        <v>212</v>
      </c>
      <c r="X522" s="531" t="s">
        <v>212</v>
      </c>
      <c r="Y522" s="531"/>
      <c r="Z522" s="222" t="s">
        <v>212</v>
      </c>
      <c r="AA522" s="222" t="s">
        <v>212</v>
      </c>
      <c r="AB522" s="222" t="s">
        <v>212</v>
      </c>
      <c r="AC522" s="215"/>
    </row>
    <row r="523" spans="1:29" ht="13.5" customHeight="1">
      <c r="A523" s="215"/>
      <c r="B523" s="535">
        <v>38971</v>
      </c>
      <c r="C523" s="535"/>
      <c r="D523" s="219" t="s">
        <v>212</v>
      </c>
      <c r="E523" s="229">
        <v>0</v>
      </c>
      <c r="F523" s="536">
        <v>0</v>
      </c>
      <c r="G523" s="536"/>
      <c r="H523" s="229">
        <v>255.5</v>
      </c>
      <c r="I523" s="536">
        <v>24</v>
      </c>
      <c r="J523" s="536"/>
      <c r="K523" s="229">
        <v>238</v>
      </c>
      <c r="L523" s="230">
        <v>24</v>
      </c>
      <c r="M523" s="229">
        <v>0</v>
      </c>
      <c r="N523" s="230">
        <v>0</v>
      </c>
      <c r="O523" s="231">
        <v>493.5</v>
      </c>
      <c r="P523" s="222" t="s">
        <v>212</v>
      </c>
      <c r="Q523" s="229">
        <v>0</v>
      </c>
      <c r="R523" s="230">
        <v>0</v>
      </c>
      <c r="S523" s="229">
        <v>0</v>
      </c>
      <c r="T523" s="536">
        <v>0</v>
      </c>
      <c r="U523" s="536"/>
      <c r="V523" s="229">
        <v>0</v>
      </c>
      <c r="W523" s="222" t="s">
        <v>212</v>
      </c>
      <c r="X523" s="530">
        <v>493.5</v>
      </c>
      <c r="Y523" s="530"/>
      <c r="Z523" s="222" t="s">
        <v>212</v>
      </c>
      <c r="AA523" s="232">
        <v>7269400</v>
      </c>
      <c r="AB523" s="233">
        <v>0</v>
      </c>
      <c r="AC523" s="215"/>
    </row>
    <row r="524" spans="1:29" ht="2.25" customHeight="1">
      <c r="A524" s="215"/>
      <c r="B524" s="529" t="s">
        <v>212</v>
      </c>
      <c r="C524" s="529"/>
      <c r="D524" s="219" t="s">
        <v>212</v>
      </c>
      <c r="E524" s="222" t="s">
        <v>212</v>
      </c>
      <c r="F524" s="531" t="s">
        <v>212</v>
      </c>
      <c r="G524" s="531"/>
      <c r="H524" s="222" t="s">
        <v>212</v>
      </c>
      <c r="I524" s="531" t="s">
        <v>212</v>
      </c>
      <c r="J524" s="531"/>
      <c r="K524" s="222" t="s">
        <v>212</v>
      </c>
      <c r="L524" s="222" t="s">
        <v>212</v>
      </c>
      <c r="M524" s="222" t="s">
        <v>212</v>
      </c>
      <c r="N524" s="222" t="s">
        <v>212</v>
      </c>
      <c r="O524" s="222" t="s">
        <v>212</v>
      </c>
      <c r="P524" s="222" t="s">
        <v>212</v>
      </c>
      <c r="Q524" s="222" t="s">
        <v>212</v>
      </c>
      <c r="R524" s="222" t="s">
        <v>212</v>
      </c>
      <c r="S524" s="222" t="s">
        <v>212</v>
      </c>
      <c r="T524" s="531" t="s">
        <v>212</v>
      </c>
      <c r="U524" s="531"/>
      <c r="V524" s="222" t="s">
        <v>212</v>
      </c>
      <c r="W524" s="222" t="s">
        <v>212</v>
      </c>
      <c r="X524" s="531" t="s">
        <v>212</v>
      </c>
      <c r="Y524" s="531"/>
      <c r="Z524" s="222" t="s">
        <v>212</v>
      </c>
      <c r="AA524" s="222" t="s">
        <v>212</v>
      </c>
      <c r="AB524" s="222" t="s">
        <v>212</v>
      </c>
      <c r="AC524" s="215"/>
    </row>
    <row r="525" spans="1:29" ht="13.5" customHeight="1">
      <c r="A525" s="215"/>
      <c r="B525" s="532">
        <v>38972</v>
      </c>
      <c r="C525" s="532"/>
      <c r="D525" s="219" t="s">
        <v>212</v>
      </c>
      <c r="E525" s="224">
        <v>0</v>
      </c>
      <c r="F525" s="533">
        <v>0</v>
      </c>
      <c r="G525" s="533"/>
      <c r="H525" s="224">
        <v>284.5</v>
      </c>
      <c r="I525" s="533">
        <v>24</v>
      </c>
      <c r="J525" s="533"/>
      <c r="K525" s="224">
        <v>256.5</v>
      </c>
      <c r="L525" s="225">
        <v>24</v>
      </c>
      <c r="M525" s="224">
        <v>0</v>
      </c>
      <c r="N525" s="225">
        <v>0</v>
      </c>
      <c r="O525" s="226">
        <v>541</v>
      </c>
      <c r="P525" s="222" t="s">
        <v>212</v>
      </c>
      <c r="Q525" s="224">
        <v>0</v>
      </c>
      <c r="R525" s="225">
        <v>0</v>
      </c>
      <c r="S525" s="224">
        <v>0</v>
      </c>
      <c r="T525" s="533">
        <v>0</v>
      </c>
      <c r="U525" s="533"/>
      <c r="V525" s="224">
        <v>0</v>
      </c>
      <c r="W525" s="222" t="s">
        <v>212</v>
      </c>
      <c r="X525" s="534">
        <v>541</v>
      </c>
      <c r="Y525" s="534"/>
      <c r="Z525" s="222" t="s">
        <v>212</v>
      </c>
      <c r="AA525" s="227">
        <v>7604200</v>
      </c>
      <c r="AB525" s="228">
        <v>0</v>
      </c>
      <c r="AC525" s="215"/>
    </row>
    <row r="526" spans="1:29" ht="2.25" customHeight="1">
      <c r="A526" s="215"/>
      <c r="B526" s="529" t="s">
        <v>212</v>
      </c>
      <c r="C526" s="529"/>
      <c r="D526" s="219" t="s">
        <v>212</v>
      </c>
      <c r="E526" s="222" t="s">
        <v>212</v>
      </c>
      <c r="F526" s="531" t="s">
        <v>212</v>
      </c>
      <c r="G526" s="531"/>
      <c r="H526" s="222" t="s">
        <v>212</v>
      </c>
      <c r="I526" s="531" t="s">
        <v>212</v>
      </c>
      <c r="J526" s="531"/>
      <c r="K526" s="222" t="s">
        <v>212</v>
      </c>
      <c r="L526" s="222" t="s">
        <v>212</v>
      </c>
      <c r="M526" s="222" t="s">
        <v>212</v>
      </c>
      <c r="N526" s="222" t="s">
        <v>212</v>
      </c>
      <c r="O526" s="222" t="s">
        <v>212</v>
      </c>
      <c r="P526" s="222" t="s">
        <v>212</v>
      </c>
      <c r="Q526" s="222" t="s">
        <v>212</v>
      </c>
      <c r="R526" s="222" t="s">
        <v>212</v>
      </c>
      <c r="S526" s="222" t="s">
        <v>212</v>
      </c>
      <c r="T526" s="531" t="s">
        <v>212</v>
      </c>
      <c r="U526" s="531"/>
      <c r="V526" s="222" t="s">
        <v>212</v>
      </c>
      <c r="W526" s="222" t="s">
        <v>212</v>
      </c>
      <c r="X526" s="531" t="s">
        <v>212</v>
      </c>
      <c r="Y526" s="531"/>
      <c r="Z526" s="222" t="s">
        <v>212</v>
      </c>
      <c r="AA526" s="222" t="s">
        <v>212</v>
      </c>
      <c r="AB526" s="222" t="s">
        <v>212</v>
      </c>
      <c r="AC526" s="215"/>
    </row>
    <row r="527" spans="1:29" ht="13.5" customHeight="1">
      <c r="A527" s="215"/>
      <c r="B527" s="535">
        <v>38973</v>
      </c>
      <c r="C527" s="535"/>
      <c r="D527" s="219" t="s">
        <v>212</v>
      </c>
      <c r="E527" s="229">
        <v>0</v>
      </c>
      <c r="F527" s="536">
        <v>0</v>
      </c>
      <c r="G527" s="536"/>
      <c r="H527" s="229">
        <v>288.89999999999998</v>
      </c>
      <c r="I527" s="536">
        <v>24</v>
      </c>
      <c r="J527" s="536"/>
      <c r="K527" s="229">
        <v>272.7</v>
      </c>
      <c r="L527" s="230">
        <v>24</v>
      </c>
      <c r="M527" s="229">
        <v>0</v>
      </c>
      <c r="N527" s="230">
        <v>0</v>
      </c>
      <c r="O527" s="231">
        <v>561.6</v>
      </c>
      <c r="P527" s="222" t="s">
        <v>212</v>
      </c>
      <c r="Q527" s="229">
        <v>0</v>
      </c>
      <c r="R527" s="230">
        <v>0</v>
      </c>
      <c r="S527" s="229">
        <v>0</v>
      </c>
      <c r="T527" s="536">
        <v>0</v>
      </c>
      <c r="U527" s="536"/>
      <c r="V527" s="229">
        <v>0</v>
      </c>
      <c r="W527" s="222" t="s">
        <v>212</v>
      </c>
      <c r="X527" s="530">
        <v>561.6</v>
      </c>
      <c r="Y527" s="530"/>
      <c r="Z527" s="222" t="s">
        <v>212</v>
      </c>
      <c r="AA527" s="232">
        <v>7809900</v>
      </c>
      <c r="AB527" s="233">
        <v>187</v>
      </c>
      <c r="AC527" s="215"/>
    </row>
    <row r="528" spans="1:29" ht="2.25" customHeight="1">
      <c r="A528" s="215"/>
      <c r="B528" s="529" t="s">
        <v>212</v>
      </c>
      <c r="C528" s="529"/>
      <c r="D528" s="219" t="s">
        <v>212</v>
      </c>
      <c r="E528" s="222" t="s">
        <v>212</v>
      </c>
      <c r="F528" s="531" t="s">
        <v>212</v>
      </c>
      <c r="G528" s="531"/>
      <c r="H528" s="222" t="s">
        <v>212</v>
      </c>
      <c r="I528" s="531" t="s">
        <v>212</v>
      </c>
      <c r="J528" s="531"/>
      <c r="K528" s="222" t="s">
        <v>212</v>
      </c>
      <c r="L528" s="222" t="s">
        <v>212</v>
      </c>
      <c r="M528" s="222" t="s">
        <v>212</v>
      </c>
      <c r="N528" s="222" t="s">
        <v>212</v>
      </c>
      <c r="O528" s="222" t="s">
        <v>212</v>
      </c>
      <c r="P528" s="222" t="s">
        <v>212</v>
      </c>
      <c r="Q528" s="222" t="s">
        <v>212</v>
      </c>
      <c r="R528" s="222" t="s">
        <v>212</v>
      </c>
      <c r="S528" s="222" t="s">
        <v>212</v>
      </c>
      <c r="T528" s="531" t="s">
        <v>212</v>
      </c>
      <c r="U528" s="531"/>
      <c r="V528" s="222" t="s">
        <v>212</v>
      </c>
      <c r="W528" s="222" t="s">
        <v>212</v>
      </c>
      <c r="X528" s="531" t="s">
        <v>212</v>
      </c>
      <c r="Y528" s="531"/>
      <c r="Z528" s="222" t="s">
        <v>212</v>
      </c>
      <c r="AA528" s="222" t="s">
        <v>212</v>
      </c>
      <c r="AB528" s="222" t="s">
        <v>212</v>
      </c>
      <c r="AC528" s="215"/>
    </row>
    <row r="529" spans="1:29" ht="13.5" customHeight="1">
      <c r="A529" s="215"/>
      <c r="B529" s="532">
        <v>38974</v>
      </c>
      <c r="C529" s="532"/>
      <c r="D529" s="219" t="s">
        <v>212</v>
      </c>
      <c r="E529" s="224">
        <v>0</v>
      </c>
      <c r="F529" s="533">
        <v>0</v>
      </c>
      <c r="G529" s="533"/>
      <c r="H529" s="224">
        <v>305.60000000000002</v>
      </c>
      <c r="I529" s="533">
        <v>24</v>
      </c>
      <c r="J529" s="533"/>
      <c r="K529" s="224">
        <v>279.3</v>
      </c>
      <c r="L529" s="225">
        <v>24</v>
      </c>
      <c r="M529" s="224">
        <v>0</v>
      </c>
      <c r="N529" s="225">
        <v>0</v>
      </c>
      <c r="O529" s="226">
        <v>584.9</v>
      </c>
      <c r="P529" s="222" t="s">
        <v>212</v>
      </c>
      <c r="Q529" s="224">
        <v>0</v>
      </c>
      <c r="R529" s="225">
        <v>0</v>
      </c>
      <c r="S529" s="224">
        <v>0</v>
      </c>
      <c r="T529" s="533">
        <v>0</v>
      </c>
      <c r="U529" s="533"/>
      <c r="V529" s="224">
        <v>0</v>
      </c>
      <c r="W529" s="222" t="s">
        <v>212</v>
      </c>
      <c r="X529" s="534">
        <v>584.9</v>
      </c>
      <c r="Y529" s="534"/>
      <c r="Z529" s="222" t="s">
        <v>212</v>
      </c>
      <c r="AA529" s="227">
        <v>7727600</v>
      </c>
      <c r="AB529" s="228">
        <v>0</v>
      </c>
      <c r="AC529" s="215"/>
    </row>
    <row r="530" spans="1:29" ht="2.25" customHeight="1">
      <c r="A530" s="215"/>
      <c r="B530" s="529" t="s">
        <v>212</v>
      </c>
      <c r="C530" s="529"/>
      <c r="D530" s="219" t="s">
        <v>212</v>
      </c>
      <c r="E530" s="222" t="s">
        <v>212</v>
      </c>
      <c r="F530" s="531" t="s">
        <v>212</v>
      </c>
      <c r="G530" s="531"/>
      <c r="H530" s="222" t="s">
        <v>212</v>
      </c>
      <c r="I530" s="531" t="s">
        <v>212</v>
      </c>
      <c r="J530" s="531"/>
      <c r="K530" s="222" t="s">
        <v>212</v>
      </c>
      <c r="L530" s="222" t="s">
        <v>212</v>
      </c>
      <c r="M530" s="222" t="s">
        <v>212</v>
      </c>
      <c r="N530" s="222" t="s">
        <v>212</v>
      </c>
      <c r="O530" s="222" t="s">
        <v>212</v>
      </c>
      <c r="P530" s="222" t="s">
        <v>212</v>
      </c>
      <c r="Q530" s="222" t="s">
        <v>212</v>
      </c>
      <c r="R530" s="222" t="s">
        <v>212</v>
      </c>
      <c r="S530" s="222" t="s">
        <v>212</v>
      </c>
      <c r="T530" s="531" t="s">
        <v>212</v>
      </c>
      <c r="U530" s="531"/>
      <c r="V530" s="222" t="s">
        <v>212</v>
      </c>
      <c r="W530" s="222" t="s">
        <v>212</v>
      </c>
      <c r="X530" s="531" t="s">
        <v>212</v>
      </c>
      <c r="Y530" s="531"/>
      <c r="Z530" s="222" t="s">
        <v>212</v>
      </c>
      <c r="AA530" s="222" t="s">
        <v>212</v>
      </c>
      <c r="AB530" s="222" t="s">
        <v>212</v>
      </c>
      <c r="AC530" s="215"/>
    </row>
    <row r="531" spans="1:29" ht="13.5" customHeight="1">
      <c r="A531" s="215"/>
      <c r="B531" s="535">
        <v>38975</v>
      </c>
      <c r="C531" s="535"/>
      <c r="D531" s="219" t="s">
        <v>212</v>
      </c>
      <c r="E531" s="229">
        <v>0</v>
      </c>
      <c r="F531" s="536">
        <v>0</v>
      </c>
      <c r="G531" s="536"/>
      <c r="H531" s="229">
        <v>333.6</v>
      </c>
      <c r="I531" s="536">
        <v>24</v>
      </c>
      <c r="J531" s="536"/>
      <c r="K531" s="229">
        <v>278.2</v>
      </c>
      <c r="L531" s="230">
        <v>24</v>
      </c>
      <c r="M531" s="229">
        <v>0</v>
      </c>
      <c r="N531" s="230">
        <v>0</v>
      </c>
      <c r="O531" s="231">
        <v>611.79999999999995</v>
      </c>
      <c r="P531" s="222" t="s">
        <v>212</v>
      </c>
      <c r="Q531" s="229">
        <v>0</v>
      </c>
      <c r="R531" s="230">
        <v>0</v>
      </c>
      <c r="S531" s="229">
        <v>0</v>
      </c>
      <c r="T531" s="536">
        <v>0</v>
      </c>
      <c r="U531" s="536"/>
      <c r="V531" s="229">
        <v>0</v>
      </c>
      <c r="W531" s="222" t="s">
        <v>212</v>
      </c>
      <c r="X531" s="530">
        <v>611.79999999999995</v>
      </c>
      <c r="Y531" s="530"/>
      <c r="Z531" s="222" t="s">
        <v>212</v>
      </c>
      <c r="AA531" s="232">
        <v>8258100</v>
      </c>
      <c r="AB531" s="233">
        <v>0</v>
      </c>
      <c r="AC531" s="215"/>
    </row>
    <row r="532" spans="1:29" ht="2.25" customHeight="1">
      <c r="A532" s="215"/>
      <c r="B532" s="529" t="s">
        <v>212</v>
      </c>
      <c r="C532" s="529"/>
      <c r="D532" s="219" t="s">
        <v>212</v>
      </c>
      <c r="E532" s="222" t="s">
        <v>212</v>
      </c>
      <c r="F532" s="531" t="s">
        <v>212</v>
      </c>
      <c r="G532" s="531"/>
      <c r="H532" s="222" t="s">
        <v>212</v>
      </c>
      <c r="I532" s="531" t="s">
        <v>212</v>
      </c>
      <c r="J532" s="531"/>
      <c r="K532" s="222" t="s">
        <v>212</v>
      </c>
      <c r="L532" s="222" t="s">
        <v>212</v>
      </c>
      <c r="M532" s="222" t="s">
        <v>212</v>
      </c>
      <c r="N532" s="222" t="s">
        <v>212</v>
      </c>
      <c r="O532" s="222" t="s">
        <v>212</v>
      </c>
      <c r="P532" s="222" t="s">
        <v>212</v>
      </c>
      <c r="Q532" s="222" t="s">
        <v>212</v>
      </c>
      <c r="R532" s="222" t="s">
        <v>212</v>
      </c>
      <c r="S532" s="222" t="s">
        <v>212</v>
      </c>
      <c r="T532" s="531" t="s">
        <v>212</v>
      </c>
      <c r="U532" s="531"/>
      <c r="V532" s="222" t="s">
        <v>212</v>
      </c>
      <c r="W532" s="222" t="s">
        <v>212</v>
      </c>
      <c r="X532" s="531" t="s">
        <v>212</v>
      </c>
      <c r="Y532" s="531"/>
      <c r="Z532" s="222" t="s">
        <v>212</v>
      </c>
      <c r="AA532" s="222" t="s">
        <v>212</v>
      </c>
      <c r="AB532" s="222" t="s">
        <v>212</v>
      </c>
      <c r="AC532" s="215"/>
    </row>
    <row r="533" spans="1:29" ht="13.5" customHeight="1">
      <c r="A533" s="215"/>
      <c r="B533" s="532">
        <v>38976</v>
      </c>
      <c r="C533" s="532"/>
      <c r="D533" s="219" t="s">
        <v>212</v>
      </c>
      <c r="E533" s="224">
        <v>116.1</v>
      </c>
      <c r="F533" s="533">
        <v>10</v>
      </c>
      <c r="G533" s="533"/>
      <c r="H533" s="224">
        <v>313.10000000000002</v>
      </c>
      <c r="I533" s="533">
        <v>24</v>
      </c>
      <c r="J533" s="533"/>
      <c r="K533" s="224">
        <v>163.5</v>
      </c>
      <c r="L533" s="225">
        <v>14</v>
      </c>
      <c r="M533" s="224">
        <v>0</v>
      </c>
      <c r="N533" s="225">
        <v>0</v>
      </c>
      <c r="O533" s="226">
        <v>592.70000000000005</v>
      </c>
      <c r="P533" s="222" t="s">
        <v>212</v>
      </c>
      <c r="Q533" s="224">
        <v>0</v>
      </c>
      <c r="R533" s="225">
        <v>0</v>
      </c>
      <c r="S533" s="224">
        <v>0</v>
      </c>
      <c r="T533" s="533">
        <v>0</v>
      </c>
      <c r="U533" s="533"/>
      <c r="V533" s="224">
        <v>0</v>
      </c>
      <c r="W533" s="222" t="s">
        <v>212</v>
      </c>
      <c r="X533" s="534">
        <v>592.70000000000005</v>
      </c>
      <c r="Y533" s="534"/>
      <c r="Z533" s="222" t="s">
        <v>212</v>
      </c>
      <c r="AA533" s="227">
        <v>4856600</v>
      </c>
      <c r="AB533" s="228">
        <v>113369</v>
      </c>
      <c r="AC533" s="215"/>
    </row>
    <row r="534" spans="1:29" ht="2.25" customHeight="1">
      <c r="A534" s="215"/>
      <c r="B534" s="529" t="s">
        <v>212</v>
      </c>
      <c r="C534" s="529"/>
      <c r="D534" s="219" t="s">
        <v>212</v>
      </c>
      <c r="E534" s="222" t="s">
        <v>212</v>
      </c>
      <c r="F534" s="531" t="s">
        <v>212</v>
      </c>
      <c r="G534" s="531"/>
      <c r="H534" s="222" t="s">
        <v>212</v>
      </c>
      <c r="I534" s="531" t="s">
        <v>212</v>
      </c>
      <c r="J534" s="531"/>
      <c r="K534" s="222" t="s">
        <v>212</v>
      </c>
      <c r="L534" s="222" t="s">
        <v>212</v>
      </c>
      <c r="M534" s="222" t="s">
        <v>212</v>
      </c>
      <c r="N534" s="222" t="s">
        <v>212</v>
      </c>
      <c r="O534" s="222" t="s">
        <v>212</v>
      </c>
      <c r="P534" s="222" t="s">
        <v>212</v>
      </c>
      <c r="Q534" s="222" t="s">
        <v>212</v>
      </c>
      <c r="R534" s="222" t="s">
        <v>212</v>
      </c>
      <c r="S534" s="222" t="s">
        <v>212</v>
      </c>
      <c r="T534" s="531" t="s">
        <v>212</v>
      </c>
      <c r="U534" s="531"/>
      <c r="V534" s="222" t="s">
        <v>212</v>
      </c>
      <c r="W534" s="222" t="s">
        <v>212</v>
      </c>
      <c r="X534" s="531" t="s">
        <v>212</v>
      </c>
      <c r="Y534" s="531"/>
      <c r="Z534" s="222" t="s">
        <v>212</v>
      </c>
      <c r="AA534" s="222" t="s">
        <v>212</v>
      </c>
      <c r="AB534" s="222" t="s">
        <v>212</v>
      </c>
      <c r="AC534" s="215"/>
    </row>
    <row r="535" spans="1:29" ht="13.5" customHeight="1">
      <c r="A535" s="215"/>
      <c r="B535" s="535">
        <v>38977</v>
      </c>
      <c r="C535" s="535"/>
      <c r="D535" s="219" t="s">
        <v>212</v>
      </c>
      <c r="E535" s="229">
        <v>247.5</v>
      </c>
      <c r="F535" s="536">
        <v>23</v>
      </c>
      <c r="G535" s="536"/>
      <c r="H535" s="229">
        <v>262.8</v>
      </c>
      <c r="I535" s="536">
        <v>24</v>
      </c>
      <c r="J535" s="536"/>
      <c r="K535" s="229">
        <v>0</v>
      </c>
      <c r="L535" s="230">
        <v>0</v>
      </c>
      <c r="M535" s="229">
        <v>0</v>
      </c>
      <c r="N535" s="230">
        <v>0</v>
      </c>
      <c r="O535" s="231">
        <v>510.3</v>
      </c>
      <c r="P535" s="222" t="s">
        <v>212</v>
      </c>
      <c r="Q535" s="229">
        <v>44</v>
      </c>
      <c r="R535" s="230">
        <v>2</v>
      </c>
      <c r="S535" s="229">
        <v>0</v>
      </c>
      <c r="T535" s="536">
        <v>0</v>
      </c>
      <c r="U535" s="536"/>
      <c r="V535" s="229">
        <v>44</v>
      </c>
      <c r="W535" s="222" t="s">
        <v>212</v>
      </c>
      <c r="X535" s="530">
        <v>554.29999999999995</v>
      </c>
      <c r="Y535" s="530"/>
      <c r="Z535" s="222" t="s">
        <v>212</v>
      </c>
      <c r="AA535" s="232">
        <v>0</v>
      </c>
      <c r="AB535" s="233">
        <v>412166</v>
      </c>
      <c r="AC535" s="215"/>
    </row>
    <row r="536" spans="1:29" ht="2.25" customHeight="1">
      <c r="A536" s="215"/>
      <c r="B536" s="529" t="s">
        <v>212</v>
      </c>
      <c r="C536" s="529"/>
      <c r="D536" s="219" t="s">
        <v>212</v>
      </c>
      <c r="E536" s="222" t="s">
        <v>212</v>
      </c>
      <c r="F536" s="531" t="s">
        <v>212</v>
      </c>
      <c r="G536" s="531"/>
      <c r="H536" s="222" t="s">
        <v>212</v>
      </c>
      <c r="I536" s="531" t="s">
        <v>212</v>
      </c>
      <c r="J536" s="531"/>
      <c r="K536" s="222" t="s">
        <v>212</v>
      </c>
      <c r="L536" s="222" t="s">
        <v>212</v>
      </c>
      <c r="M536" s="222" t="s">
        <v>212</v>
      </c>
      <c r="N536" s="222" t="s">
        <v>212</v>
      </c>
      <c r="O536" s="222" t="s">
        <v>212</v>
      </c>
      <c r="P536" s="222" t="s">
        <v>212</v>
      </c>
      <c r="Q536" s="222" t="s">
        <v>212</v>
      </c>
      <c r="R536" s="222" t="s">
        <v>212</v>
      </c>
      <c r="S536" s="222" t="s">
        <v>212</v>
      </c>
      <c r="T536" s="531" t="s">
        <v>212</v>
      </c>
      <c r="U536" s="531"/>
      <c r="V536" s="222" t="s">
        <v>212</v>
      </c>
      <c r="W536" s="222" t="s">
        <v>212</v>
      </c>
      <c r="X536" s="531" t="s">
        <v>212</v>
      </c>
      <c r="Y536" s="531"/>
      <c r="Z536" s="222" t="s">
        <v>212</v>
      </c>
      <c r="AA536" s="222" t="s">
        <v>212</v>
      </c>
      <c r="AB536" s="222" t="s">
        <v>212</v>
      </c>
      <c r="AC536" s="215"/>
    </row>
    <row r="537" spans="1:29" ht="13.5" customHeight="1">
      <c r="A537" s="215"/>
      <c r="B537" s="532">
        <v>38978</v>
      </c>
      <c r="C537" s="532"/>
      <c r="D537" s="219" t="s">
        <v>212</v>
      </c>
      <c r="E537" s="224">
        <v>310.60000000000002</v>
      </c>
      <c r="F537" s="533">
        <v>24</v>
      </c>
      <c r="G537" s="533"/>
      <c r="H537" s="224">
        <v>359</v>
      </c>
      <c r="I537" s="533">
        <v>24</v>
      </c>
      <c r="J537" s="533"/>
      <c r="K537" s="224">
        <v>0</v>
      </c>
      <c r="L537" s="225">
        <v>0</v>
      </c>
      <c r="M537" s="224">
        <v>0</v>
      </c>
      <c r="N537" s="225">
        <v>0</v>
      </c>
      <c r="O537" s="226">
        <v>669.6</v>
      </c>
      <c r="P537" s="222" t="s">
        <v>212</v>
      </c>
      <c r="Q537" s="224">
        <v>0</v>
      </c>
      <c r="R537" s="225">
        <v>0</v>
      </c>
      <c r="S537" s="224">
        <v>0</v>
      </c>
      <c r="T537" s="533">
        <v>0</v>
      </c>
      <c r="U537" s="533"/>
      <c r="V537" s="224">
        <v>0</v>
      </c>
      <c r="W537" s="222" t="s">
        <v>212</v>
      </c>
      <c r="X537" s="534">
        <v>669.6</v>
      </c>
      <c r="Y537" s="534"/>
      <c r="Z537" s="222" t="s">
        <v>212</v>
      </c>
      <c r="AA537" s="227">
        <v>0</v>
      </c>
      <c r="AB537" s="228">
        <v>311968</v>
      </c>
      <c r="AC537" s="215"/>
    </row>
    <row r="538" spans="1:29" ht="2.25" customHeight="1">
      <c r="A538" s="215"/>
      <c r="B538" s="529" t="s">
        <v>212</v>
      </c>
      <c r="C538" s="529"/>
      <c r="D538" s="219" t="s">
        <v>212</v>
      </c>
      <c r="E538" s="222" t="s">
        <v>212</v>
      </c>
      <c r="F538" s="531" t="s">
        <v>212</v>
      </c>
      <c r="G538" s="531"/>
      <c r="H538" s="222" t="s">
        <v>212</v>
      </c>
      <c r="I538" s="531" t="s">
        <v>212</v>
      </c>
      <c r="J538" s="531"/>
      <c r="K538" s="222" t="s">
        <v>212</v>
      </c>
      <c r="L538" s="222" t="s">
        <v>212</v>
      </c>
      <c r="M538" s="222" t="s">
        <v>212</v>
      </c>
      <c r="N538" s="222" t="s">
        <v>212</v>
      </c>
      <c r="O538" s="222" t="s">
        <v>212</v>
      </c>
      <c r="P538" s="222" t="s">
        <v>212</v>
      </c>
      <c r="Q538" s="222" t="s">
        <v>212</v>
      </c>
      <c r="R538" s="222" t="s">
        <v>212</v>
      </c>
      <c r="S538" s="222" t="s">
        <v>212</v>
      </c>
      <c r="T538" s="531" t="s">
        <v>212</v>
      </c>
      <c r="U538" s="531"/>
      <c r="V538" s="222" t="s">
        <v>212</v>
      </c>
      <c r="W538" s="222" t="s">
        <v>212</v>
      </c>
      <c r="X538" s="531" t="s">
        <v>212</v>
      </c>
      <c r="Y538" s="531"/>
      <c r="Z538" s="222" t="s">
        <v>212</v>
      </c>
      <c r="AA538" s="222" t="s">
        <v>212</v>
      </c>
      <c r="AB538" s="222" t="s">
        <v>212</v>
      </c>
      <c r="AC538" s="215"/>
    </row>
    <row r="539" spans="1:29" ht="13.5" customHeight="1">
      <c r="A539" s="215"/>
      <c r="B539" s="535">
        <v>38979</v>
      </c>
      <c r="C539" s="535"/>
      <c r="D539" s="219" t="s">
        <v>212</v>
      </c>
      <c r="E539" s="229">
        <v>286.39999999999998</v>
      </c>
      <c r="F539" s="536">
        <v>24</v>
      </c>
      <c r="G539" s="536"/>
      <c r="H539" s="229">
        <v>320</v>
      </c>
      <c r="I539" s="536">
        <v>24</v>
      </c>
      <c r="J539" s="536"/>
      <c r="K539" s="229">
        <v>17.600000000000001</v>
      </c>
      <c r="L539" s="230">
        <v>2</v>
      </c>
      <c r="M539" s="229">
        <v>0</v>
      </c>
      <c r="N539" s="230">
        <v>0</v>
      </c>
      <c r="O539" s="231">
        <v>624</v>
      </c>
      <c r="P539" s="222" t="s">
        <v>212</v>
      </c>
      <c r="Q539" s="229">
        <v>0</v>
      </c>
      <c r="R539" s="230">
        <v>0</v>
      </c>
      <c r="S539" s="229">
        <v>0</v>
      </c>
      <c r="T539" s="536">
        <v>0</v>
      </c>
      <c r="U539" s="536"/>
      <c r="V539" s="229">
        <v>0</v>
      </c>
      <c r="W539" s="222" t="s">
        <v>212</v>
      </c>
      <c r="X539" s="530">
        <v>624</v>
      </c>
      <c r="Y539" s="530"/>
      <c r="Z539" s="222" t="s">
        <v>212</v>
      </c>
      <c r="AA539" s="232">
        <v>0</v>
      </c>
      <c r="AB539" s="233">
        <v>304388</v>
      </c>
      <c r="AC539" s="215"/>
    </row>
    <row r="540" spans="1:29" ht="2.25" customHeight="1">
      <c r="A540" s="215"/>
      <c r="B540" s="529" t="s">
        <v>212</v>
      </c>
      <c r="C540" s="529"/>
      <c r="D540" s="219" t="s">
        <v>212</v>
      </c>
      <c r="E540" s="222" t="s">
        <v>212</v>
      </c>
      <c r="F540" s="531" t="s">
        <v>212</v>
      </c>
      <c r="G540" s="531"/>
      <c r="H540" s="222" t="s">
        <v>212</v>
      </c>
      <c r="I540" s="531" t="s">
        <v>212</v>
      </c>
      <c r="J540" s="531"/>
      <c r="K540" s="222" t="s">
        <v>212</v>
      </c>
      <c r="L540" s="222" t="s">
        <v>212</v>
      </c>
      <c r="M540" s="222" t="s">
        <v>212</v>
      </c>
      <c r="N540" s="222" t="s">
        <v>212</v>
      </c>
      <c r="O540" s="222" t="s">
        <v>212</v>
      </c>
      <c r="P540" s="222" t="s">
        <v>212</v>
      </c>
      <c r="Q540" s="222" t="s">
        <v>212</v>
      </c>
      <c r="R540" s="222" t="s">
        <v>212</v>
      </c>
      <c r="S540" s="222" t="s">
        <v>212</v>
      </c>
      <c r="T540" s="531" t="s">
        <v>212</v>
      </c>
      <c r="U540" s="531"/>
      <c r="V540" s="222" t="s">
        <v>212</v>
      </c>
      <c r="W540" s="222" t="s">
        <v>212</v>
      </c>
      <c r="X540" s="531" t="s">
        <v>212</v>
      </c>
      <c r="Y540" s="531"/>
      <c r="Z540" s="222" t="s">
        <v>212</v>
      </c>
      <c r="AA540" s="222" t="s">
        <v>212</v>
      </c>
      <c r="AB540" s="222" t="s">
        <v>212</v>
      </c>
      <c r="AC540" s="215"/>
    </row>
    <row r="541" spans="1:29" ht="13.5" customHeight="1">
      <c r="A541" s="215"/>
      <c r="B541" s="532">
        <v>38980</v>
      </c>
      <c r="C541" s="532"/>
      <c r="D541" s="219" t="s">
        <v>212</v>
      </c>
      <c r="E541" s="224">
        <v>271</v>
      </c>
      <c r="F541" s="533">
        <v>24</v>
      </c>
      <c r="G541" s="533"/>
      <c r="H541" s="224">
        <v>318</v>
      </c>
      <c r="I541" s="533">
        <v>24</v>
      </c>
      <c r="J541" s="533"/>
      <c r="K541" s="224">
        <v>2</v>
      </c>
      <c r="L541" s="225">
        <v>1</v>
      </c>
      <c r="M541" s="224">
        <v>0</v>
      </c>
      <c r="N541" s="225">
        <v>0</v>
      </c>
      <c r="O541" s="226">
        <v>591</v>
      </c>
      <c r="P541" s="222" t="s">
        <v>212</v>
      </c>
      <c r="Q541" s="224">
        <v>0</v>
      </c>
      <c r="R541" s="225">
        <v>0</v>
      </c>
      <c r="S541" s="224">
        <v>0</v>
      </c>
      <c r="T541" s="533">
        <v>0</v>
      </c>
      <c r="U541" s="533"/>
      <c r="V541" s="224">
        <v>0</v>
      </c>
      <c r="W541" s="222" t="s">
        <v>212</v>
      </c>
      <c r="X541" s="534">
        <v>591</v>
      </c>
      <c r="Y541" s="534"/>
      <c r="Z541" s="222" t="s">
        <v>212</v>
      </c>
      <c r="AA541" s="227">
        <v>0</v>
      </c>
      <c r="AB541" s="228">
        <v>281957</v>
      </c>
      <c r="AC541" s="215"/>
    </row>
    <row r="542" spans="1:29" ht="2.25" customHeight="1">
      <c r="A542" s="215"/>
      <c r="B542" s="529" t="s">
        <v>212</v>
      </c>
      <c r="C542" s="529"/>
      <c r="D542" s="219" t="s">
        <v>212</v>
      </c>
      <c r="E542" s="222" t="s">
        <v>212</v>
      </c>
      <c r="F542" s="531" t="s">
        <v>212</v>
      </c>
      <c r="G542" s="531"/>
      <c r="H542" s="222" t="s">
        <v>212</v>
      </c>
      <c r="I542" s="531" t="s">
        <v>212</v>
      </c>
      <c r="J542" s="531"/>
      <c r="K542" s="222" t="s">
        <v>212</v>
      </c>
      <c r="L542" s="222" t="s">
        <v>212</v>
      </c>
      <c r="M542" s="222" t="s">
        <v>212</v>
      </c>
      <c r="N542" s="222" t="s">
        <v>212</v>
      </c>
      <c r="O542" s="222" t="s">
        <v>212</v>
      </c>
      <c r="P542" s="222" t="s">
        <v>212</v>
      </c>
      <c r="Q542" s="222" t="s">
        <v>212</v>
      </c>
      <c r="R542" s="222" t="s">
        <v>212</v>
      </c>
      <c r="S542" s="222" t="s">
        <v>212</v>
      </c>
      <c r="T542" s="531" t="s">
        <v>212</v>
      </c>
      <c r="U542" s="531"/>
      <c r="V542" s="222" t="s">
        <v>212</v>
      </c>
      <c r="W542" s="222" t="s">
        <v>212</v>
      </c>
      <c r="X542" s="531" t="s">
        <v>212</v>
      </c>
      <c r="Y542" s="531"/>
      <c r="Z542" s="222" t="s">
        <v>212</v>
      </c>
      <c r="AA542" s="222" t="s">
        <v>212</v>
      </c>
      <c r="AB542" s="222" t="s">
        <v>212</v>
      </c>
      <c r="AC542" s="215"/>
    </row>
    <row r="543" spans="1:29" ht="13.5" customHeight="1">
      <c r="A543" s="215"/>
      <c r="B543" s="535">
        <v>38981</v>
      </c>
      <c r="C543" s="535"/>
      <c r="D543" s="219" t="s">
        <v>212</v>
      </c>
      <c r="E543" s="229">
        <v>248.8</v>
      </c>
      <c r="F543" s="536">
        <v>24</v>
      </c>
      <c r="G543" s="536"/>
      <c r="H543" s="229">
        <v>275.7</v>
      </c>
      <c r="I543" s="536">
        <v>24</v>
      </c>
      <c r="J543" s="536"/>
      <c r="K543" s="229">
        <v>0</v>
      </c>
      <c r="L543" s="230">
        <v>0</v>
      </c>
      <c r="M543" s="229">
        <v>0</v>
      </c>
      <c r="N543" s="230">
        <v>0</v>
      </c>
      <c r="O543" s="231">
        <v>524.5</v>
      </c>
      <c r="P543" s="222" t="s">
        <v>212</v>
      </c>
      <c r="Q543" s="229">
        <v>0</v>
      </c>
      <c r="R543" s="230">
        <v>0</v>
      </c>
      <c r="S543" s="229">
        <v>0</v>
      </c>
      <c r="T543" s="536">
        <v>0</v>
      </c>
      <c r="U543" s="536"/>
      <c r="V543" s="229">
        <v>0</v>
      </c>
      <c r="W543" s="222" t="s">
        <v>212</v>
      </c>
      <c r="X543" s="530">
        <v>524.5</v>
      </c>
      <c r="Y543" s="530"/>
      <c r="Z543" s="222" t="s">
        <v>212</v>
      </c>
      <c r="AA543" s="232">
        <v>0</v>
      </c>
      <c r="AB543" s="233">
        <v>270440</v>
      </c>
      <c r="AC543" s="215"/>
    </row>
    <row r="544" spans="1:29" ht="2.25" customHeight="1">
      <c r="A544" s="215"/>
      <c r="B544" s="529" t="s">
        <v>212</v>
      </c>
      <c r="C544" s="529"/>
      <c r="D544" s="219" t="s">
        <v>212</v>
      </c>
      <c r="E544" s="222" t="s">
        <v>212</v>
      </c>
      <c r="F544" s="531" t="s">
        <v>212</v>
      </c>
      <c r="G544" s="531"/>
      <c r="H544" s="222" t="s">
        <v>212</v>
      </c>
      <c r="I544" s="531" t="s">
        <v>212</v>
      </c>
      <c r="J544" s="531"/>
      <c r="K544" s="222" t="s">
        <v>212</v>
      </c>
      <c r="L544" s="222" t="s">
        <v>212</v>
      </c>
      <c r="M544" s="222" t="s">
        <v>212</v>
      </c>
      <c r="N544" s="222" t="s">
        <v>212</v>
      </c>
      <c r="O544" s="222" t="s">
        <v>212</v>
      </c>
      <c r="P544" s="222" t="s">
        <v>212</v>
      </c>
      <c r="Q544" s="222" t="s">
        <v>212</v>
      </c>
      <c r="R544" s="222" t="s">
        <v>212</v>
      </c>
      <c r="S544" s="222" t="s">
        <v>212</v>
      </c>
      <c r="T544" s="531" t="s">
        <v>212</v>
      </c>
      <c r="U544" s="531"/>
      <c r="V544" s="222" t="s">
        <v>212</v>
      </c>
      <c r="W544" s="222" t="s">
        <v>212</v>
      </c>
      <c r="X544" s="531" t="s">
        <v>212</v>
      </c>
      <c r="Y544" s="531"/>
      <c r="Z544" s="222" t="s">
        <v>212</v>
      </c>
      <c r="AA544" s="222" t="s">
        <v>212</v>
      </c>
      <c r="AB544" s="222" t="s">
        <v>212</v>
      </c>
      <c r="AC544" s="215"/>
    </row>
    <row r="545" spans="1:29" ht="13.5" customHeight="1">
      <c r="A545" s="215"/>
      <c r="B545" s="532">
        <v>38982</v>
      </c>
      <c r="C545" s="532"/>
      <c r="D545" s="219" t="s">
        <v>212</v>
      </c>
      <c r="E545" s="224">
        <v>232.7</v>
      </c>
      <c r="F545" s="533">
        <v>24</v>
      </c>
      <c r="G545" s="533"/>
      <c r="H545" s="224">
        <v>264.3</v>
      </c>
      <c r="I545" s="533">
        <v>24</v>
      </c>
      <c r="J545" s="533"/>
      <c r="K545" s="224">
        <v>0</v>
      </c>
      <c r="L545" s="225">
        <v>0</v>
      </c>
      <c r="M545" s="224">
        <v>0</v>
      </c>
      <c r="N545" s="225">
        <v>0</v>
      </c>
      <c r="O545" s="226">
        <v>497</v>
      </c>
      <c r="P545" s="222" t="s">
        <v>212</v>
      </c>
      <c r="Q545" s="224">
        <v>0</v>
      </c>
      <c r="R545" s="225">
        <v>24</v>
      </c>
      <c r="S545" s="224">
        <v>0</v>
      </c>
      <c r="T545" s="533">
        <v>0</v>
      </c>
      <c r="U545" s="533"/>
      <c r="V545" s="224">
        <v>0</v>
      </c>
      <c r="W545" s="222" t="s">
        <v>212</v>
      </c>
      <c r="X545" s="534">
        <v>497</v>
      </c>
      <c r="Y545" s="534"/>
      <c r="Z545" s="222" t="s">
        <v>212</v>
      </c>
      <c r="AA545" s="227">
        <v>0</v>
      </c>
      <c r="AB545" s="228">
        <v>263102</v>
      </c>
      <c r="AC545" s="215"/>
    </row>
    <row r="546" spans="1:29" ht="2.25" customHeight="1">
      <c r="A546" s="215"/>
      <c r="B546" s="529" t="s">
        <v>212</v>
      </c>
      <c r="C546" s="529"/>
      <c r="D546" s="219" t="s">
        <v>212</v>
      </c>
      <c r="E546" s="222" t="s">
        <v>212</v>
      </c>
      <c r="F546" s="531" t="s">
        <v>212</v>
      </c>
      <c r="G546" s="531"/>
      <c r="H546" s="222" t="s">
        <v>212</v>
      </c>
      <c r="I546" s="531" t="s">
        <v>212</v>
      </c>
      <c r="J546" s="531"/>
      <c r="K546" s="222" t="s">
        <v>212</v>
      </c>
      <c r="L546" s="222" t="s">
        <v>212</v>
      </c>
      <c r="M546" s="222" t="s">
        <v>212</v>
      </c>
      <c r="N546" s="222" t="s">
        <v>212</v>
      </c>
      <c r="O546" s="222" t="s">
        <v>212</v>
      </c>
      <c r="P546" s="222" t="s">
        <v>212</v>
      </c>
      <c r="Q546" s="222" t="s">
        <v>212</v>
      </c>
      <c r="R546" s="222" t="s">
        <v>212</v>
      </c>
      <c r="S546" s="222" t="s">
        <v>212</v>
      </c>
      <c r="T546" s="531" t="s">
        <v>212</v>
      </c>
      <c r="U546" s="531"/>
      <c r="V546" s="222" t="s">
        <v>212</v>
      </c>
      <c r="W546" s="222" t="s">
        <v>212</v>
      </c>
      <c r="X546" s="531" t="s">
        <v>212</v>
      </c>
      <c r="Y546" s="531"/>
      <c r="Z546" s="222" t="s">
        <v>212</v>
      </c>
      <c r="AA546" s="222" t="s">
        <v>212</v>
      </c>
      <c r="AB546" s="222" t="s">
        <v>212</v>
      </c>
      <c r="AC546" s="215"/>
    </row>
    <row r="547" spans="1:29" ht="13.5" customHeight="1">
      <c r="A547" s="215"/>
      <c r="B547" s="535">
        <v>38983</v>
      </c>
      <c r="C547" s="535"/>
      <c r="D547" s="219" t="s">
        <v>212</v>
      </c>
      <c r="E547" s="229">
        <v>198</v>
      </c>
      <c r="F547" s="536">
        <v>24</v>
      </c>
      <c r="G547" s="536"/>
      <c r="H547" s="229">
        <v>207</v>
      </c>
      <c r="I547" s="536">
        <v>24</v>
      </c>
      <c r="J547" s="536"/>
      <c r="K547" s="229">
        <v>0</v>
      </c>
      <c r="L547" s="230">
        <v>0</v>
      </c>
      <c r="M547" s="229">
        <v>0</v>
      </c>
      <c r="N547" s="230">
        <v>0</v>
      </c>
      <c r="O547" s="231">
        <v>405</v>
      </c>
      <c r="P547" s="222" t="s">
        <v>212</v>
      </c>
      <c r="Q547" s="229">
        <v>0</v>
      </c>
      <c r="R547" s="230">
        <v>0</v>
      </c>
      <c r="S547" s="229">
        <v>0</v>
      </c>
      <c r="T547" s="536">
        <v>0</v>
      </c>
      <c r="U547" s="536"/>
      <c r="V547" s="229">
        <v>0</v>
      </c>
      <c r="W547" s="222" t="s">
        <v>212</v>
      </c>
      <c r="X547" s="530">
        <v>405</v>
      </c>
      <c r="Y547" s="530"/>
      <c r="Z547" s="222" t="s">
        <v>212</v>
      </c>
      <c r="AA547" s="232">
        <v>0</v>
      </c>
      <c r="AB547" s="233">
        <v>237340</v>
      </c>
      <c r="AC547" s="215"/>
    </row>
    <row r="548" spans="1:29" ht="2.25" customHeight="1">
      <c r="A548" s="215"/>
      <c r="B548" s="529" t="s">
        <v>212</v>
      </c>
      <c r="C548" s="529"/>
      <c r="D548" s="219" t="s">
        <v>212</v>
      </c>
      <c r="E548" s="222" t="s">
        <v>212</v>
      </c>
      <c r="F548" s="531" t="s">
        <v>212</v>
      </c>
      <c r="G548" s="531"/>
      <c r="H548" s="222" t="s">
        <v>212</v>
      </c>
      <c r="I548" s="531" t="s">
        <v>212</v>
      </c>
      <c r="J548" s="531"/>
      <c r="K548" s="222" t="s">
        <v>212</v>
      </c>
      <c r="L548" s="222" t="s">
        <v>212</v>
      </c>
      <c r="M548" s="222" t="s">
        <v>212</v>
      </c>
      <c r="N548" s="222" t="s">
        <v>212</v>
      </c>
      <c r="O548" s="222" t="s">
        <v>212</v>
      </c>
      <c r="P548" s="222" t="s">
        <v>212</v>
      </c>
      <c r="Q548" s="222" t="s">
        <v>212</v>
      </c>
      <c r="R548" s="222" t="s">
        <v>212</v>
      </c>
      <c r="S548" s="222" t="s">
        <v>212</v>
      </c>
      <c r="T548" s="531" t="s">
        <v>212</v>
      </c>
      <c r="U548" s="531"/>
      <c r="V548" s="222" t="s">
        <v>212</v>
      </c>
      <c r="W548" s="222" t="s">
        <v>212</v>
      </c>
      <c r="X548" s="531" t="s">
        <v>212</v>
      </c>
      <c r="Y548" s="531"/>
      <c r="Z548" s="222" t="s">
        <v>212</v>
      </c>
      <c r="AA548" s="222" t="s">
        <v>212</v>
      </c>
      <c r="AB548" s="222" t="s">
        <v>212</v>
      </c>
      <c r="AC548" s="215"/>
    </row>
    <row r="549" spans="1:29" ht="13.5" customHeight="1">
      <c r="A549" s="215"/>
      <c r="B549" s="532">
        <v>38984</v>
      </c>
      <c r="C549" s="532"/>
      <c r="D549" s="219" t="s">
        <v>212</v>
      </c>
      <c r="E549" s="224">
        <v>210</v>
      </c>
      <c r="F549" s="533">
        <v>24</v>
      </c>
      <c r="G549" s="533"/>
      <c r="H549" s="224">
        <v>213</v>
      </c>
      <c r="I549" s="533">
        <v>24</v>
      </c>
      <c r="J549" s="533"/>
      <c r="K549" s="224">
        <v>0</v>
      </c>
      <c r="L549" s="225">
        <v>0</v>
      </c>
      <c r="M549" s="224">
        <v>0</v>
      </c>
      <c r="N549" s="225">
        <v>0</v>
      </c>
      <c r="O549" s="226">
        <v>423</v>
      </c>
      <c r="P549" s="222" t="s">
        <v>212</v>
      </c>
      <c r="Q549" s="224">
        <v>0</v>
      </c>
      <c r="R549" s="225">
        <v>0</v>
      </c>
      <c r="S549" s="224">
        <v>0</v>
      </c>
      <c r="T549" s="533">
        <v>0</v>
      </c>
      <c r="U549" s="533"/>
      <c r="V549" s="224">
        <v>0</v>
      </c>
      <c r="W549" s="222" t="s">
        <v>212</v>
      </c>
      <c r="X549" s="534">
        <v>423</v>
      </c>
      <c r="Y549" s="534"/>
      <c r="Z549" s="222" t="s">
        <v>212</v>
      </c>
      <c r="AA549" s="227">
        <v>0</v>
      </c>
      <c r="AB549" s="228">
        <v>241804</v>
      </c>
      <c r="AC549" s="215"/>
    </row>
    <row r="550" spans="1:29" ht="2.25" customHeight="1">
      <c r="A550" s="215"/>
      <c r="B550" s="529" t="s">
        <v>212</v>
      </c>
      <c r="C550" s="529"/>
      <c r="D550" s="219" t="s">
        <v>212</v>
      </c>
      <c r="E550" s="222" t="s">
        <v>212</v>
      </c>
      <c r="F550" s="531" t="s">
        <v>212</v>
      </c>
      <c r="G550" s="531"/>
      <c r="H550" s="222" t="s">
        <v>212</v>
      </c>
      <c r="I550" s="531" t="s">
        <v>212</v>
      </c>
      <c r="J550" s="531"/>
      <c r="K550" s="222" t="s">
        <v>212</v>
      </c>
      <c r="L550" s="222" t="s">
        <v>212</v>
      </c>
      <c r="M550" s="222" t="s">
        <v>212</v>
      </c>
      <c r="N550" s="222" t="s">
        <v>212</v>
      </c>
      <c r="O550" s="222" t="s">
        <v>212</v>
      </c>
      <c r="P550" s="222" t="s">
        <v>212</v>
      </c>
      <c r="Q550" s="222" t="s">
        <v>212</v>
      </c>
      <c r="R550" s="222" t="s">
        <v>212</v>
      </c>
      <c r="S550" s="222" t="s">
        <v>212</v>
      </c>
      <c r="T550" s="531" t="s">
        <v>212</v>
      </c>
      <c r="U550" s="531"/>
      <c r="V550" s="222" t="s">
        <v>212</v>
      </c>
      <c r="W550" s="222" t="s">
        <v>212</v>
      </c>
      <c r="X550" s="531" t="s">
        <v>212</v>
      </c>
      <c r="Y550" s="531"/>
      <c r="Z550" s="222" t="s">
        <v>212</v>
      </c>
      <c r="AA550" s="222" t="s">
        <v>212</v>
      </c>
      <c r="AB550" s="222" t="s">
        <v>212</v>
      </c>
      <c r="AC550" s="215"/>
    </row>
    <row r="551" spans="1:29" ht="13.5" customHeight="1">
      <c r="A551" s="215"/>
      <c r="B551" s="535">
        <v>38985</v>
      </c>
      <c r="C551" s="535"/>
      <c r="D551" s="219" t="s">
        <v>212</v>
      </c>
      <c r="E551" s="229">
        <v>237.2</v>
      </c>
      <c r="F551" s="536">
        <v>24</v>
      </c>
      <c r="G551" s="536"/>
      <c r="H551" s="229">
        <v>247.5</v>
      </c>
      <c r="I551" s="536">
        <v>24</v>
      </c>
      <c r="J551" s="536"/>
      <c r="K551" s="229">
        <v>0</v>
      </c>
      <c r="L551" s="230">
        <v>0</v>
      </c>
      <c r="M551" s="229">
        <v>0</v>
      </c>
      <c r="N551" s="230">
        <v>0</v>
      </c>
      <c r="O551" s="231">
        <v>484.7</v>
      </c>
      <c r="P551" s="222" t="s">
        <v>212</v>
      </c>
      <c r="Q551" s="229">
        <v>0</v>
      </c>
      <c r="R551" s="230">
        <v>0</v>
      </c>
      <c r="S551" s="229">
        <v>0</v>
      </c>
      <c r="T551" s="536">
        <v>0</v>
      </c>
      <c r="U551" s="536"/>
      <c r="V551" s="229">
        <v>0</v>
      </c>
      <c r="W551" s="222" t="s">
        <v>212</v>
      </c>
      <c r="X551" s="530">
        <v>484.7</v>
      </c>
      <c r="Y551" s="530"/>
      <c r="Z551" s="222" t="s">
        <v>212</v>
      </c>
      <c r="AA551" s="232">
        <v>0</v>
      </c>
      <c r="AB551" s="233">
        <v>259513</v>
      </c>
      <c r="AC551" s="215"/>
    </row>
    <row r="552" spans="1:29" ht="2.25" customHeight="1">
      <c r="A552" s="215"/>
      <c r="B552" s="529" t="s">
        <v>212</v>
      </c>
      <c r="C552" s="529"/>
      <c r="D552" s="219" t="s">
        <v>212</v>
      </c>
      <c r="E552" s="222" t="s">
        <v>212</v>
      </c>
      <c r="F552" s="531" t="s">
        <v>212</v>
      </c>
      <c r="G552" s="531"/>
      <c r="H552" s="222" t="s">
        <v>212</v>
      </c>
      <c r="I552" s="531" t="s">
        <v>212</v>
      </c>
      <c r="J552" s="531"/>
      <c r="K552" s="222" t="s">
        <v>212</v>
      </c>
      <c r="L552" s="222" t="s">
        <v>212</v>
      </c>
      <c r="M552" s="222" t="s">
        <v>212</v>
      </c>
      <c r="N552" s="222" t="s">
        <v>212</v>
      </c>
      <c r="O552" s="222" t="s">
        <v>212</v>
      </c>
      <c r="P552" s="222" t="s">
        <v>212</v>
      </c>
      <c r="Q552" s="222" t="s">
        <v>212</v>
      </c>
      <c r="R552" s="222" t="s">
        <v>212</v>
      </c>
      <c r="S552" s="222" t="s">
        <v>212</v>
      </c>
      <c r="T552" s="531" t="s">
        <v>212</v>
      </c>
      <c r="U552" s="531"/>
      <c r="V552" s="222" t="s">
        <v>212</v>
      </c>
      <c r="W552" s="222" t="s">
        <v>212</v>
      </c>
      <c r="X552" s="531" t="s">
        <v>212</v>
      </c>
      <c r="Y552" s="531"/>
      <c r="Z552" s="222" t="s">
        <v>212</v>
      </c>
      <c r="AA552" s="222" t="s">
        <v>212</v>
      </c>
      <c r="AB552" s="222" t="s">
        <v>212</v>
      </c>
      <c r="AC552" s="215"/>
    </row>
    <row r="553" spans="1:29" ht="13.5" customHeight="1">
      <c r="A553" s="215"/>
      <c r="B553" s="532">
        <v>38986</v>
      </c>
      <c r="C553" s="532"/>
      <c r="D553" s="219" t="s">
        <v>212</v>
      </c>
      <c r="E553" s="224">
        <v>283.8</v>
      </c>
      <c r="F553" s="533">
        <v>24</v>
      </c>
      <c r="G553" s="533"/>
      <c r="H553" s="224">
        <v>179.7</v>
      </c>
      <c r="I553" s="533">
        <v>15</v>
      </c>
      <c r="J553" s="533"/>
      <c r="K553" s="224">
        <v>98.7</v>
      </c>
      <c r="L553" s="225">
        <v>9</v>
      </c>
      <c r="M553" s="224">
        <v>0</v>
      </c>
      <c r="N553" s="225">
        <v>0</v>
      </c>
      <c r="O553" s="226">
        <v>562.20000000000005</v>
      </c>
      <c r="P553" s="222" t="s">
        <v>212</v>
      </c>
      <c r="Q553" s="224">
        <v>0</v>
      </c>
      <c r="R553" s="225">
        <v>0</v>
      </c>
      <c r="S553" s="224">
        <v>0</v>
      </c>
      <c r="T553" s="533">
        <v>0</v>
      </c>
      <c r="U553" s="533"/>
      <c r="V553" s="224">
        <v>0</v>
      </c>
      <c r="W553" s="222" t="s">
        <v>212</v>
      </c>
      <c r="X553" s="534">
        <v>562.20000000000005</v>
      </c>
      <c r="Y553" s="534"/>
      <c r="Z553" s="222" t="s">
        <v>212</v>
      </c>
      <c r="AA553" s="227">
        <v>0</v>
      </c>
      <c r="AB553" s="228">
        <v>285350</v>
      </c>
      <c r="AC553" s="215"/>
    </row>
    <row r="554" spans="1:29" ht="2.25" customHeight="1">
      <c r="A554" s="215"/>
      <c r="B554" s="529" t="s">
        <v>212</v>
      </c>
      <c r="C554" s="529"/>
      <c r="D554" s="219" t="s">
        <v>212</v>
      </c>
      <c r="E554" s="222" t="s">
        <v>212</v>
      </c>
      <c r="F554" s="531" t="s">
        <v>212</v>
      </c>
      <c r="G554" s="531"/>
      <c r="H554" s="222" t="s">
        <v>212</v>
      </c>
      <c r="I554" s="531" t="s">
        <v>212</v>
      </c>
      <c r="J554" s="531"/>
      <c r="K554" s="222" t="s">
        <v>212</v>
      </c>
      <c r="L554" s="222" t="s">
        <v>212</v>
      </c>
      <c r="M554" s="222" t="s">
        <v>212</v>
      </c>
      <c r="N554" s="222" t="s">
        <v>212</v>
      </c>
      <c r="O554" s="222" t="s">
        <v>212</v>
      </c>
      <c r="P554" s="222" t="s">
        <v>212</v>
      </c>
      <c r="Q554" s="222" t="s">
        <v>212</v>
      </c>
      <c r="R554" s="222" t="s">
        <v>212</v>
      </c>
      <c r="S554" s="222" t="s">
        <v>212</v>
      </c>
      <c r="T554" s="531" t="s">
        <v>212</v>
      </c>
      <c r="U554" s="531"/>
      <c r="V554" s="222" t="s">
        <v>212</v>
      </c>
      <c r="W554" s="222" t="s">
        <v>212</v>
      </c>
      <c r="X554" s="531" t="s">
        <v>212</v>
      </c>
      <c r="Y554" s="531"/>
      <c r="Z554" s="222" t="s">
        <v>212</v>
      </c>
      <c r="AA554" s="222" t="s">
        <v>212</v>
      </c>
      <c r="AB554" s="222" t="s">
        <v>212</v>
      </c>
      <c r="AC554" s="215"/>
    </row>
    <row r="555" spans="1:29" ht="13.5" customHeight="1">
      <c r="A555" s="215"/>
      <c r="B555" s="535">
        <v>38987</v>
      </c>
      <c r="C555" s="535"/>
      <c r="D555" s="219" t="s">
        <v>212</v>
      </c>
      <c r="E555" s="229">
        <v>269.5</v>
      </c>
      <c r="F555" s="536">
        <v>24</v>
      </c>
      <c r="G555" s="536"/>
      <c r="H555" s="229">
        <v>83.8</v>
      </c>
      <c r="I555" s="536">
        <v>14</v>
      </c>
      <c r="J555" s="536"/>
      <c r="K555" s="229">
        <v>172</v>
      </c>
      <c r="L555" s="230">
        <v>19</v>
      </c>
      <c r="M555" s="229">
        <v>0</v>
      </c>
      <c r="N555" s="230">
        <v>0</v>
      </c>
      <c r="O555" s="231">
        <v>525.29999999999995</v>
      </c>
      <c r="P555" s="222" t="s">
        <v>212</v>
      </c>
      <c r="Q555" s="229">
        <v>0</v>
      </c>
      <c r="R555" s="230">
        <v>0</v>
      </c>
      <c r="S555" s="229">
        <v>0</v>
      </c>
      <c r="T555" s="536">
        <v>0</v>
      </c>
      <c r="U555" s="536"/>
      <c r="V555" s="229">
        <v>0</v>
      </c>
      <c r="W555" s="222" t="s">
        <v>212</v>
      </c>
      <c r="X555" s="530">
        <v>525.29999999999995</v>
      </c>
      <c r="Y555" s="530"/>
      <c r="Z555" s="222" t="s">
        <v>212</v>
      </c>
      <c r="AA555" s="232">
        <v>0</v>
      </c>
      <c r="AB555" s="233">
        <v>285679</v>
      </c>
      <c r="AC555" s="215"/>
    </row>
    <row r="556" spans="1:29" ht="2.25" customHeight="1">
      <c r="A556" s="215"/>
      <c r="B556" s="529" t="s">
        <v>212</v>
      </c>
      <c r="C556" s="529"/>
      <c r="D556" s="219" t="s">
        <v>212</v>
      </c>
      <c r="E556" s="222" t="s">
        <v>212</v>
      </c>
      <c r="F556" s="531" t="s">
        <v>212</v>
      </c>
      <c r="G556" s="531"/>
      <c r="H556" s="222" t="s">
        <v>212</v>
      </c>
      <c r="I556" s="531" t="s">
        <v>212</v>
      </c>
      <c r="J556" s="531"/>
      <c r="K556" s="222" t="s">
        <v>212</v>
      </c>
      <c r="L556" s="222" t="s">
        <v>212</v>
      </c>
      <c r="M556" s="222" t="s">
        <v>212</v>
      </c>
      <c r="N556" s="222" t="s">
        <v>212</v>
      </c>
      <c r="O556" s="222" t="s">
        <v>212</v>
      </c>
      <c r="P556" s="222" t="s">
        <v>212</v>
      </c>
      <c r="Q556" s="222" t="s">
        <v>212</v>
      </c>
      <c r="R556" s="222" t="s">
        <v>212</v>
      </c>
      <c r="S556" s="222" t="s">
        <v>212</v>
      </c>
      <c r="T556" s="531" t="s">
        <v>212</v>
      </c>
      <c r="U556" s="531"/>
      <c r="V556" s="222" t="s">
        <v>212</v>
      </c>
      <c r="W556" s="222" t="s">
        <v>212</v>
      </c>
      <c r="X556" s="531" t="s">
        <v>212</v>
      </c>
      <c r="Y556" s="531"/>
      <c r="Z556" s="222" t="s">
        <v>212</v>
      </c>
      <c r="AA556" s="222" t="s">
        <v>212</v>
      </c>
      <c r="AB556" s="222" t="s">
        <v>212</v>
      </c>
      <c r="AC556" s="215"/>
    </row>
    <row r="557" spans="1:29" ht="13.5" customHeight="1">
      <c r="A557" s="215"/>
      <c r="B557" s="532">
        <v>38988</v>
      </c>
      <c r="C557" s="532"/>
      <c r="D557" s="219" t="s">
        <v>212</v>
      </c>
      <c r="E557" s="224">
        <v>254.4</v>
      </c>
      <c r="F557" s="533">
        <v>24</v>
      </c>
      <c r="G557" s="533"/>
      <c r="H557" s="224">
        <v>283.39999999999998</v>
      </c>
      <c r="I557" s="533">
        <v>24</v>
      </c>
      <c r="J557" s="533"/>
      <c r="K557" s="224">
        <v>0</v>
      </c>
      <c r="L557" s="225">
        <v>0</v>
      </c>
      <c r="M557" s="224">
        <v>0</v>
      </c>
      <c r="N557" s="225">
        <v>0</v>
      </c>
      <c r="O557" s="226">
        <v>537.79999999999995</v>
      </c>
      <c r="P557" s="222" t="s">
        <v>212</v>
      </c>
      <c r="Q557" s="224">
        <v>0</v>
      </c>
      <c r="R557" s="225">
        <v>0</v>
      </c>
      <c r="S557" s="224">
        <v>0</v>
      </c>
      <c r="T557" s="533">
        <v>0</v>
      </c>
      <c r="U557" s="533"/>
      <c r="V557" s="224">
        <v>0</v>
      </c>
      <c r="W557" s="222" t="s">
        <v>212</v>
      </c>
      <c r="X557" s="534">
        <v>537.79999999999995</v>
      </c>
      <c r="Y557" s="534"/>
      <c r="Z557" s="222" t="s">
        <v>212</v>
      </c>
      <c r="AA557" s="227">
        <v>0</v>
      </c>
      <c r="AB557" s="228">
        <v>276243</v>
      </c>
      <c r="AC557" s="215"/>
    </row>
    <row r="558" spans="1:29" ht="2.25" customHeight="1">
      <c r="A558" s="215"/>
      <c r="B558" s="529" t="s">
        <v>212</v>
      </c>
      <c r="C558" s="529"/>
      <c r="D558" s="219" t="s">
        <v>212</v>
      </c>
      <c r="E558" s="222" t="s">
        <v>212</v>
      </c>
      <c r="F558" s="531" t="s">
        <v>212</v>
      </c>
      <c r="G558" s="531"/>
      <c r="H558" s="222" t="s">
        <v>212</v>
      </c>
      <c r="I558" s="531" t="s">
        <v>212</v>
      </c>
      <c r="J558" s="531"/>
      <c r="K558" s="222" t="s">
        <v>212</v>
      </c>
      <c r="L558" s="222" t="s">
        <v>212</v>
      </c>
      <c r="M558" s="222" t="s">
        <v>212</v>
      </c>
      <c r="N558" s="222" t="s">
        <v>212</v>
      </c>
      <c r="O558" s="222" t="s">
        <v>212</v>
      </c>
      <c r="P558" s="222" t="s">
        <v>212</v>
      </c>
      <c r="Q558" s="222" t="s">
        <v>212</v>
      </c>
      <c r="R558" s="222" t="s">
        <v>212</v>
      </c>
      <c r="S558" s="222" t="s">
        <v>212</v>
      </c>
      <c r="T558" s="531" t="s">
        <v>212</v>
      </c>
      <c r="U558" s="531"/>
      <c r="V558" s="222" t="s">
        <v>212</v>
      </c>
      <c r="W558" s="222" t="s">
        <v>212</v>
      </c>
      <c r="X558" s="531" t="s">
        <v>212</v>
      </c>
      <c r="Y558" s="531"/>
      <c r="Z558" s="222" t="s">
        <v>212</v>
      </c>
      <c r="AA558" s="222" t="s">
        <v>212</v>
      </c>
      <c r="AB558" s="222" t="s">
        <v>212</v>
      </c>
      <c r="AC558" s="215"/>
    </row>
    <row r="559" spans="1:29" ht="13.5" customHeight="1">
      <c r="A559" s="215"/>
      <c r="B559" s="535">
        <v>38989</v>
      </c>
      <c r="C559" s="535"/>
      <c r="D559" s="219" t="s">
        <v>212</v>
      </c>
      <c r="E559" s="229">
        <v>243.6</v>
      </c>
      <c r="F559" s="536">
        <v>24</v>
      </c>
      <c r="G559" s="536"/>
      <c r="H559" s="229">
        <v>309.7</v>
      </c>
      <c r="I559" s="536">
        <v>24</v>
      </c>
      <c r="J559" s="536"/>
      <c r="K559" s="229">
        <v>0</v>
      </c>
      <c r="L559" s="230">
        <v>0</v>
      </c>
      <c r="M559" s="229">
        <v>0</v>
      </c>
      <c r="N559" s="230">
        <v>0</v>
      </c>
      <c r="O559" s="231">
        <v>553.29999999999995</v>
      </c>
      <c r="P559" s="222" t="s">
        <v>212</v>
      </c>
      <c r="Q559" s="229">
        <v>0</v>
      </c>
      <c r="R559" s="230">
        <v>24</v>
      </c>
      <c r="S559" s="229">
        <v>0</v>
      </c>
      <c r="T559" s="536">
        <v>0</v>
      </c>
      <c r="U559" s="536"/>
      <c r="V559" s="229">
        <v>0</v>
      </c>
      <c r="W559" s="222" t="s">
        <v>212</v>
      </c>
      <c r="X559" s="530">
        <v>553.29999999999995</v>
      </c>
      <c r="Y559" s="530"/>
      <c r="Z559" s="222" t="s">
        <v>212</v>
      </c>
      <c r="AA559" s="232">
        <v>0</v>
      </c>
      <c r="AB559" s="233">
        <v>280415</v>
      </c>
      <c r="AC559" s="215"/>
    </row>
    <row r="560" spans="1:29" ht="2.25" customHeight="1">
      <c r="A560" s="215"/>
      <c r="B560" s="529" t="s">
        <v>212</v>
      </c>
      <c r="C560" s="529"/>
      <c r="D560" s="219" t="s">
        <v>212</v>
      </c>
      <c r="E560" s="222" t="s">
        <v>212</v>
      </c>
      <c r="F560" s="531" t="s">
        <v>212</v>
      </c>
      <c r="G560" s="531"/>
      <c r="H560" s="222" t="s">
        <v>212</v>
      </c>
      <c r="I560" s="531" t="s">
        <v>212</v>
      </c>
      <c r="J560" s="531"/>
      <c r="K560" s="222" t="s">
        <v>212</v>
      </c>
      <c r="L560" s="222" t="s">
        <v>212</v>
      </c>
      <c r="M560" s="222" t="s">
        <v>212</v>
      </c>
      <c r="N560" s="222" t="s">
        <v>212</v>
      </c>
      <c r="O560" s="222" t="s">
        <v>212</v>
      </c>
      <c r="P560" s="222" t="s">
        <v>212</v>
      </c>
      <c r="Q560" s="222" t="s">
        <v>212</v>
      </c>
      <c r="R560" s="222" t="s">
        <v>212</v>
      </c>
      <c r="S560" s="222" t="s">
        <v>212</v>
      </c>
      <c r="T560" s="531" t="s">
        <v>212</v>
      </c>
      <c r="U560" s="531"/>
      <c r="V560" s="222" t="s">
        <v>212</v>
      </c>
      <c r="W560" s="222" t="s">
        <v>212</v>
      </c>
      <c r="X560" s="531" t="s">
        <v>212</v>
      </c>
      <c r="Y560" s="531"/>
      <c r="Z560" s="222" t="s">
        <v>212</v>
      </c>
      <c r="AA560" s="222" t="s">
        <v>212</v>
      </c>
      <c r="AB560" s="222" t="s">
        <v>212</v>
      </c>
      <c r="AC560" s="215"/>
    </row>
    <row r="561" spans="1:29" ht="13.5" customHeight="1">
      <c r="A561" s="215"/>
      <c r="B561" s="532">
        <v>38990</v>
      </c>
      <c r="C561" s="532"/>
      <c r="D561" s="219" t="s">
        <v>212</v>
      </c>
      <c r="E561" s="224">
        <v>234</v>
      </c>
      <c r="F561" s="533">
        <v>24</v>
      </c>
      <c r="G561" s="533"/>
      <c r="H561" s="224">
        <v>294.89999999999998</v>
      </c>
      <c r="I561" s="533">
        <v>24</v>
      </c>
      <c r="J561" s="533"/>
      <c r="K561" s="224">
        <v>0</v>
      </c>
      <c r="L561" s="225">
        <v>0</v>
      </c>
      <c r="M561" s="224">
        <v>0</v>
      </c>
      <c r="N561" s="225">
        <v>0</v>
      </c>
      <c r="O561" s="226">
        <v>528.9</v>
      </c>
      <c r="P561" s="222" t="s">
        <v>212</v>
      </c>
      <c r="Q561" s="224">
        <v>0</v>
      </c>
      <c r="R561" s="225">
        <v>0</v>
      </c>
      <c r="S561" s="224">
        <v>0</v>
      </c>
      <c r="T561" s="533">
        <v>0</v>
      </c>
      <c r="U561" s="533"/>
      <c r="V561" s="224">
        <v>0</v>
      </c>
      <c r="W561" s="222" t="s">
        <v>212</v>
      </c>
      <c r="X561" s="534">
        <v>528.9</v>
      </c>
      <c r="Y561" s="534"/>
      <c r="Z561" s="222" t="s">
        <v>212</v>
      </c>
      <c r="AA561" s="227">
        <v>0</v>
      </c>
      <c r="AB561" s="228">
        <v>270011</v>
      </c>
      <c r="AC561" s="215"/>
    </row>
    <row r="562" spans="1:29" ht="2.25" customHeight="1">
      <c r="A562" s="215"/>
      <c r="B562" s="529" t="s">
        <v>212</v>
      </c>
      <c r="C562" s="529"/>
      <c r="D562" s="219" t="s">
        <v>212</v>
      </c>
      <c r="E562" s="222" t="s">
        <v>212</v>
      </c>
      <c r="F562" s="531" t="s">
        <v>212</v>
      </c>
      <c r="G562" s="531"/>
      <c r="H562" s="222" t="s">
        <v>212</v>
      </c>
      <c r="I562" s="531" t="s">
        <v>212</v>
      </c>
      <c r="J562" s="531"/>
      <c r="K562" s="222" t="s">
        <v>212</v>
      </c>
      <c r="L562" s="222" t="s">
        <v>212</v>
      </c>
      <c r="M562" s="222" t="s">
        <v>212</v>
      </c>
      <c r="N562" s="222" t="s">
        <v>212</v>
      </c>
      <c r="O562" s="222" t="s">
        <v>212</v>
      </c>
      <c r="P562" s="222" t="s">
        <v>212</v>
      </c>
      <c r="Q562" s="222" t="s">
        <v>212</v>
      </c>
      <c r="R562" s="222" t="s">
        <v>212</v>
      </c>
      <c r="S562" s="222" t="s">
        <v>212</v>
      </c>
      <c r="T562" s="531" t="s">
        <v>212</v>
      </c>
      <c r="U562" s="531"/>
      <c r="V562" s="222" t="s">
        <v>212</v>
      </c>
      <c r="W562" s="222" t="s">
        <v>212</v>
      </c>
      <c r="X562" s="531" t="s">
        <v>212</v>
      </c>
      <c r="Y562" s="531"/>
      <c r="Z562" s="222" t="s">
        <v>212</v>
      </c>
      <c r="AA562" s="222" t="s">
        <v>212</v>
      </c>
      <c r="AB562" s="222" t="s">
        <v>212</v>
      </c>
      <c r="AC562" s="215"/>
    </row>
    <row r="563" spans="1:29" ht="13.5" customHeight="1">
      <c r="A563" s="215"/>
      <c r="B563" s="535">
        <v>38991</v>
      </c>
      <c r="C563" s="535"/>
      <c r="D563" s="219" t="s">
        <v>212</v>
      </c>
      <c r="E563" s="229">
        <v>268.5</v>
      </c>
      <c r="F563" s="536">
        <v>24</v>
      </c>
      <c r="G563" s="536"/>
      <c r="H563" s="229">
        <v>328.5</v>
      </c>
      <c r="I563" s="536">
        <v>24</v>
      </c>
      <c r="J563" s="536"/>
      <c r="K563" s="229">
        <v>57.2</v>
      </c>
      <c r="L563" s="230">
        <v>7</v>
      </c>
      <c r="M563" s="229">
        <v>0</v>
      </c>
      <c r="N563" s="230">
        <v>0</v>
      </c>
      <c r="O563" s="231">
        <v>654.20000000000005</v>
      </c>
      <c r="P563" s="222" t="s">
        <v>212</v>
      </c>
      <c r="Q563" s="229">
        <v>0</v>
      </c>
      <c r="R563" s="230">
        <v>0</v>
      </c>
      <c r="S563" s="229">
        <v>0</v>
      </c>
      <c r="T563" s="536">
        <v>0</v>
      </c>
      <c r="U563" s="536"/>
      <c r="V563" s="229">
        <v>0</v>
      </c>
      <c r="W563" s="222" t="s">
        <v>212</v>
      </c>
      <c r="X563" s="530">
        <v>654.20000000000005</v>
      </c>
      <c r="Y563" s="530"/>
      <c r="Z563" s="222" t="s">
        <v>212</v>
      </c>
      <c r="AA563" s="232">
        <v>0</v>
      </c>
      <c r="AB563" s="233">
        <v>331527</v>
      </c>
      <c r="AC563" s="215"/>
    </row>
    <row r="564" spans="1:29" ht="2.25" customHeight="1">
      <c r="A564" s="215"/>
      <c r="B564" s="529" t="s">
        <v>212</v>
      </c>
      <c r="C564" s="529"/>
      <c r="D564" s="219" t="s">
        <v>212</v>
      </c>
      <c r="E564" s="222" t="s">
        <v>212</v>
      </c>
      <c r="F564" s="531" t="s">
        <v>212</v>
      </c>
      <c r="G564" s="531"/>
      <c r="H564" s="222" t="s">
        <v>212</v>
      </c>
      <c r="I564" s="531" t="s">
        <v>212</v>
      </c>
      <c r="J564" s="531"/>
      <c r="K564" s="222" t="s">
        <v>212</v>
      </c>
      <c r="L564" s="222" t="s">
        <v>212</v>
      </c>
      <c r="M564" s="222" t="s">
        <v>212</v>
      </c>
      <c r="N564" s="222" t="s">
        <v>212</v>
      </c>
      <c r="O564" s="222" t="s">
        <v>212</v>
      </c>
      <c r="P564" s="222" t="s">
        <v>212</v>
      </c>
      <c r="Q564" s="222" t="s">
        <v>212</v>
      </c>
      <c r="R564" s="222" t="s">
        <v>212</v>
      </c>
      <c r="S564" s="222" t="s">
        <v>212</v>
      </c>
      <c r="T564" s="531" t="s">
        <v>212</v>
      </c>
      <c r="U564" s="531"/>
      <c r="V564" s="222" t="s">
        <v>212</v>
      </c>
      <c r="W564" s="222" t="s">
        <v>212</v>
      </c>
      <c r="X564" s="531" t="s">
        <v>212</v>
      </c>
      <c r="Y564" s="531"/>
      <c r="Z564" s="222" t="s">
        <v>212</v>
      </c>
      <c r="AA564" s="222" t="s">
        <v>212</v>
      </c>
      <c r="AB564" s="222" t="s">
        <v>212</v>
      </c>
      <c r="AC564" s="215"/>
    </row>
    <row r="565" spans="1:29" ht="13.5" customHeight="1">
      <c r="A565" s="215"/>
      <c r="B565" s="532">
        <v>38992</v>
      </c>
      <c r="C565" s="532"/>
      <c r="D565" s="219" t="s">
        <v>212</v>
      </c>
      <c r="E565" s="224">
        <v>266.89999999999998</v>
      </c>
      <c r="F565" s="533">
        <v>24</v>
      </c>
      <c r="G565" s="533"/>
      <c r="H565" s="224">
        <v>329.3</v>
      </c>
      <c r="I565" s="533">
        <v>24</v>
      </c>
      <c r="J565" s="533"/>
      <c r="K565" s="224">
        <v>0</v>
      </c>
      <c r="L565" s="225">
        <v>0</v>
      </c>
      <c r="M565" s="224">
        <v>0</v>
      </c>
      <c r="N565" s="225">
        <v>0</v>
      </c>
      <c r="O565" s="226">
        <v>596.20000000000005</v>
      </c>
      <c r="P565" s="222" t="s">
        <v>212</v>
      </c>
      <c r="Q565" s="224">
        <v>0</v>
      </c>
      <c r="R565" s="225">
        <v>0</v>
      </c>
      <c r="S565" s="224">
        <v>0</v>
      </c>
      <c r="T565" s="533">
        <v>0</v>
      </c>
      <c r="U565" s="533"/>
      <c r="V565" s="224">
        <v>0</v>
      </c>
      <c r="W565" s="222" t="s">
        <v>212</v>
      </c>
      <c r="X565" s="534">
        <v>596.20000000000005</v>
      </c>
      <c r="Y565" s="534"/>
      <c r="Z565" s="222" t="s">
        <v>212</v>
      </c>
      <c r="AA565" s="227">
        <v>0</v>
      </c>
      <c r="AB565" s="228">
        <v>292128</v>
      </c>
      <c r="AC565" s="215"/>
    </row>
    <row r="566" spans="1:29" ht="2.25" customHeight="1">
      <c r="A566" s="215"/>
      <c r="B566" s="529" t="s">
        <v>212</v>
      </c>
      <c r="C566" s="529"/>
      <c r="D566" s="219" t="s">
        <v>212</v>
      </c>
      <c r="E566" s="222" t="s">
        <v>212</v>
      </c>
      <c r="F566" s="531" t="s">
        <v>212</v>
      </c>
      <c r="G566" s="531"/>
      <c r="H566" s="222" t="s">
        <v>212</v>
      </c>
      <c r="I566" s="531" t="s">
        <v>212</v>
      </c>
      <c r="J566" s="531"/>
      <c r="K566" s="222" t="s">
        <v>212</v>
      </c>
      <c r="L566" s="222" t="s">
        <v>212</v>
      </c>
      <c r="M566" s="222" t="s">
        <v>212</v>
      </c>
      <c r="N566" s="222" t="s">
        <v>212</v>
      </c>
      <c r="O566" s="222" t="s">
        <v>212</v>
      </c>
      <c r="P566" s="222" t="s">
        <v>212</v>
      </c>
      <c r="Q566" s="222" t="s">
        <v>212</v>
      </c>
      <c r="R566" s="222" t="s">
        <v>212</v>
      </c>
      <c r="S566" s="222" t="s">
        <v>212</v>
      </c>
      <c r="T566" s="531" t="s">
        <v>212</v>
      </c>
      <c r="U566" s="531"/>
      <c r="V566" s="222" t="s">
        <v>212</v>
      </c>
      <c r="W566" s="222" t="s">
        <v>212</v>
      </c>
      <c r="X566" s="531" t="s">
        <v>212</v>
      </c>
      <c r="Y566" s="531"/>
      <c r="Z566" s="222" t="s">
        <v>212</v>
      </c>
      <c r="AA566" s="222" t="s">
        <v>212</v>
      </c>
      <c r="AB566" s="222" t="s">
        <v>212</v>
      </c>
      <c r="AC566" s="215"/>
    </row>
    <row r="567" spans="1:29" ht="13.5" customHeight="1">
      <c r="A567" s="215"/>
      <c r="B567" s="535">
        <v>38993</v>
      </c>
      <c r="C567" s="535"/>
      <c r="D567" s="219" t="s">
        <v>212</v>
      </c>
      <c r="E567" s="229">
        <v>265.2</v>
      </c>
      <c r="F567" s="536">
        <v>24</v>
      </c>
      <c r="G567" s="536"/>
      <c r="H567" s="229">
        <v>328.3</v>
      </c>
      <c r="I567" s="536">
        <v>24</v>
      </c>
      <c r="J567" s="536"/>
      <c r="K567" s="229">
        <v>0</v>
      </c>
      <c r="L567" s="230">
        <v>0</v>
      </c>
      <c r="M567" s="229">
        <v>0</v>
      </c>
      <c r="N567" s="230">
        <v>0</v>
      </c>
      <c r="O567" s="231">
        <v>593.5</v>
      </c>
      <c r="P567" s="222" t="s">
        <v>212</v>
      </c>
      <c r="Q567" s="229">
        <v>0</v>
      </c>
      <c r="R567" s="230">
        <v>24</v>
      </c>
      <c r="S567" s="229">
        <v>0</v>
      </c>
      <c r="T567" s="536">
        <v>0</v>
      </c>
      <c r="U567" s="536"/>
      <c r="V567" s="229">
        <v>0</v>
      </c>
      <c r="W567" s="222" t="s">
        <v>212</v>
      </c>
      <c r="X567" s="530">
        <v>593.5</v>
      </c>
      <c r="Y567" s="530"/>
      <c r="Z567" s="222" t="s">
        <v>212</v>
      </c>
      <c r="AA567" s="232">
        <v>0</v>
      </c>
      <c r="AB567" s="233">
        <v>291352</v>
      </c>
      <c r="AC567" s="215"/>
    </row>
    <row r="568" spans="1:29" ht="2.25" customHeight="1">
      <c r="A568" s="215"/>
      <c r="B568" s="529" t="s">
        <v>212</v>
      </c>
      <c r="C568" s="529"/>
      <c r="D568" s="219" t="s">
        <v>212</v>
      </c>
      <c r="E568" s="222" t="s">
        <v>212</v>
      </c>
      <c r="F568" s="531" t="s">
        <v>212</v>
      </c>
      <c r="G568" s="531"/>
      <c r="H568" s="222" t="s">
        <v>212</v>
      </c>
      <c r="I568" s="531" t="s">
        <v>212</v>
      </c>
      <c r="J568" s="531"/>
      <c r="K568" s="222" t="s">
        <v>212</v>
      </c>
      <c r="L568" s="222" t="s">
        <v>212</v>
      </c>
      <c r="M568" s="222" t="s">
        <v>212</v>
      </c>
      <c r="N568" s="222" t="s">
        <v>212</v>
      </c>
      <c r="O568" s="222" t="s">
        <v>212</v>
      </c>
      <c r="P568" s="222" t="s">
        <v>212</v>
      </c>
      <c r="Q568" s="222" t="s">
        <v>212</v>
      </c>
      <c r="R568" s="222" t="s">
        <v>212</v>
      </c>
      <c r="S568" s="222" t="s">
        <v>212</v>
      </c>
      <c r="T568" s="531" t="s">
        <v>212</v>
      </c>
      <c r="U568" s="531"/>
      <c r="V568" s="222" t="s">
        <v>212</v>
      </c>
      <c r="W568" s="222" t="s">
        <v>212</v>
      </c>
      <c r="X568" s="531" t="s">
        <v>212</v>
      </c>
      <c r="Y568" s="531"/>
      <c r="Z568" s="222" t="s">
        <v>212</v>
      </c>
      <c r="AA568" s="222" t="s">
        <v>212</v>
      </c>
      <c r="AB568" s="222" t="s">
        <v>212</v>
      </c>
      <c r="AC568" s="215"/>
    </row>
    <row r="569" spans="1:29" ht="13.5" customHeight="1">
      <c r="A569" s="215"/>
      <c r="B569" s="532">
        <v>38994</v>
      </c>
      <c r="C569" s="532"/>
      <c r="D569" s="219" t="s">
        <v>212</v>
      </c>
      <c r="E569" s="224">
        <v>221.4</v>
      </c>
      <c r="F569" s="533">
        <v>24</v>
      </c>
      <c r="G569" s="533"/>
      <c r="H569" s="224">
        <v>280.89999999999998</v>
      </c>
      <c r="I569" s="533">
        <v>24</v>
      </c>
      <c r="J569" s="533"/>
      <c r="K569" s="224">
        <v>0</v>
      </c>
      <c r="L569" s="225">
        <v>0</v>
      </c>
      <c r="M569" s="224">
        <v>0</v>
      </c>
      <c r="N569" s="225">
        <v>0</v>
      </c>
      <c r="O569" s="226">
        <v>502.3</v>
      </c>
      <c r="P569" s="222" t="s">
        <v>212</v>
      </c>
      <c r="Q569" s="224">
        <v>0</v>
      </c>
      <c r="R569" s="225">
        <v>0</v>
      </c>
      <c r="S569" s="224">
        <v>0</v>
      </c>
      <c r="T569" s="533">
        <v>0</v>
      </c>
      <c r="U569" s="533"/>
      <c r="V569" s="224">
        <v>0</v>
      </c>
      <c r="W569" s="222" t="s">
        <v>212</v>
      </c>
      <c r="X569" s="534">
        <v>502.3</v>
      </c>
      <c r="Y569" s="534"/>
      <c r="Z569" s="222" t="s">
        <v>212</v>
      </c>
      <c r="AA569" s="227">
        <v>0</v>
      </c>
      <c r="AB569" s="228">
        <v>267295</v>
      </c>
      <c r="AC569" s="215"/>
    </row>
    <row r="570" spans="1:29" ht="2.25" customHeight="1">
      <c r="A570" s="215"/>
      <c r="B570" s="529" t="s">
        <v>212</v>
      </c>
      <c r="C570" s="529"/>
      <c r="D570" s="219" t="s">
        <v>212</v>
      </c>
      <c r="E570" s="222" t="s">
        <v>212</v>
      </c>
      <c r="F570" s="531" t="s">
        <v>212</v>
      </c>
      <c r="G570" s="531"/>
      <c r="H570" s="222" t="s">
        <v>212</v>
      </c>
      <c r="I570" s="531" t="s">
        <v>212</v>
      </c>
      <c r="J570" s="531"/>
      <c r="K570" s="222" t="s">
        <v>212</v>
      </c>
      <c r="L570" s="222" t="s">
        <v>212</v>
      </c>
      <c r="M570" s="222" t="s">
        <v>212</v>
      </c>
      <c r="N570" s="222" t="s">
        <v>212</v>
      </c>
      <c r="O570" s="222" t="s">
        <v>212</v>
      </c>
      <c r="P570" s="222" t="s">
        <v>212</v>
      </c>
      <c r="Q570" s="222" t="s">
        <v>212</v>
      </c>
      <c r="R570" s="222" t="s">
        <v>212</v>
      </c>
      <c r="S570" s="222" t="s">
        <v>212</v>
      </c>
      <c r="T570" s="531" t="s">
        <v>212</v>
      </c>
      <c r="U570" s="531"/>
      <c r="V570" s="222" t="s">
        <v>212</v>
      </c>
      <c r="W570" s="222" t="s">
        <v>212</v>
      </c>
      <c r="X570" s="531" t="s">
        <v>212</v>
      </c>
      <c r="Y570" s="531"/>
      <c r="Z570" s="222" t="s">
        <v>212</v>
      </c>
      <c r="AA570" s="222" t="s">
        <v>212</v>
      </c>
      <c r="AB570" s="222" t="s">
        <v>212</v>
      </c>
      <c r="AC570" s="215"/>
    </row>
    <row r="571" spans="1:29" ht="13.5" customHeight="1">
      <c r="A571" s="215"/>
      <c r="B571" s="535">
        <v>38995</v>
      </c>
      <c r="C571" s="535"/>
      <c r="D571" s="219" t="s">
        <v>212</v>
      </c>
      <c r="E571" s="229">
        <v>205.4</v>
      </c>
      <c r="F571" s="536">
        <v>24</v>
      </c>
      <c r="G571" s="536"/>
      <c r="H571" s="229">
        <v>281.2</v>
      </c>
      <c r="I571" s="536">
        <v>24</v>
      </c>
      <c r="J571" s="536"/>
      <c r="K571" s="229">
        <v>0</v>
      </c>
      <c r="L571" s="230">
        <v>0</v>
      </c>
      <c r="M571" s="229">
        <v>0</v>
      </c>
      <c r="N571" s="230">
        <v>0</v>
      </c>
      <c r="O571" s="231">
        <v>486.6</v>
      </c>
      <c r="P571" s="222" t="s">
        <v>212</v>
      </c>
      <c r="Q571" s="229">
        <v>0</v>
      </c>
      <c r="R571" s="230">
        <v>0</v>
      </c>
      <c r="S571" s="229">
        <v>0</v>
      </c>
      <c r="T571" s="536">
        <v>0</v>
      </c>
      <c r="U571" s="536"/>
      <c r="V571" s="229">
        <v>0</v>
      </c>
      <c r="W571" s="222" t="s">
        <v>212</v>
      </c>
      <c r="X571" s="530">
        <v>486.6</v>
      </c>
      <c r="Y571" s="530"/>
      <c r="Z571" s="222" t="s">
        <v>212</v>
      </c>
      <c r="AA571" s="232">
        <v>0</v>
      </c>
      <c r="AB571" s="233">
        <v>260980</v>
      </c>
      <c r="AC571" s="215"/>
    </row>
    <row r="572" spans="1:29" ht="2.25" customHeight="1">
      <c r="A572" s="215"/>
      <c r="B572" s="529" t="s">
        <v>212</v>
      </c>
      <c r="C572" s="529"/>
      <c r="D572" s="219" t="s">
        <v>212</v>
      </c>
      <c r="E572" s="222" t="s">
        <v>212</v>
      </c>
      <c r="F572" s="531" t="s">
        <v>212</v>
      </c>
      <c r="G572" s="531"/>
      <c r="H572" s="222" t="s">
        <v>212</v>
      </c>
      <c r="I572" s="531" t="s">
        <v>212</v>
      </c>
      <c r="J572" s="531"/>
      <c r="K572" s="222" t="s">
        <v>212</v>
      </c>
      <c r="L572" s="222" t="s">
        <v>212</v>
      </c>
      <c r="M572" s="222" t="s">
        <v>212</v>
      </c>
      <c r="N572" s="222" t="s">
        <v>212</v>
      </c>
      <c r="O572" s="222" t="s">
        <v>212</v>
      </c>
      <c r="P572" s="222" t="s">
        <v>212</v>
      </c>
      <c r="Q572" s="222" t="s">
        <v>212</v>
      </c>
      <c r="R572" s="222" t="s">
        <v>212</v>
      </c>
      <c r="S572" s="222" t="s">
        <v>212</v>
      </c>
      <c r="T572" s="531" t="s">
        <v>212</v>
      </c>
      <c r="U572" s="531"/>
      <c r="V572" s="222" t="s">
        <v>212</v>
      </c>
      <c r="W572" s="222" t="s">
        <v>212</v>
      </c>
      <c r="X572" s="531" t="s">
        <v>212</v>
      </c>
      <c r="Y572" s="531"/>
      <c r="Z572" s="222" t="s">
        <v>212</v>
      </c>
      <c r="AA572" s="222" t="s">
        <v>212</v>
      </c>
      <c r="AB572" s="222" t="s">
        <v>212</v>
      </c>
      <c r="AC572" s="215"/>
    </row>
    <row r="573" spans="1:29" ht="13.5" customHeight="1">
      <c r="A573" s="215"/>
      <c r="B573" s="532">
        <v>38996</v>
      </c>
      <c r="C573" s="532"/>
      <c r="D573" s="219" t="s">
        <v>212</v>
      </c>
      <c r="E573" s="224">
        <v>215.5</v>
      </c>
      <c r="F573" s="533">
        <v>24</v>
      </c>
      <c r="G573" s="533"/>
      <c r="H573" s="224">
        <v>286.10000000000002</v>
      </c>
      <c r="I573" s="533">
        <v>24</v>
      </c>
      <c r="J573" s="533"/>
      <c r="K573" s="224">
        <v>0</v>
      </c>
      <c r="L573" s="225">
        <v>0</v>
      </c>
      <c r="M573" s="224">
        <v>0</v>
      </c>
      <c r="N573" s="225">
        <v>0</v>
      </c>
      <c r="O573" s="226">
        <v>501.6</v>
      </c>
      <c r="P573" s="222" t="s">
        <v>212</v>
      </c>
      <c r="Q573" s="224">
        <v>0</v>
      </c>
      <c r="R573" s="225">
        <v>24</v>
      </c>
      <c r="S573" s="224">
        <v>0</v>
      </c>
      <c r="T573" s="533">
        <v>0</v>
      </c>
      <c r="U573" s="533"/>
      <c r="V573" s="224">
        <v>0</v>
      </c>
      <c r="W573" s="222" t="s">
        <v>212</v>
      </c>
      <c r="X573" s="534">
        <v>501.6</v>
      </c>
      <c r="Y573" s="534"/>
      <c r="Z573" s="222" t="s">
        <v>212</v>
      </c>
      <c r="AA573" s="227">
        <v>0</v>
      </c>
      <c r="AB573" s="228">
        <v>265002</v>
      </c>
      <c r="AC573" s="215"/>
    </row>
    <row r="574" spans="1:29" ht="2.25" customHeight="1">
      <c r="A574" s="215"/>
      <c r="B574" s="529" t="s">
        <v>212</v>
      </c>
      <c r="C574" s="529"/>
      <c r="D574" s="219" t="s">
        <v>212</v>
      </c>
      <c r="E574" s="222" t="s">
        <v>212</v>
      </c>
      <c r="F574" s="531" t="s">
        <v>212</v>
      </c>
      <c r="G574" s="531"/>
      <c r="H574" s="222" t="s">
        <v>212</v>
      </c>
      <c r="I574" s="531" t="s">
        <v>212</v>
      </c>
      <c r="J574" s="531"/>
      <c r="K574" s="222" t="s">
        <v>212</v>
      </c>
      <c r="L574" s="222" t="s">
        <v>212</v>
      </c>
      <c r="M574" s="222" t="s">
        <v>212</v>
      </c>
      <c r="N574" s="222" t="s">
        <v>212</v>
      </c>
      <c r="O574" s="222" t="s">
        <v>212</v>
      </c>
      <c r="P574" s="222" t="s">
        <v>212</v>
      </c>
      <c r="Q574" s="222" t="s">
        <v>212</v>
      </c>
      <c r="R574" s="222" t="s">
        <v>212</v>
      </c>
      <c r="S574" s="222" t="s">
        <v>212</v>
      </c>
      <c r="T574" s="531" t="s">
        <v>212</v>
      </c>
      <c r="U574" s="531"/>
      <c r="V574" s="222" t="s">
        <v>212</v>
      </c>
      <c r="W574" s="222" t="s">
        <v>212</v>
      </c>
      <c r="X574" s="531" t="s">
        <v>212</v>
      </c>
      <c r="Y574" s="531"/>
      <c r="Z574" s="222" t="s">
        <v>212</v>
      </c>
      <c r="AA574" s="222" t="s">
        <v>212</v>
      </c>
      <c r="AB574" s="222" t="s">
        <v>212</v>
      </c>
      <c r="AC574" s="215"/>
    </row>
    <row r="575" spans="1:29" ht="13.5" customHeight="1">
      <c r="A575" s="215"/>
      <c r="B575" s="535">
        <v>38997</v>
      </c>
      <c r="C575" s="535"/>
      <c r="D575" s="219" t="s">
        <v>212</v>
      </c>
      <c r="E575" s="229">
        <v>245.6</v>
      </c>
      <c r="F575" s="536">
        <v>23</v>
      </c>
      <c r="G575" s="536"/>
      <c r="H575" s="229">
        <v>163.69999999999999</v>
      </c>
      <c r="I575" s="536">
        <v>14</v>
      </c>
      <c r="J575" s="536"/>
      <c r="K575" s="229">
        <v>84.9</v>
      </c>
      <c r="L575" s="230">
        <v>14</v>
      </c>
      <c r="M575" s="229">
        <v>0</v>
      </c>
      <c r="N575" s="230">
        <v>0</v>
      </c>
      <c r="O575" s="231">
        <v>494.2</v>
      </c>
      <c r="P575" s="222" t="s">
        <v>212</v>
      </c>
      <c r="Q575" s="229">
        <v>9</v>
      </c>
      <c r="R575" s="230">
        <v>1</v>
      </c>
      <c r="S575" s="229">
        <v>0</v>
      </c>
      <c r="T575" s="536">
        <v>0</v>
      </c>
      <c r="U575" s="536"/>
      <c r="V575" s="229">
        <v>9</v>
      </c>
      <c r="W575" s="222" t="s">
        <v>212</v>
      </c>
      <c r="X575" s="530">
        <v>503.2</v>
      </c>
      <c r="Y575" s="530"/>
      <c r="Z575" s="222" t="s">
        <v>212</v>
      </c>
      <c r="AA575" s="232">
        <v>0</v>
      </c>
      <c r="AB575" s="233">
        <v>282454</v>
      </c>
      <c r="AC575" s="215"/>
    </row>
    <row r="576" spans="1:29" ht="2.25" customHeight="1">
      <c r="A576" s="215"/>
      <c r="B576" s="529" t="s">
        <v>212</v>
      </c>
      <c r="C576" s="529"/>
      <c r="D576" s="219" t="s">
        <v>212</v>
      </c>
      <c r="E576" s="222" t="s">
        <v>212</v>
      </c>
      <c r="F576" s="531" t="s">
        <v>212</v>
      </c>
      <c r="G576" s="531"/>
      <c r="H576" s="222" t="s">
        <v>212</v>
      </c>
      <c r="I576" s="531" t="s">
        <v>212</v>
      </c>
      <c r="J576" s="531"/>
      <c r="K576" s="222" t="s">
        <v>212</v>
      </c>
      <c r="L576" s="222" t="s">
        <v>212</v>
      </c>
      <c r="M576" s="222" t="s">
        <v>212</v>
      </c>
      <c r="N576" s="222" t="s">
        <v>212</v>
      </c>
      <c r="O576" s="222" t="s">
        <v>212</v>
      </c>
      <c r="P576" s="222" t="s">
        <v>212</v>
      </c>
      <c r="Q576" s="222" t="s">
        <v>212</v>
      </c>
      <c r="R576" s="222" t="s">
        <v>212</v>
      </c>
      <c r="S576" s="222" t="s">
        <v>212</v>
      </c>
      <c r="T576" s="531" t="s">
        <v>212</v>
      </c>
      <c r="U576" s="531"/>
      <c r="V576" s="222" t="s">
        <v>212</v>
      </c>
      <c r="W576" s="222" t="s">
        <v>212</v>
      </c>
      <c r="X576" s="531" t="s">
        <v>212</v>
      </c>
      <c r="Y576" s="531"/>
      <c r="Z576" s="222" t="s">
        <v>212</v>
      </c>
      <c r="AA576" s="222" t="s">
        <v>212</v>
      </c>
      <c r="AB576" s="222" t="s">
        <v>212</v>
      </c>
      <c r="AC576" s="215"/>
    </row>
    <row r="577" spans="1:29" ht="13.5" customHeight="1">
      <c r="A577" s="215"/>
      <c r="B577" s="532">
        <v>38998</v>
      </c>
      <c r="C577" s="532"/>
      <c r="D577" s="219" t="s">
        <v>212</v>
      </c>
      <c r="E577" s="224">
        <v>218.5</v>
      </c>
      <c r="F577" s="533">
        <v>24</v>
      </c>
      <c r="G577" s="533"/>
      <c r="H577" s="224">
        <v>202.5</v>
      </c>
      <c r="I577" s="533">
        <v>24</v>
      </c>
      <c r="J577" s="533"/>
      <c r="K577" s="224">
        <v>0</v>
      </c>
      <c r="L577" s="225">
        <v>0</v>
      </c>
      <c r="M577" s="224">
        <v>0</v>
      </c>
      <c r="N577" s="225">
        <v>0</v>
      </c>
      <c r="O577" s="226">
        <v>421</v>
      </c>
      <c r="P577" s="222" t="s">
        <v>212</v>
      </c>
      <c r="Q577" s="224">
        <v>0</v>
      </c>
      <c r="R577" s="225">
        <v>0</v>
      </c>
      <c r="S577" s="224">
        <v>0</v>
      </c>
      <c r="T577" s="533">
        <v>0</v>
      </c>
      <c r="U577" s="533"/>
      <c r="V577" s="224">
        <v>0</v>
      </c>
      <c r="W577" s="222" t="s">
        <v>212</v>
      </c>
      <c r="X577" s="534">
        <v>421</v>
      </c>
      <c r="Y577" s="534"/>
      <c r="Z577" s="222" t="s">
        <v>212</v>
      </c>
      <c r="AA577" s="227">
        <v>0</v>
      </c>
      <c r="AB577" s="228">
        <v>243911</v>
      </c>
      <c r="AC577" s="215"/>
    </row>
    <row r="578" spans="1:29" ht="2.25" customHeight="1">
      <c r="A578" s="215"/>
      <c r="B578" s="529" t="s">
        <v>212</v>
      </c>
      <c r="C578" s="529"/>
      <c r="D578" s="219" t="s">
        <v>212</v>
      </c>
      <c r="E578" s="222" t="s">
        <v>212</v>
      </c>
      <c r="F578" s="531" t="s">
        <v>212</v>
      </c>
      <c r="G578" s="531"/>
      <c r="H578" s="222" t="s">
        <v>212</v>
      </c>
      <c r="I578" s="531" t="s">
        <v>212</v>
      </c>
      <c r="J578" s="531"/>
      <c r="K578" s="222" t="s">
        <v>212</v>
      </c>
      <c r="L578" s="222" t="s">
        <v>212</v>
      </c>
      <c r="M578" s="222" t="s">
        <v>212</v>
      </c>
      <c r="N578" s="222" t="s">
        <v>212</v>
      </c>
      <c r="O578" s="222" t="s">
        <v>212</v>
      </c>
      <c r="P578" s="222" t="s">
        <v>212</v>
      </c>
      <c r="Q578" s="222" t="s">
        <v>212</v>
      </c>
      <c r="R578" s="222" t="s">
        <v>212</v>
      </c>
      <c r="S578" s="222" t="s">
        <v>212</v>
      </c>
      <c r="T578" s="531" t="s">
        <v>212</v>
      </c>
      <c r="U578" s="531"/>
      <c r="V578" s="222" t="s">
        <v>212</v>
      </c>
      <c r="W578" s="222" t="s">
        <v>212</v>
      </c>
      <c r="X578" s="531" t="s">
        <v>212</v>
      </c>
      <c r="Y578" s="531"/>
      <c r="Z578" s="222" t="s">
        <v>212</v>
      </c>
      <c r="AA578" s="222" t="s">
        <v>212</v>
      </c>
      <c r="AB578" s="222" t="s">
        <v>212</v>
      </c>
      <c r="AC578" s="215"/>
    </row>
    <row r="579" spans="1:29" ht="13.5" customHeight="1">
      <c r="A579" s="215"/>
      <c r="B579" s="535">
        <v>38999</v>
      </c>
      <c r="C579" s="535"/>
      <c r="D579" s="219" t="s">
        <v>212</v>
      </c>
      <c r="E579" s="229">
        <v>253</v>
      </c>
      <c r="F579" s="536">
        <v>24</v>
      </c>
      <c r="G579" s="536"/>
      <c r="H579" s="229">
        <v>14.4</v>
      </c>
      <c r="I579" s="536">
        <v>2</v>
      </c>
      <c r="J579" s="536"/>
      <c r="K579" s="229">
        <v>233.1</v>
      </c>
      <c r="L579" s="230">
        <v>24</v>
      </c>
      <c r="M579" s="229">
        <v>0</v>
      </c>
      <c r="N579" s="230">
        <v>0</v>
      </c>
      <c r="O579" s="231">
        <v>500.5</v>
      </c>
      <c r="P579" s="222" t="s">
        <v>212</v>
      </c>
      <c r="Q579" s="229">
        <v>0</v>
      </c>
      <c r="R579" s="230">
        <v>0</v>
      </c>
      <c r="S579" s="229">
        <v>0</v>
      </c>
      <c r="T579" s="536">
        <v>0</v>
      </c>
      <c r="U579" s="536"/>
      <c r="V579" s="229">
        <v>0</v>
      </c>
      <c r="W579" s="222" t="s">
        <v>212</v>
      </c>
      <c r="X579" s="530">
        <v>500.5</v>
      </c>
      <c r="Y579" s="530"/>
      <c r="Z579" s="222" t="s">
        <v>212</v>
      </c>
      <c r="AA579" s="232">
        <v>0</v>
      </c>
      <c r="AB579" s="233">
        <v>265753</v>
      </c>
      <c r="AC579" s="215"/>
    </row>
    <row r="580" spans="1:29" ht="2.25" customHeight="1">
      <c r="A580" s="215"/>
      <c r="B580" s="529" t="s">
        <v>212</v>
      </c>
      <c r="C580" s="529"/>
      <c r="D580" s="219" t="s">
        <v>212</v>
      </c>
      <c r="E580" s="222" t="s">
        <v>212</v>
      </c>
      <c r="F580" s="531" t="s">
        <v>212</v>
      </c>
      <c r="G580" s="531"/>
      <c r="H580" s="222" t="s">
        <v>212</v>
      </c>
      <c r="I580" s="531" t="s">
        <v>212</v>
      </c>
      <c r="J580" s="531"/>
      <c r="K580" s="222" t="s">
        <v>212</v>
      </c>
      <c r="L580" s="222" t="s">
        <v>212</v>
      </c>
      <c r="M580" s="222" t="s">
        <v>212</v>
      </c>
      <c r="N580" s="222" t="s">
        <v>212</v>
      </c>
      <c r="O580" s="222" t="s">
        <v>212</v>
      </c>
      <c r="P580" s="222" t="s">
        <v>212</v>
      </c>
      <c r="Q580" s="222" t="s">
        <v>212</v>
      </c>
      <c r="R580" s="222" t="s">
        <v>212</v>
      </c>
      <c r="S580" s="222" t="s">
        <v>212</v>
      </c>
      <c r="T580" s="531" t="s">
        <v>212</v>
      </c>
      <c r="U580" s="531"/>
      <c r="V580" s="222" t="s">
        <v>212</v>
      </c>
      <c r="W580" s="222" t="s">
        <v>212</v>
      </c>
      <c r="X580" s="531" t="s">
        <v>212</v>
      </c>
      <c r="Y580" s="531"/>
      <c r="Z580" s="222" t="s">
        <v>212</v>
      </c>
      <c r="AA580" s="222" t="s">
        <v>212</v>
      </c>
      <c r="AB580" s="222" t="s">
        <v>212</v>
      </c>
      <c r="AC580" s="215"/>
    </row>
    <row r="581" spans="1:29" ht="13.5" customHeight="1">
      <c r="A581" s="215"/>
      <c r="B581" s="532">
        <v>39000</v>
      </c>
      <c r="C581" s="532"/>
      <c r="D581" s="219" t="s">
        <v>212</v>
      </c>
      <c r="E581" s="224">
        <v>238.4</v>
      </c>
      <c r="F581" s="533">
        <v>24</v>
      </c>
      <c r="G581" s="533"/>
      <c r="H581" s="224">
        <v>0</v>
      </c>
      <c r="I581" s="533">
        <v>0</v>
      </c>
      <c r="J581" s="533"/>
      <c r="K581" s="224">
        <v>260.3</v>
      </c>
      <c r="L581" s="225">
        <v>24</v>
      </c>
      <c r="M581" s="224">
        <v>0</v>
      </c>
      <c r="N581" s="225">
        <v>0</v>
      </c>
      <c r="O581" s="226">
        <v>498.7</v>
      </c>
      <c r="P581" s="222" t="s">
        <v>212</v>
      </c>
      <c r="Q581" s="224">
        <v>0</v>
      </c>
      <c r="R581" s="225">
        <v>0</v>
      </c>
      <c r="S581" s="224">
        <v>0</v>
      </c>
      <c r="T581" s="533">
        <v>0</v>
      </c>
      <c r="U581" s="533"/>
      <c r="V581" s="224">
        <v>0</v>
      </c>
      <c r="W581" s="222" t="s">
        <v>212</v>
      </c>
      <c r="X581" s="534">
        <v>498.7</v>
      </c>
      <c r="Y581" s="534"/>
      <c r="Z581" s="222" t="s">
        <v>212</v>
      </c>
      <c r="AA581" s="227">
        <v>0</v>
      </c>
      <c r="AB581" s="228">
        <v>271268</v>
      </c>
      <c r="AC581" s="215"/>
    </row>
    <row r="582" spans="1:29" ht="2.25" customHeight="1">
      <c r="A582" s="215"/>
      <c r="B582" s="529" t="s">
        <v>212</v>
      </c>
      <c r="C582" s="529"/>
      <c r="D582" s="219" t="s">
        <v>212</v>
      </c>
      <c r="E582" s="222" t="s">
        <v>212</v>
      </c>
      <c r="F582" s="531" t="s">
        <v>212</v>
      </c>
      <c r="G582" s="531"/>
      <c r="H582" s="222" t="s">
        <v>212</v>
      </c>
      <c r="I582" s="531" t="s">
        <v>212</v>
      </c>
      <c r="J582" s="531"/>
      <c r="K582" s="222" t="s">
        <v>212</v>
      </c>
      <c r="L582" s="222" t="s">
        <v>212</v>
      </c>
      <c r="M582" s="222" t="s">
        <v>212</v>
      </c>
      <c r="N582" s="222" t="s">
        <v>212</v>
      </c>
      <c r="O582" s="222" t="s">
        <v>212</v>
      </c>
      <c r="P582" s="222" t="s">
        <v>212</v>
      </c>
      <c r="Q582" s="222" t="s">
        <v>212</v>
      </c>
      <c r="R582" s="222" t="s">
        <v>212</v>
      </c>
      <c r="S582" s="222" t="s">
        <v>212</v>
      </c>
      <c r="T582" s="531" t="s">
        <v>212</v>
      </c>
      <c r="U582" s="531"/>
      <c r="V582" s="222" t="s">
        <v>212</v>
      </c>
      <c r="W582" s="222" t="s">
        <v>212</v>
      </c>
      <c r="X582" s="531" t="s">
        <v>212</v>
      </c>
      <c r="Y582" s="531"/>
      <c r="Z582" s="222" t="s">
        <v>212</v>
      </c>
      <c r="AA582" s="222" t="s">
        <v>212</v>
      </c>
      <c r="AB582" s="222" t="s">
        <v>212</v>
      </c>
      <c r="AC582" s="215"/>
    </row>
    <row r="583" spans="1:29" ht="13.5" customHeight="1">
      <c r="A583" s="215"/>
      <c r="B583" s="535">
        <v>39001</v>
      </c>
      <c r="C583" s="535"/>
      <c r="D583" s="219" t="s">
        <v>212</v>
      </c>
      <c r="E583" s="229">
        <v>189</v>
      </c>
      <c r="F583" s="536">
        <v>19</v>
      </c>
      <c r="G583" s="536"/>
      <c r="H583" s="229">
        <v>57.1</v>
      </c>
      <c r="I583" s="536">
        <v>5</v>
      </c>
      <c r="J583" s="536"/>
      <c r="K583" s="229">
        <v>255.5</v>
      </c>
      <c r="L583" s="230">
        <v>24</v>
      </c>
      <c r="M583" s="229">
        <v>0</v>
      </c>
      <c r="N583" s="230">
        <v>0</v>
      </c>
      <c r="O583" s="231">
        <v>501.6</v>
      </c>
      <c r="P583" s="222" t="s">
        <v>212</v>
      </c>
      <c r="Q583" s="229">
        <v>0</v>
      </c>
      <c r="R583" s="230">
        <v>0</v>
      </c>
      <c r="S583" s="229">
        <v>0</v>
      </c>
      <c r="T583" s="536">
        <v>0</v>
      </c>
      <c r="U583" s="536"/>
      <c r="V583" s="229">
        <v>0</v>
      </c>
      <c r="W583" s="222" t="s">
        <v>212</v>
      </c>
      <c r="X583" s="530">
        <v>501.6</v>
      </c>
      <c r="Y583" s="530"/>
      <c r="Z583" s="222" t="s">
        <v>212</v>
      </c>
      <c r="AA583" s="232">
        <v>0</v>
      </c>
      <c r="AB583" s="233">
        <v>271707</v>
      </c>
      <c r="AC583" s="215"/>
    </row>
    <row r="584" spans="1:29" ht="2.25" customHeight="1">
      <c r="A584" s="215"/>
      <c r="B584" s="529" t="s">
        <v>212</v>
      </c>
      <c r="C584" s="529"/>
      <c r="D584" s="219" t="s">
        <v>212</v>
      </c>
      <c r="E584" s="222" t="s">
        <v>212</v>
      </c>
      <c r="F584" s="531" t="s">
        <v>212</v>
      </c>
      <c r="G584" s="531"/>
      <c r="H584" s="222" t="s">
        <v>212</v>
      </c>
      <c r="I584" s="531" t="s">
        <v>212</v>
      </c>
      <c r="J584" s="531"/>
      <c r="K584" s="222" t="s">
        <v>212</v>
      </c>
      <c r="L584" s="222" t="s">
        <v>212</v>
      </c>
      <c r="M584" s="222" t="s">
        <v>212</v>
      </c>
      <c r="N584" s="222" t="s">
        <v>212</v>
      </c>
      <c r="O584" s="222" t="s">
        <v>212</v>
      </c>
      <c r="P584" s="222" t="s">
        <v>212</v>
      </c>
      <c r="Q584" s="222" t="s">
        <v>212</v>
      </c>
      <c r="R584" s="222" t="s">
        <v>212</v>
      </c>
      <c r="S584" s="222" t="s">
        <v>212</v>
      </c>
      <c r="T584" s="531" t="s">
        <v>212</v>
      </c>
      <c r="U584" s="531"/>
      <c r="V584" s="222" t="s">
        <v>212</v>
      </c>
      <c r="W584" s="222" t="s">
        <v>212</v>
      </c>
      <c r="X584" s="531" t="s">
        <v>212</v>
      </c>
      <c r="Y584" s="531"/>
      <c r="Z584" s="222" t="s">
        <v>212</v>
      </c>
      <c r="AA584" s="222" t="s">
        <v>212</v>
      </c>
      <c r="AB584" s="222" t="s">
        <v>212</v>
      </c>
      <c r="AC584" s="215"/>
    </row>
    <row r="585" spans="1:29" ht="13.5" customHeight="1">
      <c r="A585" s="215"/>
      <c r="B585" s="532">
        <v>39002</v>
      </c>
      <c r="C585" s="532"/>
      <c r="D585" s="219" t="s">
        <v>212</v>
      </c>
      <c r="E585" s="224">
        <v>0</v>
      </c>
      <c r="F585" s="533">
        <v>0</v>
      </c>
      <c r="G585" s="533"/>
      <c r="H585" s="224">
        <v>309.2</v>
      </c>
      <c r="I585" s="533">
        <v>24</v>
      </c>
      <c r="J585" s="533"/>
      <c r="K585" s="224">
        <v>256.2</v>
      </c>
      <c r="L585" s="225">
        <v>24</v>
      </c>
      <c r="M585" s="224">
        <v>0</v>
      </c>
      <c r="N585" s="225">
        <v>0</v>
      </c>
      <c r="O585" s="226">
        <v>565.4</v>
      </c>
      <c r="P585" s="222" t="s">
        <v>212</v>
      </c>
      <c r="Q585" s="224">
        <v>0</v>
      </c>
      <c r="R585" s="225">
        <v>0</v>
      </c>
      <c r="S585" s="224">
        <v>0</v>
      </c>
      <c r="T585" s="533">
        <v>0</v>
      </c>
      <c r="U585" s="533"/>
      <c r="V585" s="224">
        <v>0</v>
      </c>
      <c r="W585" s="222" t="s">
        <v>212</v>
      </c>
      <c r="X585" s="534">
        <v>565.4</v>
      </c>
      <c r="Y585" s="534"/>
      <c r="Z585" s="222" t="s">
        <v>212</v>
      </c>
      <c r="AA585" s="227">
        <v>0</v>
      </c>
      <c r="AB585" s="228">
        <v>291858</v>
      </c>
      <c r="AC585" s="215"/>
    </row>
    <row r="586" spans="1:29" ht="2.25" customHeight="1">
      <c r="A586" s="215"/>
      <c r="B586" s="529" t="s">
        <v>212</v>
      </c>
      <c r="C586" s="529"/>
      <c r="D586" s="219" t="s">
        <v>212</v>
      </c>
      <c r="E586" s="222" t="s">
        <v>212</v>
      </c>
      <c r="F586" s="531" t="s">
        <v>212</v>
      </c>
      <c r="G586" s="531"/>
      <c r="H586" s="222" t="s">
        <v>212</v>
      </c>
      <c r="I586" s="531" t="s">
        <v>212</v>
      </c>
      <c r="J586" s="531"/>
      <c r="K586" s="222" t="s">
        <v>212</v>
      </c>
      <c r="L586" s="222" t="s">
        <v>212</v>
      </c>
      <c r="M586" s="222" t="s">
        <v>212</v>
      </c>
      <c r="N586" s="222" t="s">
        <v>212</v>
      </c>
      <c r="O586" s="222" t="s">
        <v>212</v>
      </c>
      <c r="P586" s="222" t="s">
        <v>212</v>
      </c>
      <c r="Q586" s="222" t="s">
        <v>212</v>
      </c>
      <c r="R586" s="222" t="s">
        <v>212</v>
      </c>
      <c r="S586" s="222" t="s">
        <v>212</v>
      </c>
      <c r="T586" s="531" t="s">
        <v>212</v>
      </c>
      <c r="U586" s="531"/>
      <c r="V586" s="222" t="s">
        <v>212</v>
      </c>
      <c r="W586" s="222" t="s">
        <v>212</v>
      </c>
      <c r="X586" s="531" t="s">
        <v>212</v>
      </c>
      <c r="Y586" s="531"/>
      <c r="Z586" s="222" t="s">
        <v>212</v>
      </c>
      <c r="AA586" s="222" t="s">
        <v>212</v>
      </c>
      <c r="AB586" s="222" t="s">
        <v>212</v>
      </c>
      <c r="AC586" s="215"/>
    </row>
    <row r="587" spans="1:29" ht="13.5" customHeight="1">
      <c r="A587" s="215"/>
      <c r="B587" s="535">
        <v>39003</v>
      </c>
      <c r="C587" s="535"/>
      <c r="D587" s="219" t="s">
        <v>212</v>
      </c>
      <c r="E587" s="229">
        <v>21</v>
      </c>
      <c r="F587" s="536">
        <v>7</v>
      </c>
      <c r="G587" s="536"/>
      <c r="H587" s="229">
        <v>292</v>
      </c>
      <c r="I587" s="536">
        <v>24</v>
      </c>
      <c r="J587" s="536"/>
      <c r="K587" s="229">
        <v>230.4</v>
      </c>
      <c r="L587" s="230">
        <v>24</v>
      </c>
      <c r="M587" s="229">
        <v>0</v>
      </c>
      <c r="N587" s="230">
        <v>0</v>
      </c>
      <c r="O587" s="231">
        <v>543.4</v>
      </c>
      <c r="P587" s="222" t="s">
        <v>212</v>
      </c>
      <c r="Q587" s="229">
        <v>0</v>
      </c>
      <c r="R587" s="230">
        <v>0</v>
      </c>
      <c r="S587" s="229">
        <v>0</v>
      </c>
      <c r="T587" s="536">
        <v>0</v>
      </c>
      <c r="U587" s="536"/>
      <c r="V587" s="229">
        <v>0</v>
      </c>
      <c r="W587" s="222" t="s">
        <v>212</v>
      </c>
      <c r="X587" s="530">
        <v>543.4</v>
      </c>
      <c r="Y587" s="530"/>
      <c r="Z587" s="222" t="s">
        <v>212</v>
      </c>
      <c r="AA587" s="232">
        <v>1513568</v>
      </c>
      <c r="AB587" s="233">
        <v>235862</v>
      </c>
      <c r="AC587" s="215"/>
    </row>
    <row r="588" spans="1:29" ht="2.25" customHeight="1">
      <c r="A588" s="215"/>
      <c r="B588" s="529" t="s">
        <v>212</v>
      </c>
      <c r="C588" s="529"/>
      <c r="D588" s="219" t="s">
        <v>212</v>
      </c>
      <c r="E588" s="222" t="s">
        <v>212</v>
      </c>
      <c r="F588" s="531" t="s">
        <v>212</v>
      </c>
      <c r="G588" s="531"/>
      <c r="H588" s="222" t="s">
        <v>212</v>
      </c>
      <c r="I588" s="531" t="s">
        <v>212</v>
      </c>
      <c r="J588" s="531"/>
      <c r="K588" s="222" t="s">
        <v>212</v>
      </c>
      <c r="L588" s="222" t="s">
        <v>212</v>
      </c>
      <c r="M588" s="222" t="s">
        <v>212</v>
      </c>
      <c r="N588" s="222" t="s">
        <v>212</v>
      </c>
      <c r="O588" s="222" t="s">
        <v>212</v>
      </c>
      <c r="P588" s="222" t="s">
        <v>212</v>
      </c>
      <c r="Q588" s="222" t="s">
        <v>212</v>
      </c>
      <c r="R588" s="222" t="s">
        <v>212</v>
      </c>
      <c r="S588" s="222" t="s">
        <v>212</v>
      </c>
      <c r="T588" s="531" t="s">
        <v>212</v>
      </c>
      <c r="U588" s="531"/>
      <c r="V588" s="222" t="s">
        <v>212</v>
      </c>
      <c r="W588" s="222" t="s">
        <v>212</v>
      </c>
      <c r="X588" s="531" t="s">
        <v>212</v>
      </c>
      <c r="Y588" s="531"/>
      <c r="Z588" s="222" t="s">
        <v>212</v>
      </c>
      <c r="AA588" s="222" t="s">
        <v>212</v>
      </c>
      <c r="AB588" s="222" t="s">
        <v>212</v>
      </c>
      <c r="AC588" s="215"/>
    </row>
    <row r="589" spans="1:29" ht="13.5" customHeight="1">
      <c r="A589" s="215"/>
      <c r="B589" s="532">
        <v>39004</v>
      </c>
      <c r="C589" s="532"/>
      <c r="D589" s="219" t="s">
        <v>212</v>
      </c>
      <c r="E589" s="224">
        <v>0</v>
      </c>
      <c r="F589" s="533">
        <v>1</v>
      </c>
      <c r="G589" s="533"/>
      <c r="H589" s="224">
        <v>327.8</v>
      </c>
      <c r="I589" s="533">
        <v>24</v>
      </c>
      <c r="J589" s="533"/>
      <c r="K589" s="224">
        <v>252.4</v>
      </c>
      <c r="L589" s="225">
        <v>24</v>
      </c>
      <c r="M589" s="224">
        <v>0</v>
      </c>
      <c r="N589" s="225">
        <v>0</v>
      </c>
      <c r="O589" s="226">
        <v>580.20000000000005</v>
      </c>
      <c r="P589" s="222" t="s">
        <v>212</v>
      </c>
      <c r="Q589" s="224">
        <v>0</v>
      </c>
      <c r="R589" s="225">
        <v>0</v>
      </c>
      <c r="S589" s="224">
        <v>0</v>
      </c>
      <c r="T589" s="533">
        <v>0</v>
      </c>
      <c r="U589" s="533"/>
      <c r="V589" s="224">
        <v>0</v>
      </c>
      <c r="W589" s="222" t="s">
        <v>212</v>
      </c>
      <c r="X589" s="534">
        <v>580.20000000000005</v>
      </c>
      <c r="Y589" s="534"/>
      <c r="Z589" s="222" t="s">
        <v>212</v>
      </c>
      <c r="AA589" s="227">
        <v>4191200</v>
      </c>
      <c r="AB589" s="228">
        <v>141486</v>
      </c>
      <c r="AC589" s="215"/>
    </row>
    <row r="590" spans="1:29" ht="2.25" customHeight="1">
      <c r="A590" s="215"/>
      <c r="B590" s="529" t="s">
        <v>212</v>
      </c>
      <c r="C590" s="529"/>
      <c r="D590" s="219" t="s">
        <v>212</v>
      </c>
      <c r="E590" s="222" t="s">
        <v>212</v>
      </c>
      <c r="F590" s="531" t="s">
        <v>212</v>
      </c>
      <c r="G590" s="531"/>
      <c r="H590" s="222" t="s">
        <v>212</v>
      </c>
      <c r="I590" s="531" t="s">
        <v>212</v>
      </c>
      <c r="J590" s="531"/>
      <c r="K590" s="222" t="s">
        <v>212</v>
      </c>
      <c r="L590" s="222" t="s">
        <v>212</v>
      </c>
      <c r="M590" s="222" t="s">
        <v>212</v>
      </c>
      <c r="N590" s="222" t="s">
        <v>212</v>
      </c>
      <c r="O590" s="222" t="s">
        <v>212</v>
      </c>
      <c r="P590" s="222" t="s">
        <v>212</v>
      </c>
      <c r="Q590" s="222" t="s">
        <v>212</v>
      </c>
      <c r="R590" s="222" t="s">
        <v>212</v>
      </c>
      <c r="S590" s="222" t="s">
        <v>212</v>
      </c>
      <c r="T590" s="531" t="s">
        <v>212</v>
      </c>
      <c r="U590" s="531"/>
      <c r="V590" s="222" t="s">
        <v>212</v>
      </c>
      <c r="W590" s="222" t="s">
        <v>212</v>
      </c>
      <c r="X590" s="531" t="s">
        <v>212</v>
      </c>
      <c r="Y590" s="531"/>
      <c r="Z590" s="222" t="s">
        <v>212</v>
      </c>
      <c r="AA590" s="222" t="s">
        <v>212</v>
      </c>
      <c r="AB590" s="222" t="s">
        <v>212</v>
      </c>
      <c r="AC590" s="215"/>
    </row>
    <row r="591" spans="1:29" ht="13.5" customHeight="1">
      <c r="A591" s="215"/>
      <c r="B591" s="535">
        <v>39005</v>
      </c>
      <c r="C591" s="535"/>
      <c r="D591" s="219" t="s">
        <v>212</v>
      </c>
      <c r="E591" s="229">
        <v>0</v>
      </c>
      <c r="F591" s="536">
        <v>0</v>
      </c>
      <c r="G591" s="536"/>
      <c r="H591" s="229">
        <v>347</v>
      </c>
      <c r="I591" s="536">
        <v>24</v>
      </c>
      <c r="J591" s="536"/>
      <c r="K591" s="229">
        <v>303.5</v>
      </c>
      <c r="L591" s="230">
        <v>24</v>
      </c>
      <c r="M591" s="229">
        <v>0</v>
      </c>
      <c r="N591" s="230">
        <v>0</v>
      </c>
      <c r="O591" s="231">
        <v>650.5</v>
      </c>
      <c r="P591" s="222" t="s">
        <v>212</v>
      </c>
      <c r="Q591" s="229">
        <v>0</v>
      </c>
      <c r="R591" s="230">
        <v>0</v>
      </c>
      <c r="S591" s="229">
        <v>0</v>
      </c>
      <c r="T591" s="536">
        <v>0</v>
      </c>
      <c r="U591" s="536"/>
      <c r="V591" s="229">
        <v>0</v>
      </c>
      <c r="W591" s="222" t="s">
        <v>212</v>
      </c>
      <c r="X591" s="530">
        <v>650.5</v>
      </c>
      <c r="Y591" s="530"/>
      <c r="Z591" s="222" t="s">
        <v>212</v>
      </c>
      <c r="AA591" s="232">
        <v>4151100</v>
      </c>
      <c r="AB591" s="233">
        <v>152873</v>
      </c>
      <c r="AC591" s="215"/>
    </row>
    <row r="592" spans="1:29" ht="2.25" customHeight="1">
      <c r="A592" s="215"/>
      <c r="B592" s="529" t="s">
        <v>212</v>
      </c>
      <c r="C592" s="529"/>
      <c r="D592" s="219" t="s">
        <v>212</v>
      </c>
      <c r="E592" s="222" t="s">
        <v>212</v>
      </c>
      <c r="F592" s="531" t="s">
        <v>212</v>
      </c>
      <c r="G592" s="531"/>
      <c r="H592" s="222" t="s">
        <v>212</v>
      </c>
      <c r="I592" s="531" t="s">
        <v>212</v>
      </c>
      <c r="J592" s="531"/>
      <c r="K592" s="222" t="s">
        <v>212</v>
      </c>
      <c r="L592" s="222" t="s">
        <v>212</v>
      </c>
      <c r="M592" s="222" t="s">
        <v>212</v>
      </c>
      <c r="N592" s="222" t="s">
        <v>212</v>
      </c>
      <c r="O592" s="222" t="s">
        <v>212</v>
      </c>
      <c r="P592" s="222" t="s">
        <v>212</v>
      </c>
      <c r="Q592" s="222" t="s">
        <v>212</v>
      </c>
      <c r="R592" s="222" t="s">
        <v>212</v>
      </c>
      <c r="S592" s="222" t="s">
        <v>212</v>
      </c>
      <c r="T592" s="531" t="s">
        <v>212</v>
      </c>
      <c r="U592" s="531"/>
      <c r="V592" s="222" t="s">
        <v>212</v>
      </c>
      <c r="W592" s="222" t="s">
        <v>212</v>
      </c>
      <c r="X592" s="531" t="s">
        <v>212</v>
      </c>
      <c r="Y592" s="531"/>
      <c r="Z592" s="222" t="s">
        <v>212</v>
      </c>
      <c r="AA592" s="222" t="s">
        <v>212</v>
      </c>
      <c r="AB592" s="222" t="s">
        <v>212</v>
      </c>
      <c r="AC592" s="215"/>
    </row>
    <row r="593" spans="1:29" ht="13.5" customHeight="1">
      <c r="A593" s="215"/>
      <c r="B593" s="532">
        <v>39006</v>
      </c>
      <c r="C593" s="532"/>
      <c r="D593" s="219" t="s">
        <v>212</v>
      </c>
      <c r="E593" s="224">
        <v>0</v>
      </c>
      <c r="F593" s="533">
        <v>0</v>
      </c>
      <c r="G593" s="533"/>
      <c r="H593" s="224">
        <v>339.9</v>
      </c>
      <c r="I593" s="533">
        <v>24</v>
      </c>
      <c r="J593" s="533"/>
      <c r="K593" s="224">
        <v>294.39999999999998</v>
      </c>
      <c r="L593" s="225">
        <v>24</v>
      </c>
      <c r="M593" s="224">
        <v>0</v>
      </c>
      <c r="N593" s="225">
        <v>0</v>
      </c>
      <c r="O593" s="226">
        <v>634.29999999999995</v>
      </c>
      <c r="P593" s="222" t="s">
        <v>212</v>
      </c>
      <c r="Q593" s="224">
        <v>0</v>
      </c>
      <c r="R593" s="225">
        <v>0</v>
      </c>
      <c r="S593" s="224">
        <v>0</v>
      </c>
      <c r="T593" s="533">
        <v>0</v>
      </c>
      <c r="U593" s="533"/>
      <c r="V593" s="224">
        <v>0</v>
      </c>
      <c r="W593" s="222" t="s">
        <v>212</v>
      </c>
      <c r="X593" s="534">
        <v>634.29999999999995</v>
      </c>
      <c r="Y593" s="534"/>
      <c r="Z593" s="222" t="s">
        <v>212</v>
      </c>
      <c r="AA593" s="227">
        <v>4065800</v>
      </c>
      <c r="AB593" s="228">
        <v>149838</v>
      </c>
      <c r="AC593" s="215"/>
    </row>
    <row r="594" spans="1:29" ht="2.25" customHeight="1">
      <c r="A594" s="215"/>
      <c r="B594" s="529" t="s">
        <v>212</v>
      </c>
      <c r="C594" s="529"/>
      <c r="D594" s="219" t="s">
        <v>212</v>
      </c>
      <c r="E594" s="222" t="s">
        <v>212</v>
      </c>
      <c r="F594" s="531" t="s">
        <v>212</v>
      </c>
      <c r="G594" s="531"/>
      <c r="H594" s="222" t="s">
        <v>212</v>
      </c>
      <c r="I594" s="531" t="s">
        <v>212</v>
      </c>
      <c r="J594" s="531"/>
      <c r="K594" s="222" t="s">
        <v>212</v>
      </c>
      <c r="L594" s="222" t="s">
        <v>212</v>
      </c>
      <c r="M594" s="222" t="s">
        <v>212</v>
      </c>
      <c r="N594" s="222" t="s">
        <v>212</v>
      </c>
      <c r="O594" s="222" t="s">
        <v>212</v>
      </c>
      <c r="P594" s="222" t="s">
        <v>212</v>
      </c>
      <c r="Q594" s="222" t="s">
        <v>212</v>
      </c>
      <c r="R594" s="222" t="s">
        <v>212</v>
      </c>
      <c r="S594" s="222" t="s">
        <v>212</v>
      </c>
      <c r="T594" s="531" t="s">
        <v>212</v>
      </c>
      <c r="U594" s="531"/>
      <c r="V594" s="222" t="s">
        <v>212</v>
      </c>
      <c r="W594" s="222" t="s">
        <v>212</v>
      </c>
      <c r="X594" s="531" t="s">
        <v>212</v>
      </c>
      <c r="Y594" s="531"/>
      <c r="Z594" s="222" t="s">
        <v>212</v>
      </c>
      <c r="AA594" s="222" t="s">
        <v>212</v>
      </c>
      <c r="AB594" s="222" t="s">
        <v>212</v>
      </c>
      <c r="AC594" s="215"/>
    </row>
    <row r="595" spans="1:29" ht="13.5" customHeight="1">
      <c r="A595" s="215"/>
      <c r="B595" s="535">
        <v>39007</v>
      </c>
      <c r="C595" s="535"/>
      <c r="D595" s="219" t="s">
        <v>212</v>
      </c>
      <c r="E595" s="229">
        <v>0</v>
      </c>
      <c r="F595" s="536">
        <v>0</v>
      </c>
      <c r="G595" s="536"/>
      <c r="H595" s="229">
        <v>317.60000000000002</v>
      </c>
      <c r="I595" s="536">
        <v>24</v>
      </c>
      <c r="J595" s="536"/>
      <c r="K595" s="229">
        <v>274.10000000000002</v>
      </c>
      <c r="L595" s="230">
        <v>24</v>
      </c>
      <c r="M595" s="229">
        <v>0</v>
      </c>
      <c r="N595" s="230">
        <v>0</v>
      </c>
      <c r="O595" s="231">
        <v>591.70000000000005</v>
      </c>
      <c r="P595" s="222" t="s">
        <v>212</v>
      </c>
      <c r="Q595" s="229">
        <v>0</v>
      </c>
      <c r="R595" s="230">
        <v>0</v>
      </c>
      <c r="S595" s="229">
        <v>0</v>
      </c>
      <c r="T595" s="536">
        <v>0</v>
      </c>
      <c r="U595" s="536"/>
      <c r="V595" s="229">
        <v>0</v>
      </c>
      <c r="W595" s="222" t="s">
        <v>212</v>
      </c>
      <c r="X595" s="530">
        <v>591.70000000000005</v>
      </c>
      <c r="Y595" s="530"/>
      <c r="Z595" s="222" t="s">
        <v>212</v>
      </c>
      <c r="AA595" s="232">
        <v>3892200</v>
      </c>
      <c r="AB595" s="233">
        <v>144020</v>
      </c>
      <c r="AC595" s="215"/>
    </row>
    <row r="596" spans="1:29" ht="2.25" customHeight="1">
      <c r="A596" s="215"/>
      <c r="B596" s="529" t="s">
        <v>212</v>
      </c>
      <c r="C596" s="529"/>
      <c r="D596" s="219" t="s">
        <v>212</v>
      </c>
      <c r="E596" s="222" t="s">
        <v>212</v>
      </c>
      <c r="F596" s="531" t="s">
        <v>212</v>
      </c>
      <c r="G596" s="531"/>
      <c r="H596" s="222" t="s">
        <v>212</v>
      </c>
      <c r="I596" s="531" t="s">
        <v>212</v>
      </c>
      <c r="J596" s="531"/>
      <c r="K596" s="222" t="s">
        <v>212</v>
      </c>
      <c r="L596" s="222" t="s">
        <v>212</v>
      </c>
      <c r="M596" s="222" t="s">
        <v>212</v>
      </c>
      <c r="N596" s="222" t="s">
        <v>212</v>
      </c>
      <c r="O596" s="222" t="s">
        <v>212</v>
      </c>
      <c r="P596" s="222" t="s">
        <v>212</v>
      </c>
      <c r="Q596" s="222" t="s">
        <v>212</v>
      </c>
      <c r="R596" s="222" t="s">
        <v>212</v>
      </c>
      <c r="S596" s="222" t="s">
        <v>212</v>
      </c>
      <c r="T596" s="531" t="s">
        <v>212</v>
      </c>
      <c r="U596" s="531"/>
      <c r="V596" s="222" t="s">
        <v>212</v>
      </c>
      <c r="W596" s="222" t="s">
        <v>212</v>
      </c>
      <c r="X596" s="531" t="s">
        <v>212</v>
      </c>
      <c r="Y596" s="531"/>
      <c r="Z596" s="222" t="s">
        <v>212</v>
      </c>
      <c r="AA596" s="222" t="s">
        <v>212</v>
      </c>
      <c r="AB596" s="222" t="s">
        <v>212</v>
      </c>
      <c r="AC596" s="215"/>
    </row>
    <row r="597" spans="1:29" ht="13.5" customHeight="1">
      <c r="A597" s="215"/>
      <c r="B597" s="532">
        <v>39008</v>
      </c>
      <c r="C597" s="532"/>
      <c r="D597" s="219" t="s">
        <v>212</v>
      </c>
      <c r="E597" s="224">
        <v>128</v>
      </c>
      <c r="F597" s="533">
        <v>13</v>
      </c>
      <c r="G597" s="533"/>
      <c r="H597" s="224">
        <v>139.1</v>
      </c>
      <c r="I597" s="533">
        <v>15</v>
      </c>
      <c r="J597" s="533"/>
      <c r="K597" s="224">
        <v>275.5</v>
      </c>
      <c r="L597" s="225">
        <v>24</v>
      </c>
      <c r="M597" s="224">
        <v>0</v>
      </c>
      <c r="N597" s="225">
        <v>0</v>
      </c>
      <c r="O597" s="226">
        <v>542.6</v>
      </c>
      <c r="P597" s="222" t="s">
        <v>212</v>
      </c>
      <c r="Q597" s="224">
        <v>0</v>
      </c>
      <c r="R597" s="225">
        <v>0</v>
      </c>
      <c r="S597" s="224">
        <v>0</v>
      </c>
      <c r="T597" s="533">
        <v>0</v>
      </c>
      <c r="U597" s="533"/>
      <c r="V597" s="224">
        <v>0</v>
      </c>
      <c r="W597" s="222" t="s">
        <v>212</v>
      </c>
      <c r="X597" s="534">
        <v>542.6</v>
      </c>
      <c r="Y597" s="534"/>
      <c r="Z597" s="222" t="s">
        <v>212</v>
      </c>
      <c r="AA597" s="227">
        <v>2003988</v>
      </c>
      <c r="AB597" s="228">
        <v>204249</v>
      </c>
      <c r="AC597" s="215"/>
    </row>
    <row r="598" spans="1:29" ht="2.25" customHeight="1">
      <c r="A598" s="215"/>
      <c r="B598" s="529" t="s">
        <v>212</v>
      </c>
      <c r="C598" s="529"/>
      <c r="D598" s="219" t="s">
        <v>212</v>
      </c>
      <c r="E598" s="222" t="s">
        <v>212</v>
      </c>
      <c r="F598" s="531" t="s">
        <v>212</v>
      </c>
      <c r="G598" s="531"/>
      <c r="H598" s="222" t="s">
        <v>212</v>
      </c>
      <c r="I598" s="531" t="s">
        <v>212</v>
      </c>
      <c r="J598" s="531"/>
      <c r="K598" s="222" t="s">
        <v>212</v>
      </c>
      <c r="L598" s="222" t="s">
        <v>212</v>
      </c>
      <c r="M598" s="222" t="s">
        <v>212</v>
      </c>
      <c r="N598" s="222" t="s">
        <v>212</v>
      </c>
      <c r="O598" s="222" t="s">
        <v>212</v>
      </c>
      <c r="P598" s="222" t="s">
        <v>212</v>
      </c>
      <c r="Q598" s="222" t="s">
        <v>212</v>
      </c>
      <c r="R598" s="222" t="s">
        <v>212</v>
      </c>
      <c r="S598" s="222" t="s">
        <v>212</v>
      </c>
      <c r="T598" s="531" t="s">
        <v>212</v>
      </c>
      <c r="U598" s="531"/>
      <c r="V598" s="222" t="s">
        <v>212</v>
      </c>
      <c r="W598" s="222" t="s">
        <v>212</v>
      </c>
      <c r="X598" s="531" t="s">
        <v>212</v>
      </c>
      <c r="Y598" s="531"/>
      <c r="Z598" s="222" t="s">
        <v>212</v>
      </c>
      <c r="AA598" s="222" t="s">
        <v>212</v>
      </c>
      <c r="AB598" s="222" t="s">
        <v>212</v>
      </c>
      <c r="AC598" s="215"/>
    </row>
    <row r="599" spans="1:29" ht="13.5" customHeight="1">
      <c r="A599" s="215"/>
      <c r="B599" s="535">
        <v>39009</v>
      </c>
      <c r="C599" s="535"/>
      <c r="D599" s="219" t="s">
        <v>212</v>
      </c>
      <c r="E599" s="229">
        <v>194.8</v>
      </c>
      <c r="F599" s="536">
        <v>24</v>
      </c>
      <c r="G599" s="536"/>
      <c r="H599" s="229">
        <v>152.6</v>
      </c>
      <c r="I599" s="536">
        <v>24</v>
      </c>
      <c r="J599" s="536"/>
      <c r="K599" s="229">
        <v>150.6</v>
      </c>
      <c r="L599" s="230">
        <v>18</v>
      </c>
      <c r="M599" s="229">
        <v>0</v>
      </c>
      <c r="N599" s="230">
        <v>0</v>
      </c>
      <c r="O599" s="231">
        <v>498</v>
      </c>
      <c r="P599" s="222" t="s">
        <v>212</v>
      </c>
      <c r="Q599" s="229">
        <v>0</v>
      </c>
      <c r="R599" s="230">
        <v>0</v>
      </c>
      <c r="S599" s="229">
        <v>0</v>
      </c>
      <c r="T599" s="536">
        <v>0</v>
      </c>
      <c r="U599" s="536"/>
      <c r="V599" s="229">
        <v>0</v>
      </c>
      <c r="W599" s="222" t="s">
        <v>212</v>
      </c>
      <c r="X599" s="530">
        <v>498</v>
      </c>
      <c r="Y599" s="530"/>
      <c r="Z599" s="222" t="s">
        <v>212</v>
      </c>
      <c r="AA599" s="232">
        <v>4419900</v>
      </c>
      <c r="AB599" s="233">
        <v>160269</v>
      </c>
      <c r="AC599" s="215"/>
    </row>
    <row r="600" spans="1:29" ht="2.25" customHeight="1">
      <c r="A600" s="215"/>
      <c r="B600" s="529" t="s">
        <v>212</v>
      </c>
      <c r="C600" s="529"/>
      <c r="D600" s="219" t="s">
        <v>212</v>
      </c>
      <c r="E600" s="222" t="s">
        <v>212</v>
      </c>
      <c r="F600" s="531" t="s">
        <v>212</v>
      </c>
      <c r="G600" s="531"/>
      <c r="H600" s="222" t="s">
        <v>212</v>
      </c>
      <c r="I600" s="531" t="s">
        <v>212</v>
      </c>
      <c r="J600" s="531"/>
      <c r="K600" s="222" t="s">
        <v>212</v>
      </c>
      <c r="L600" s="222" t="s">
        <v>212</v>
      </c>
      <c r="M600" s="222" t="s">
        <v>212</v>
      </c>
      <c r="N600" s="222" t="s">
        <v>212</v>
      </c>
      <c r="O600" s="222" t="s">
        <v>212</v>
      </c>
      <c r="P600" s="222" t="s">
        <v>212</v>
      </c>
      <c r="Q600" s="222" t="s">
        <v>212</v>
      </c>
      <c r="R600" s="222" t="s">
        <v>212</v>
      </c>
      <c r="S600" s="222" t="s">
        <v>212</v>
      </c>
      <c r="T600" s="531" t="s">
        <v>212</v>
      </c>
      <c r="U600" s="531"/>
      <c r="V600" s="222" t="s">
        <v>212</v>
      </c>
      <c r="W600" s="222" t="s">
        <v>212</v>
      </c>
      <c r="X600" s="531" t="s">
        <v>212</v>
      </c>
      <c r="Y600" s="531"/>
      <c r="Z600" s="222" t="s">
        <v>212</v>
      </c>
      <c r="AA600" s="222" t="s">
        <v>212</v>
      </c>
      <c r="AB600" s="222" t="s">
        <v>212</v>
      </c>
      <c r="AC600" s="215"/>
    </row>
    <row r="601" spans="1:29" ht="13.5" customHeight="1">
      <c r="A601" s="215"/>
      <c r="B601" s="532">
        <v>39010</v>
      </c>
      <c r="C601" s="532"/>
      <c r="D601" s="219" t="s">
        <v>212</v>
      </c>
      <c r="E601" s="224">
        <v>249</v>
      </c>
      <c r="F601" s="533">
        <v>24</v>
      </c>
      <c r="G601" s="533"/>
      <c r="H601" s="224">
        <v>333.7</v>
      </c>
      <c r="I601" s="533">
        <v>24</v>
      </c>
      <c r="J601" s="533"/>
      <c r="K601" s="224">
        <v>0</v>
      </c>
      <c r="L601" s="225">
        <v>0</v>
      </c>
      <c r="M601" s="224">
        <v>0</v>
      </c>
      <c r="N601" s="225">
        <v>0</v>
      </c>
      <c r="O601" s="226">
        <v>582.70000000000005</v>
      </c>
      <c r="P601" s="222" t="s">
        <v>212</v>
      </c>
      <c r="Q601" s="224">
        <v>0</v>
      </c>
      <c r="R601" s="225">
        <v>9</v>
      </c>
      <c r="S601" s="224">
        <v>0</v>
      </c>
      <c r="T601" s="533">
        <v>0</v>
      </c>
      <c r="U601" s="533"/>
      <c r="V601" s="224">
        <v>0</v>
      </c>
      <c r="W601" s="222" t="s">
        <v>212</v>
      </c>
      <c r="X601" s="534">
        <v>582.70000000000005</v>
      </c>
      <c r="Y601" s="534"/>
      <c r="Z601" s="222" t="s">
        <v>212</v>
      </c>
      <c r="AA601" s="227">
        <v>7998300</v>
      </c>
      <c r="AB601" s="228">
        <v>0</v>
      </c>
      <c r="AC601" s="215"/>
    </row>
    <row r="602" spans="1:29" ht="2.25" customHeight="1">
      <c r="A602" s="215"/>
      <c r="B602" s="529" t="s">
        <v>212</v>
      </c>
      <c r="C602" s="529"/>
      <c r="D602" s="219" t="s">
        <v>212</v>
      </c>
      <c r="E602" s="222" t="s">
        <v>212</v>
      </c>
      <c r="F602" s="531" t="s">
        <v>212</v>
      </c>
      <c r="G602" s="531"/>
      <c r="H602" s="222" t="s">
        <v>212</v>
      </c>
      <c r="I602" s="531" t="s">
        <v>212</v>
      </c>
      <c r="J602" s="531"/>
      <c r="K602" s="222" t="s">
        <v>212</v>
      </c>
      <c r="L602" s="222" t="s">
        <v>212</v>
      </c>
      <c r="M602" s="222" t="s">
        <v>212</v>
      </c>
      <c r="N602" s="222" t="s">
        <v>212</v>
      </c>
      <c r="O602" s="222" t="s">
        <v>212</v>
      </c>
      <c r="P602" s="222" t="s">
        <v>212</v>
      </c>
      <c r="Q602" s="222" t="s">
        <v>212</v>
      </c>
      <c r="R602" s="222" t="s">
        <v>212</v>
      </c>
      <c r="S602" s="222" t="s">
        <v>212</v>
      </c>
      <c r="T602" s="531" t="s">
        <v>212</v>
      </c>
      <c r="U602" s="531"/>
      <c r="V602" s="222" t="s">
        <v>212</v>
      </c>
      <c r="W602" s="222" t="s">
        <v>212</v>
      </c>
      <c r="X602" s="531" t="s">
        <v>212</v>
      </c>
      <c r="Y602" s="531"/>
      <c r="Z602" s="222" t="s">
        <v>212</v>
      </c>
      <c r="AA602" s="222" t="s">
        <v>212</v>
      </c>
      <c r="AB602" s="222" t="s">
        <v>212</v>
      </c>
      <c r="AC602" s="215"/>
    </row>
    <row r="603" spans="1:29" ht="13.5" customHeight="1">
      <c r="A603" s="215"/>
      <c r="B603" s="535">
        <v>39011</v>
      </c>
      <c r="C603" s="535"/>
      <c r="D603" s="219" t="s">
        <v>212</v>
      </c>
      <c r="E603" s="229">
        <v>273.2</v>
      </c>
      <c r="F603" s="536">
        <v>24</v>
      </c>
      <c r="G603" s="536"/>
      <c r="H603" s="229">
        <v>308.2</v>
      </c>
      <c r="I603" s="536">
        <v>24</v>
      </c>
      <c r="J603" s="536"/>
      <c r="K603" s="229">
        <v>13.4</v>
      </c>
      <c r="L603" s="230">
        <v>3</v>
      </c>
      <c r="M603" s="229">
        <v>0</v>
      </c>
      <c r="N603" s="230">
        <v>0</v>
      </c>
      <c r="O603" s="231">
        <v>594.79999999999995</v>
      </c>
      <c r="P603" s="222" t="s">
        <v>212</v>
      </c>
      <c r="Q603" s="229">
        <v>11</v>
      </c>
      <c r="R603" s="230">
        <v>24</v>
      </c>
      <c r="S603" s="229">
        <v>0</v>
      </c>
      <c r="T603" s="536">
        <v>0</v>
      </c>
      <c r="U603" s="536"/>
      <c r="V603" s="229">
        <v>11</v>
      </c>
      <c r="W603" s="222" t="s">
        <v>212</v>
      </c>
      <c r="X603" s="530">
        <v>605.79999999999995</v>
      </c>
      <c r="Y603" s="530"/>
      <c r="Z603" s="222" t="s">
        <v>212</v>
      </c>
      <c r="AA603" s="232">
        <v>8006000</v>
      </c>
      <c r="AB603" s="233">
        <v>12005</v>
      </c>
      <c r="AC603" s="215"/>
    </row>
    <row r="604" spans="1:29" ht="2.25" customHeight="1">
      <c r="A604" s="215"/>
      <c r="B604" s="529" t="s">
        <v>212</v>
      </c>
      <c r="C604" s="529"/>
      <c r="D604" s="219" t="s">
        <v>212</v>
      </c>
      <c r="E604" s="222" t="s">
        <v>212</v>
      </c>
      <c r="F604" s="531" t="s">
        <v>212</v>
      </c>
      <c r="G604" s="531"/>
      <c r="H604" s="222" t="s">
        <v>212</v>
      </c>
      <c r="I604" s="531" t="s">
        <v>212</v>
      </c>
      <c r="J604" s="531"/>
      <c r="K604" s="222" t="s">
        <v>212</v>
      </c>
      <c r="L604" s="222" t="s">
        <v>212</v>
      </c>
      <c r="M604" s="222" t="s">
        <v>212</v>
      </c>
      <c r="N604" s="222" t="s">
        <v>212</v>
      </c>
      <c r="O604" s="222" t="s">
        <v>212</v>
      </c>
      <c r="P604" s="222" t="s">
        <v>212</v>
      </c>
      <c r="Q604" s="222" t="s">
        <v>212</v>
      </c>
      <c r="R604" s="222" t="s">
        <v>212</v>
      </c>
      <c r="S604" s="222" t="s">
        <v>212</v>
      </c>
      <c r="T604" s="531" t="s">
        <v>212</v>
      </c>
      <c r="U604" s="531"/>
      <c r="V604" s="222" t="s">
        <v>212</v>
      </c>
      <c r="W604" s="222" t="s">
        <v>212</v>
      </c>
      <c r="X604" s="531" t="s">
        <v>212</v>
      </c>
      <c r="Y604" s="531"/>
      <c r="Z604" s="222" t="s">
        <v>212</v>
      </c>
      <c r="AA604" s="222" t="s">
        <v>212</v>
      </c>
      <c r="AB604" s="222" t="s">
        <v>212</v>
      </c>
      <c r="AC604" s="215"/>
    </row>
    <row r="605" spans="1:29" ht="13.5" customHeight="1">
      <c r="A605" s="215"/>
      <c r="B605" s="532">
        <v>39012</v>
      </c>
      <c r="C605" s="532"/>
      <c r="D605" s="219" t="s">
        <v>212</v>
      </c>
      <c r="E605" s="224">
        <v>233.5</v>
      </c>
      <c r="F605" s="533">
        <v>24</v>
      </c>
      <c r="G605" s="533"/>
      <c r="H605" s="224">
        <v>292.89999999999998</v>
      </c>
      <c r="I605" s="533">
        <v>24</v>
      </c>
      <c r="J605" s="533"/>
      <c r="K605" s="224">
        <v>0</v>
      </c>
      <c r="L605" s="225">
        <v>0</v>
      </c>
      <c r="M605" s="224">
        <v>0</v>
      </c>
      <c r="N605" s="225">
        <v>0</v>
      </c>
      <c r="O605" s="226">
        <v>526.4</v>
      </c>
      <c r="P605" s="222" t="s">
        <v>212</v>
      </c>
      <c r="Q605" s="224">
        <v>0</v>
      </c>
      <c r="R605" s="225">
        <v>24</v>
      </c>
      <c r="S605" s="224">
        <v>0</v>
      </c>
      <c r="T605" s="533">
        <v>0</v>
      </c>
      <c r="U605" s="533"/>
      <c r="V605" s="224">
        <v>0</v>
      </c>
      <c r="W605" s="222" t="s">
        <v>212</v>
      </c>
      <c r="X605" s="534">
        <v>526.4</v>
      </c>
      <c r="Y605" s="534"/>
      <c r="Z605" s="222" t="s">
        <v>212</v>
      </c>
      <c r="AA605" s="227">
        <v>7504900</v>
      </c>
      <c r="AB605" s="228">
        <v>0</v>
      </c>
      <c r="AC605" s="215"/>
    </row>
    <row r="606" spans="1:29" ht="2.25" customHeight="1">
      <c r="A606" s="215"/>
      <c r="B606" s="529" t="s">
        <v>212</v>
      </c>
      <c r="C606" s="529"/>
      <c r="D606" s="219" t="s">
        <v>212</v>
      </c>
      <c r="E606" s="222" t="s">
        <v>212</v>
      </c>
      <c r="F606" s="531" t="s">
        <v>212</v>
      </c>
      <c r="G606" s="531"/>
      <c r="H606" s="222" t="s">
        <v>212</v>
      </c>
      <c r="I606" s="531" t="s">
        <v>212</v>
      </c>
      <c r="J606" s="531"/>
      <c r="K606" s="222" t="s">
        <v>212</v>
      </c>
      <c r="L606" s="222" t="s">
        <v>212</v>
      </c>
      <c r="M606" s="222" t="s">
        <v>212</v>
      </c>
      <c r="N606" s="222" t="s">
        <v>212</v>
      </c>
      <c r="O606" s="222" t="s">
        <v>212</v>
      </c>
      <c r="P606" s="222" t="s">
        <v>212</v>
      </c>
      <c r="Q606" s="222" t="s">
        <v>212</v>
      </c>
      <c r="R606" s="222" t="s">
        <v>212</v>
      </c>
      <c r="S606" s="222" t="s">
        <v>212</v>
      </c>
      <c r="T606" s="531" t="s">
        <v>212</v>
      </c>
      <c r="U606" s="531"/>
      <c r="V606" s="222" t="s">
        <v>212</v>
      </c>
      <c r="W606" s="222" t="s">
        <v>212</v>
      </c>
      <c r="X606" s="531" t="s">
        <v>212</v>
      </c>
      <c r="Y606" s="531"/>
      <c r="Z606" s="222" t="s">
        <v>212</v>
      </c>
      <c r="AA606" s="222" t="s">
        <v>212</v>
      </c>
      <c r="AB606" s="222" t="s">
        <v>212</v>
      </c>
      <c r="AC606" s="215"/>
    </row>
    <row r="607" spans="1:29" ht="13.5" customHeight="1">
      <c r="A607" s="215"/>
      <c r="B607" s="535">
        <v>39013</v>
      </c>
      <c r="C607" s="535"/>
      <c r="D607" s="219" t="s">
        <v>212</v>
      </c>
      <c r="E607" s="229">
        <v>231.9</v>
      </c>
      <c r="F607" s="536">
        <v>24</v>
      </c>
      <c r="G607" s="536"/>
      <c r="H607" s="229">
        <v>285.2</v>
      </c>
      <c r="I607" s="536">
        <v>24</v>
      </c>
      <c r="J607" s="536"/>
      <c r="K607" s="229">
        <v>0</v>
      </c>
      <c r="L607" s="230">
        <v>0</v>
      </c>
      <c r="M607" s="229">
        <v>0</v>
      </c>
      <c r="N607" s="230">
        <v>0</v>
      </c>
      <c r="O607" s="231">
        <v>517.1</v>
      </c>
      <c r="P607" s="222" t="s">
        <v>212</v>
      </c>
      <c r="Q607" s="229">
        <v>0</v>
      </c>
      <c r="R607" s="230">
        <v>0</v>
      </c>
      <c r="S607" s="229">
        <v>0</v>
      </c>
      <c r="T607" s="536">
        <v>0</v>
      </c>
      <c r="U607" s="536"/>
      <c r="V607" s="229">
        <v>0</v>
      </c>
      <c r="W607" s="222" t="s">
        <v>212</v>
      </c>
      <c r="X607" s="530">
        <v>517.1</v>
      </c>
      <c r="Y607" s="530"/>
      <c r="Z607" s="222" t="s">
        <v>212</v>
      </c>
      <c r="AA607" s="232">
        <v>7385000</v>
      </c>
      <c r="AB607" s="233">
        <v>0</v>
      </c>
      <c r="AC607" s="215"/>
    </row>
    <row r="608" spans="1:29" ht="2.25" customHeight="1">
      <c r="A608" s="215"/>
      <c r="B608" s="529" t="s">
        <v>212</v>
      </c>
      <c r="C608" s="529"/>
      <c r="D608" s="219" t="s">
        <v>212</v>
      </c>
      <c r="E608" s="222" t="s">
        <v>212</v>
      </c>
      <c r="F608" s="531" t="s">
        <v>212</v>
      </c>
      <c r="G608" s="531"/>
      <c r="H608" s="222" t="s">
        <v>212</v>
      </c>
      <c r="I608" s="531" t="s">
        <v>212</v>
      </c>
      <c r="J608" s="531"/>
      <c r="K608" s="222" t="s">
        <v>212</v>
      </c>
      <c r="L608" s="222" t="s">
        <v>212</v>
      </c>
      <c r="M608" s="222" t="s">
        <v>212</v>
      </c>
      <c r="N608" s="222" t="s">
        <v>212</v>
      </c>
      <c r="O608" s="222" t="s">
        <v>212</v>
      </c>
      <c r="P608" s="222" t="s">
        <v>212</v>
      </c>
      <c r="Q608" s="222" t="s">
        <v>212</v>
      </c>
      <c r="R608" s="222" t="s">
        <v>212</v>
      </c>
      <c r="S608" s="222" t="s">
        <v>212</v>
      </c>
      <c r="T608" s="531" t="s">
        <v>212</v>
      </c>
      <c r="U608" s="531"/>
      <c r="V608" s="222" t="s">
        <v>212</v>
      </c>
      <c r="W608" s="222" t="s">
        <v>212</v>
      </c>
      <c r="X608" s="531" t="s">
        <v>212</v>
      </c>
      <c r="Y608" s="531"/>
      <c r="Z608" s="222" t="s">
        <v>212</v>
      </c>
      <c r="AA608" s="222" t="s">
        <v>212</v>
      </c>
      <c r="AB608" s="222" t="s">
        <v>212</v>
      </c>
      <c r="AC608" s="215"/>
    </row>
    <row r="609" spans="1:29" ht="13.5" customHeight="1">
      <c r="A609" s="215"/>
      <c r="B609" s="532">
        <v>39014</v>
      </c>
      <c r="C609" s="532"/>
      <c r="D609" s="219" t="s">
        <v>212</v>
      </c>
      <c r="E609" s="224">
        <v>235.5</v>
      </c>
      <c r="F609" s="533">
        <v>24</v>
      </c>
      <c r="G609" s="533"/>
      <c r="H609" s="224">
        <v>302.5</v>
      </c>
      <c r="I609" s="533">
        <v>24</v>
      </c>
      <c r="J609" s="533"/>
      <c r="K609" s="224">
        <v>0</v>
      </c>
      <c r="L609" s="225">
        <v>0</v>
      </c>
      <c r="M609" s="224">
        <v>0</v>
      </c>
      <c r="N609" s="225">
        <v>0</v>
      </c>
      <c r="O609" s="226">
        <v>538</v>
      </c>
      <c r="P609" s="222" t="s">
        <v>212</v>
      </c>
      <c r="Q609" s="224">
        <v>0</v>
      </c>
      <c r="R609" s="225">
        <v>0</v>
      </c>
      <c r="S609" s="224">
        <v>0</v>
      </c>
      <c r="T609" s="533">
        <v>0</v>
      </c>
      <c r="U609" s="533"/>
      <c r="V609" s="224">
        <v>0</v>
      </c>
      <c r="W609" s="222" t="s">
        <v>212</v>
      </c>
      <c r="X609" s="534">
        <v>538</v>
      </c>
      <c r="Y609" s="534"/>
      <c r="Z609" s="222" t="s">
        <v>212</v>
      </c>
      <c r="AA609" s="227">
        <v>7606100</v>
      </c>
      <c r="AB609" s="228">
        <v>0</v>
      </c>
      <c r="AC609" s="215"/>
    </row>
    <row r="610" spans="1:29" ht="2.25" customHeight="1">
      <c r="A610" s="215"/>
      <c r="B610" s="529" t="s">
        <v>212</v>
      </c>
      <c r="C610" s="529"/>
      <c r="D610" s="219" t="s">
        <v>212</v>
      </c>
      <c r="E610" s="222" t="s">
        <v>212</v>
      </c>
      <c r="F610" s="531" t="s">
        <v>212</v>
      </c>
      <c r="G610" s="531"/>
      <c r="H610" s="222" t="s">
        <v>212</v>
      </c>
      <c r="I610" s="531" t="s">
        <v>212</v>
      </c>
      <c r="J610" s="531"/>
      <c r="K610" s="222" t="s">
        <v>212</v>
      </c>
      <c r="L610" s="222" t="s">
        <v>212</v>
      </c>
      <c r="M610" s="222" t="s">
        <v>212</v>
      </c>
      <c r="N610" s="222" t="s">
        <v>212</v>
      </c>
      <c r="O610" s="222" t="s">
        <v>212</v>
      </c>
      <c r="P610" s="222" t="s">
        <v>212</v>
      </c>
      <c r="Q610" s="222" t="s">
        <v>212</v>
      </c>
      <c r="R610" s="222" t="s">
        <v>212</v>
      </c>
      <c r="S610" s="222" t="s">
        <v>212</v>
      </c>
      <c r="T610" s="531" t="s">
        <v>212</v>
      </c>
      <c r="U610" s="531"/>
      <c r="V610" s="222" t="s">
        <v>212</v>
      </c>
      <c r="W610" s="222" t="s">
        <v>212</v>
      </c>
      <c r="X610" s="531" t="s">
        <v>212</v>
      </c>
      <c r="Y610" s="531"/>
      <c r="Z610" s="222" t="s">
        <v>212</v>
      </c>
      <c r="AA610" s="222" t="s">
        <v>212</v>
      </c>
      <c r="AB610" s="222" t="s">
        <v>212</v>
      </c>
      <c r="AC610" s="215"/>
    </row>
    <row r="611" spans="1:29" ht="13.5" customHeight="1">
      <c r="A611" s="215"/>
      <c r="B611" s="535">
        <v>39015</v>
      </c>
      <c r="C611" s="535"/>
      <c r="D611" s="219" t="s">
        <v>212</v>
      </c>
      <c r="E611" s="229">
        <v>227.4</v>
      </c>
      <c r="F611" s="536">
        <v>24</v>
      </c>
      <c r="G611" s="536"/>
      <c r="H611" s="229">
        <v>303.10000000000002</v>
      </c>
      <c r="I611" s="536">
        <v>24</v>
      </c>
      <c r="J611" s="536"/>
      <c r="K611" s="229">
        <v>0</v>
      </c>
      <c r="L611" s="230">
        <v>0</v>
      </c>
      <c r="M611" s="229">
        <v>0</v>
      </c>
      <c r="N611" s="230">
        <v>0</v>
      </c>
      <c r="O611" s="231">
        <v>530.5</v>
      </c>
      <c r="P611" s="222" t="s">
        <v>212</v>
      </c>
      <c r="Q611" s="229">
        <v>0</v>
      </c>
      <c r="R611" s="230">
        <v>0</v>
      </c>
      <c r="S611" s="229">
        <v>0</v>
      </c>
      <c r="T611" s="536">
        <v>0</v>
      </c>
      <c r="U611" s="536"/>
      <c r="V611" s="229">
        <v>0</v>
      </c>
      <c r="W611" s="222" t="s">
        <v>212</v>
      </c>
      <c r="X611" s="530">
        <v>530.5</v>
      </c>
      <c r="Y611" s="530"/>
      <c r="Z611" s="222" t="s">
        <v>212</v>
      </c>
      <c r="AA611" s="232">
        <v>7534400</v>
      </c>
      <c r="AB611" s="233">
        <v>0</v>
      </c>
      <c r="AC611" s="215"/>
    </row>
    <row r="612" spans="1:29" ht="2.25" customHeight="1">
      <c r="A612" s="215"/>
      <c r="B612" s="529" t="s">
        <v>212</v>
      </c>
      <c r="C612" s="529"/>
      <c r="D612" s="219" t="s">
        <v>212</v>
      </c>
      <c r="E612" s="222" t="s">
        <v>212</v>
      </c>
      <c r="F612" s="531" t="s">
        <v>212</v>
      </c>
      <c r="G612" s="531"/>
      <c r="H612" s="222" t="s">
        <v>212</v>
      </c>
      <c r="I612" s="531" t="s">
        <v>212</v>
      </c>
      <c r="J612" s="531"/>
      <c r="K612" s="222" t="s">
        <v>212</v>
      </c>
      <c r="L612" s="222" t="s">
        <v>212</v>
      </c>
      <c r="M612" s="222" t="s">
        <v>212</v>
      </c>
      <c r="N612" s="222" t="s">
        <v>212</v>
      </c>
      <c r="O612" s="222" t="s">
        <v>212</v>
      </c>
      <c r="P612" s="222" t="s">
        <v>212</v>
      </c>
      <c r="Q612" s="222" t="s">
        <v>212</v>
      </c>
      <c r="R612" s="222" t="s">
        <v>212</v>
      </c>
      <c r="S612" s="222" t="s">
        <v>212</v>
      </c>
      <c r="T612" s="531" t="s">
        <v>212</v>
      </c>
      <c r="U612" s="531"/>
      <c r="V612" s="222" t="s">
        <v>212</v>
      </c>
      <c r="W612" s="222" t="s">
        <v>212</v>
      </c>
      <c r="X612" s="531" t="s">
        <v>212</v>
      </c>
      <c r="Y612" s="531"/>
      <c r="Z612" s="222" t="s">
        <v>212</v>
      </c>
      <c r="AA612" s="222" t="s">
        <v>212</v>
      </c>
      <c r="AB612" s="222" t="s">
        <v>212</v>
      </c>
      <c r="AC612" s="215"/>
    </row>
    <row r="613" spans="1:29" ht="13.5" customHeight="1">
      <c r="A613" s="215"/>
      <c r="B613" s="532">
        <v>39016</v>
      </c>
      <c r="C613" s="532"/>
      <c r="D613" s="219" t="s">
        <v>212</v>
      </c>
      <c r="E613" s="224">
        <v>239.8</v>
      </c>
      <c r="F613" s="533">
        <v>24</v>
      </c>
      <c r="G613" s="533"/>
      <c r="H613" s="224">
        <v>319.10000000000002</v>
      </c>
      <c r="I613" s="533">
        <v>24</v>
      </c>
      <c r="J613" s="533"/>
      <c r="K613" s="224">
        <v>0</v>
      </c>
      <c r="L613" s="225">
        <v>0</v>
      </c>
      <c r="M613" s="224">
        <v>0</v>
      </c>
      <c r="N613" s="225">
        <v>0</v>
      </c>
      <c r="O613" s="226">
        <v>558.9</v>
      </c>
      <c r="P613" s="222" t="s">
        <v>212</v>
      </c>
      <c r="Q613" s="224">
        <v>0</v>
      </c>
      <c r="R613" s="225">
        <v>0</v>
      </c>
      <c r="S613" s="224">
        <v>0</v>
      </c>
      <c r="T613" s="533">
        <v>0</v>
      </c>
      <c r="U613" s="533"/>
      <c r="V613" s="224">
        <v>0</v>
      </c>
      <c r="W613" s="222" t="s">
        <v>212</v>
      </c>
      <c r="X613" s="534">
        <v>558.9</v>
      </c>
      <c r="Y613" s="534"/>
      <c r="Z613" s="222" t="s">
        <v>212</v>
      </c>
      <c r="AA613" s="227">
        <v>7732300</v>
      </c>
      <c r="AB613" s="228">
        <v>651</v>
      </c>
      <c r="AC613" s="215"/>
    </row>
    <row r="614" spans="1:29" ht="2.25" customHeight="1">
      <c r="A614" s="215"/>
      <c r="B614" s="529" t="s">
        <v>212</v>
      </c>
      <c r="C614" s="529"/>
      <c r="D614" s="219" t="s">
        <v>212</v>
      </c>
      <c r="E614" s="222" t="s">
        <v>212</v>
      </c>
      <c r="F614" s="531" t="s">
        <v>212</v>
      </c>
      <c r="G614" s="531"/>
      <c r="H614" s="222" t="s">
        <v>212</v>
      </c>
      <c r="I614" s="531" t="s">
        <v>212</v>
      </c>
      <c r="J614" s="531"/>
      <c r="K614" s="222" t="s">
        <v>212</v>
      </c>
      <c r="L614" s="222" t="s">
        <v>212</v>
      </c>
      <c r="M614" s="222" t="s">
        <v>212</v>
      </c>
      <c r="N614" s="222" t="s">
        <v>212</v>
      </c>
      <c r="O614" s="222" t="s">
        <v>212</v>
      </c>
      <c r="P614" s="222" t="s">
        <v>212</v>
      </c>
      <c r="Q614" s="222" t="s">
        <v>212</v>
      </c>
      <c r="R614" s="222" t="s">
        <v>212</v>
      </c>
      <c r="S614" s="222" t="s">
        <v>212</v>
      </c>
      <c r="T614" s="531" t="s">
        <v>212</v>
      </c>
      <c r="U614" s="531"/>
      <c r="V614" s="222" t="s">
        <v>212</v>
      </c>
      <c r="W614" s="222" t="s">
        <v>212</v>
      </c>
      <c r="X614" s="531" t="s">
        <v>212</v>
      </c>
      <c r="Y614" s="531"/>
      <c r="Z614" s="222" t="s">
        <v>212</v>
      </c>
      <c r="AA614" s="222" t="s">
        <v>212</v>
      </c>
      <c r="AB614" s="222" t="s">
        <v>212</v>
      </c>
      <c r="AC614" s="215"/>
    </row>
    <row r="615" spans="1:29" ht="13.5" customHeight="1">
      <c r="A615" s="215"/>
      <c r="B615" s="535">
        <v>39017</v>
      </c>
      <c r="C615" s="535"/>
      <c r="D615" s="219" t="s">
        <v>212</v>
      </c>
      <c r="E615" s="229">
        <v>240.8</v>
      </c>
      <c r="F615" s="536">
        <v>24</v>
      </c>
      <c r="G615" s="536"/>
      <c r="H615" s="229">
        <v>311.2</v>
      </c>
      <c r="I615" s="536">
        <v>24</v>
      </c>
      <c r="J615" s="536"/>
      <c r="K615" s="229">
        <v>0</v>
      </c>
      <c r="L615" s="230">
        <v>1</v>
      </c>
      <c r="M615" s="229">
        <v>0</v>
      </c>
      <c r="N615" s="230">
        <v>0</v>
      </c>
      <c r="O615" s="231">
        <v>552</v>
      </c>
      <c r="P615" s="222" t="s">
        <v>212</v>
      </c>
      <c r="Q615" s="229">
        <v>0</v>
      </c>
      <c r="R615" s="230">
        <v>24</v>
      </c>
      <c r="S615" s="229">
        <v>0</v>
      </c>
      <c r="T615" s="536">
        <v>0</v>
      </c>
      <c r="U615" s="536"/>
      <c r="V615" s="229">
        <v>0</v>
      </c>
      <c r="W615" s="222" t="s">
        <v>212</v>
      </c>
      <c r="X615" s="530">
        <v>552</v>
      </c>
      <c r="Y615" s="530"/>
      <c r="Z615" s="222" t="s">
        <v>212</v>
      </c>
      <c r="AA615" s="232">
        <v>7662700</v>
      </c>
      <c r="AB615" s="233">
        <v>1800</v>
      </c>
      <c r="AC615" s="215"/>
    </row>
    <row r="616" spans="1:29" ht="2.25" customHeight="1">
      <c r="A616" s="215"/>
      <c r="B616" s="529" t="s">
        <v>212</v>
      </c>
      <c r="C616" s="529"/>
      <c r="D616" s="219" t="s">
        <v>212</v>
      </c>
      <c r="E616" s="222" t="s">
        <v>212</v>
      </c>
      <c r="F616" s="531" t="s">
        <v>212</v>
      </c>
      <c r="G616" s="531"/>
      <c r="H616" s="222" t="s">
        <v>212</v>
      </c>
      <c r="I616" s="531" t="s">
        <v>212</v>
      </c>
      <c r="J616" s="531"/>
      <c r="K616" s="222" t="s">
        <v>212</v>
      </c>
      <c r="L616" s="222" t="s">
        <v>212</v>
      </c>
      <c r="M616" s="222" t="s">
        <v>212</v>
      </c>
      <c r="N616" s="222" t="s">
        <v>212</v>
      </c>
      <c r="O616" s="222" t="s">
        <v>212</v>
      </c>
      <c r="P616" s="222" t="s">
        <v>212</v>
      </c>
      <c r="Q616" s="222" t="s">
        <v>212</v>
      </c>
      <c r="R616" s="222" t="s">
        <v>212</v>
      </c>
      <c r="S616" s="222" t="s">
        <v>212</v>
      </c>
      <c r="T616" s="531" t="s">
        <v>212</v>
      </c>
      <c r="U616" s="531"/>
      <c r="V616" s="222" t="s">
        <v>212</v>
      </c>
      <c r="W616" s="222" t="s">
        <v>212</v>
      </c>
      <c r="X616" s="531" t="s">
        <v>212</v>
      </c>
      <c r="Y616" s="531"/>
      <c r="Z616" s="222" t="s">
        <v>212</v>
      </c>
      <c r="AA616" s="222" t="s">
        <v>212</v>
      </c>
      <c r="AB616" s="222" t="s">
        <v>212</v>
      </c>
      <c r="AC616" s="215"/>
    </row>
    <row r="617" spans="1:29" ht="13.5" customHeight="1">
      <c r="A617" s="215"/>
      <c r="B617" s="532">
        <v>39018</v>
      </c>
      <c r="C617" s="532"/>
      <c r="D617" s="219" t="s">
        <v>212</v>
      </c>
      <c r="E617" s="224">
        <v>217.1</v>
      </c>
      <c r="F617" s="533">
        <v>24</v>
      </c>
      <c r="G617" s="533"/>
      <c r="H617" s="224">
        <v>290.89999999999998</v>
      </c>
      <c r="I617" s="533">
        <v>24</v>
      </c>
      <c r="J617" s="533"/>
      <c r="K617" s="224">
        <v>33.1</v>
      </c>
      <c r="L617" s="225">
        <v>7</v>
      </c>
      <c r="M617" s="224">
        <v>0</v>
      </c>
      <c r="N617" s="225">
        <v>0</v>
      </c>
      <c r="O617" s="226">
        <v>541.1</v>
      </c>
      <c r="P617" s="222" t="s">
        <v>212</v>
      </c>
      <c r="Q617" s="224">
        <v>0</v>
      </c>
      <c r="R617" s="225">
        <v>0</v>
      </c>
      <c r="S617" s="224">
        <v>0</v>
      </c>
      <c r="T617" s="533">
        <v>0</v>
      </c>
      <c r="U617" s="533"/>
      <c r="V617" s="224">
        <v>0</v>
      </c>
      <c r="W617" s="222" t="s">
        <v>212</v>
      </c>
      <c r="X617" s="534">
        <v>541.1</v>
      </c>
      <c r="Y617" s="534"/>
      <c r="Z617" s="222" t="s">
        <v>212</v>
      </c>
      <c r="AA617" s="227">
        <v>7346400</v>
      </c>
      <c r="AB617" s="228">
        <v>48054</v>
      </c>
      <c r="AC617" s="215"/>
    </row>
    <row r="618" spans="1:29" ht="2.25" customHeight="1">
      <c r="A618" s="215"/>
      <c r="B618" s="529" t="s">
        <v>212</v>
      </c>
      <c r="C618" s="529"/>
      <c r="D618" s="219" t="s">
        <v>212</v>
      </c>
      <c r="E618" s="222" t="s">
        <v>212</v>
      </c>
      <c r="F618" s="531" t="s">
        <v>212</v>
      </c>
      <c r="G618" s="531"/>
      <c r="H618" s="222" t="s">
        <v>212</v>
      </c>
      <c r="I618" s="531" t="s">
        <v>212</v>
      </c>
      <c r="J618" s="531"/>
      <c r="K618" s="222" t="s">
        <v>212</v>
      </c>
      <c r="L618" s="222" t="s">
        <v>212</v>
      </c>
      <c r="M618" s="222" t="s">
        <v>212</v>
      </c>
      <c r="N618" s="222" t="s">
        <v>212</v>
      </c>
      <c r="O618" s="222" t="s">
        <v>212</v>
      </c>
      <c r="P618" s="222" t="s">
        <v>212</v>
      </c>
      <c r="Q618" s="222" t="s">
        <v>212</v>
      </c>
      <c r="R618" s="222" t="s">
        <v>212</v>
      </c>
      <c r="S618" s="222" t="s">
        <v>212</v>
      </c>
      <c r="T618" s="531" t="s">
        <v>212</v>
      </c>
      <c r="U618" s="531"/>
      <c r="V618" s="222" t="s">
        <v>212</v>
      </c>
      <c r="W618" s="222" t="s">
        <v>212</v>
      </c>
      <c r="X618" s="531" t="s">
        <v>212</v>
      </c>
      <c r="Y618" s="531"/>
      <c r="Z618" s="222" t="s">
        <v>212</v>
      </c>
      <c r="AA618" s="222" t="s">
        <v>212</v>
      </c>
      <c r="AB618" s="222" t="s">
        <v>212</v>
      </c>
      <c r="AC618" s="215"/>
    </row>
    <row r="619" spans="1:29" ht="13.5" customHeight="1">
      <c r="A619" s="215"/>
      <c r="B619" s="535">
        <v>39019</v>
      </c>
      <c r="C619" s="535"/>
      <c r="D619" s="219" t="s">
        <v>212</v>
      </c>
      <c r="E619" s="229">
        <v>240</v>
      </c>
      <c r="F619" s="536">
        <v>24</v>
      </c>
      <c r="G619" s="536"/>
      <c r="H619" s="229">
        <v>317</v>
      </c>
      <c r="I619" s="536">
        <v>24</v>
      </c>
      <c r="J619" s="536"/>
      <c r="K619" s="229">
        <v>0</v>
      </c>
      <c r="L619" s="230">
        <v>0</v>
      </c>
      <c r="M619" s="229">
        <v>0</v>
      </c>
      <c r="N619" s="230">
        <v>0</v>
      </c>
      <c r="O619" s="231">
        <v>557</v>
      </c>
      <c r="P619" s="222" t="s">
        <v>212</v>
      </c>
      <c r="Q619" s="229">
        <v>0</v>
      </c>
      <c r="R619" s="230">
        <v>0</v>
      </c>
      <c r="S619" s="229">
        <v>0</v>
      </c>
      <c r="T619" s="536">
        <v>0</v>
      </c>
      <c r="U619" s="536"/>
      <c r="V619" s="229">
        <v>0</v>
      </c>
      <c r="W619" s="222" t="s">
        <v>212</v>
      </c>
      <c r="X619" s="530">
        <v>557</v>
      </c>
      <c r="Y619" s="530"/>
      <c r="Z619" s="222" t="s">
        <v>212</v>
      </c>
      <c r="AA619" s="232">
        <v>7705900</v>
      </c>
      <c r="AB619" s="233">
        <v>0</v>
      </c>
      <c r="AC619" s="215"/>
    </row>
    <row r="620" spans="1:29" ht="2.25" customHeight="1">
      <c r="A620" s="215"/>
      <c r="B620" s="529" t="s">
        <v>212</v>
      </c>
      <c r="C620" s="529"/>
      <c r="D620" s="219" t="s">
        <v>212</v>
      </c>
      <c r="E620" s="222" t="s">
        <v>212</v>
      </c>
      <c r="F620" s="531" t="s">
        <v>212</v>
      </c>
      <c r="G620" s="531"/>
      <c r="H620" s="222" t="s">
        <v>212</v>
      </c>
      <c r="I620" s="531" t="s">
        <v>212</v>
      </c>
      <c r="J620" s="531"/>
      <c r="K620" s="222" t="s">
        <v>212</v>
      </c>
      <c r="L620" s="222" t="s">
        <v>212</v>
      </c>
      <c r="M620" s="222" t="s">
        <v>212</v>
      </c>
      <c r="N620" s="222" t="s">
        <v>212</v>
      </c>
      <c r="O620" s="222" t="s">
        <v>212</v>
      </c>
      <c r="P620" s="222" t="s">
        <v>212</v>
      </c>
      <c r="Q620" s="222" t="s">
        <v>212</v>
      </c>
      <c r="R620" s="222" t="s">
        <v>212</v>
      </c>
      <c r="S620" s="222" t="s">
        <v>212</v>
      </c>
      <c r="T620" s="531" t="s">
        <v>212</v>
      </c>
      <c r="U620" s="531"/>
      <c r="V620" s="222" t="s">
        <v>212</v>
      </c>
      <c r="W620" s="222" t="s">
        <v>212</v>
      </c>
      <c r="X620" s="531" t="s">
        <v>212</v>
      </c>
      <c r="Y620" s="531"/>
      <c r="Z620" s="222" t="s">
        <v>212</v>
      </c>
      <c r="AA620" s="222" t="s">
        <v>212</v>
      </c>
      <c r="AB620" s="222" t="s">
        <v>212</v>
      </c>
      <c r="AC620" s="215"/>
    </row>
    <row r="621" spans="1:29" ht="13.5" customHeight="1">
      <c r="A621" s="215"/>
      <c r="B621" s="532">
        <v>39020</v>
      </c>
      <c r="C621" s="532"/>
      <c r="D621" s="219" t="s">
        <v>212</v>
      </c>
      <c r="E621" s="224">
        <v>291.8</v>
      </c>
      <c r="F621" s="533">
        <v>24</v>
      </c>
      <c r="G621" s="533"/>
      <c r="H621" s="224">
        <v>359.6</v>
      </c>
      <c r="I621" s="533">
        <v>24</v>
      </c>
      <c r="J621" s="533"/>
      <c r="K621" s="224">
        <v>0</v>
      </c>
      <c r="L621" s="225">
        <v>0</v>
      </c>
      <c r="M621" s="224">
        <v>0</v>
      </c>
      <c r="N621" s="225">
        <v>0</v>
      </c>
      <c r="O621" s="226">
        <v>651.4</v>
      </c>
      <c r="P621" s="222" t="s">
        <v>212</v>
      </c>
      <c r="Q621" s="224">
        <v>0</v>
      </c>
      <c r="R621" s="225">
        <v>0</v>
      </c>
      <c r="S621" s="224">
        <v>0</v>
      </c>
      <c r="T621" s="533">
        <v>0</v>
      </c>
      <c r="U621" s="533"/>
      <c r="V621" s="224">
        <v>0</v>
      </c>
      <c r="W621" s="222" t="s">
        <v>212</v>
      </c>
      <c r="X621" s="534">
        <v>651.4</v>
      </c>
      <c r="Y621" s="534"/>
      <c r="Z621" s="222" t="s">
        <v>212</v>
      </c>
      <c r="AA621" s="227">
        <v>8180500</v>
      </c>
      <c r="AB621" s="228">
        <v>0</v>
      </c>
      <c r="AC621" s="215"/>
    </row>
    <row r="622" spans="1:29" ht="2.25" customHeight="1">
      <c r="A622" s="215"/>
      <c r="B622" s="529" t="s">
        <v>212</v>
      </c>
      <c r="C622" s="529"/>
      <c r="D622" s="219" t="s">
        <v>212</v>
      </c>
      <c r="E622" s="222" t="s">
        <v>212</v>
      </c>
      <c r="F622" s="531" t="s">
        <v>212</v>
      </c>
      <c r="G622" s="531"/>
      <c r="H622" s="222" t="s">
        <v>212</v>
      </c>
      <c r="I622" s="531" t="s">
        <v>212</v>
      </c>
      <c r="J622" s="531"/>
      <c r="K622" s="222" t="s">
        <v>212</v>
      </c>
      <c r="L622" s="222" t="s">
        <v>212</v>
      </c>
      <c r="M622" s="222" t="s">
        <v>212</v>
      </c>
      <c r="N622" s="222" t="s">
        <v>212</v>
      </c>
      <c r="O622" s="222" t="s">
        <v>212</v>
      </c>
      <c r="P622" s="222" t="s">
        <v>212</v>
      </c>
      <c r="Q622" s="222" t="s">
        <v>212</v>
      </c>
      <c r="R622" s="222" t="s">
        <v>212</v>
      </c>
      <c r="S622" s="222" t="s">
        <v>212</v>
      </c>
      <c r="T622" s="531" t="s">
        <v>212</v>
      </c>
      <c r="U622" s="531"/>
      <c r="V622" s="222" t="s">
        <v>212</v>
      </c>
      <c r="W622" s="222" t="s">
        <v>212</v>
      </c>
      <c r="X622" s="531" t="s">
        <v>212</v>
      </c>
      <c r="Y622" s="531"/>
      <c r="Z622" s="222" t="s">
        <v>212</v>
      </c>
      <c r="AA622" s="222" t="s">
        <v>212</v>
      </c>
      <c r="AB622" s="222" t="s">
        <v>212</v>
      </c>
      <c r="AC622" s="215"/>
    </row>
    <row r="623" spans="1:29" ht="13.5" customHeight="1">
      <c r="A623" s="215"/>
      <c r="B623" s="535">
        <v>39021</v>
      </c>
      <c r="C623" s="535"/>
      <c r="D623" s="219" t="s">
        <v>212</v>
      </c>
      <c r="E623" s="229">
        <v>272.7</v>
      </c>
      <c r="F623" s="536">
        <v>24</v>
      </c>
      <c r="G623" s="536"/>
      <c r="H623" s="229">
        <v>326.89999999999998</v>
      </c>
      <c r="I623" s="536">
        <v>24</v>
      </c>
      <c r="J623" s="536"/>
      <c r="K623" s="229">
        <v>11.8</v>
      </c>
      <c r="L623" s="230">
        <v>2</v>
      </c>
      <c r="M623" s="229">
        <v>0</v>
      </c>
      <c r="N623" s="230">
        <v>0</v>
      </c>
      <c r="O623" s="231">
        <v>611.4</v>
      </c>
      <c r="P623" s="222" t="s">
        <v>212</v>
      </c>
      <c r="Q623" s="229">
        <v>0</v>
      </c>
      <c r="R623" s="230">
        <v>0</v>
      </c>
      <c r="S623" s="229">
        <v>0</v>
      </c>
      <c r="T623" s="536">
        <v>0</v>
      </c>
      <c r="U623" s="536"/>
      <c r="V623" s="229">
        <v>0</v>
      </c>
      <c r="W623" s="222" t="s">
        <v>212</v>
      </c>
      <c r="X623" s="530">
        <v>611.4</v>
      </c>
      <c r="Y623" s="530"/>
      <c r="Z623" s="222" t="s">
        <v>212</v>
      </c>
      <c r="AA623" s="232">
        <v>7668200</v>
      </c>
      <c r="AB623" s="233">
        <v>9874</v>
      </c>
      <c r="AC623" s="215"/>
    </row>
    <row r="624" spans="1:29" ht="2.25" customHeight="1">
      <c r="A624" s="215"/>
      <c r="B624" s="529" t="s">
        <v>212</v>
      </c>
      <c r="C624" s="529"/>
      <c r="D624" s="219" t="s">
        <v>212</v>
      </c>
      <c r="E624" s="222" t="s">
        <v>212</v>
      </c>
      <c r="F624" s="531" t="s">
        <v>212</v>
      </c>
      <c r="G624" s="531"/>
      <c r="H624" s="222" t="s">
        <v>212</v>
      </c>
      <c r="I624" s="531" t="s">
        <v>212</v>
      </c>
      <c r="J624" s="531"/>
      <c r="K624" s="222" t="s">
        <v>212</v>
      </c>
      <c r="L624" s="222" t="s">
        <v>212</v>
      </c>
      <c r="M624" s="222" t="s">
        <v>212</v>
      </c>
      <c r="N624" s="222" t="s">
        <v>212</v>
      </c>
      <c r="O624" s="222" t="s">
        <v>212</v>
      </c>
      <c r="P624" s="222" t="s">
        <v>212</v>
      </c>
      <c r="Q624" s="222" t="s">
        <v>212</v>
      </c>
      <c r="R624" s="222" t="s">
        <v>212</v>
      </c>
      <c r="S624" s="222" t="s">
        <v>212</v>
      </c>
      <c r="T624" s="531" t="s">
        <v>212</v>
      </c>
      <c r="U624" s="531"/>
      <c r="V624" s="222" t="s">
        <v>212</v>
      </c>
      <c r="W624" s="222" t="s">
        <v>212</v>
      </c>
      <c r="X624" s="531" t="s">
        <v>212</v>
      </c>
      <c r="Y624" s="531"/>
      <c r="Z624" s="222" t="s">
        <v>212</v>
      </c>
      <c r="AA624" s="222" t="s">
        <v>212</v>
      </c>
      <c r="AB624" s="222" t="s">
        <v>212</v>
      </c>
      <c r="AC624" s="215"/>
    </row>
    <row r="625" spans="1:29" ht="13.5" customHeight="1">
      <c r="A625" s="215"/>
      <c r="B625" s="532">
        <v>39022</v>
      </c>
      <c r="C625" s="532"/>
      <c r="D625" s="219" t="s">
        <v>212</v>
      </c>
      <c r="E625" s="224">
        <v>244</v>
      </c>
      <c r="F625" s="533">
        <v>24</v>
      </c>
      <c r="G625" s="533"/>
      <c r="H625" s="224">
        <v>297.5</v>
      </c>
      <c r="I625" s="533">
        <v>24</v>
      </c>
      <c r="J625" s="533"/>
      <c r="K625" s="224">
        <v>0</v>
      </c>
      <c r="L625" s="225">
        <v>0</v>
      </c>
      <c r="M625" s="224">
        <v>0</v>
      </c>
      <c r="N625" s="225">
        <v>0</v>
      </c>
      <c r="O625" s="226">
        <v>541.5</v>
      </c>
      <c r="P625" s="222" t="s">
        <v>212</v>
      </c>
      <c r="Q625" s="224">
        <v>0</v>
      </c>
      <c r="R625" s="225">
        <v>0</v>
      </c>
      <c r="S625" s="224">
        <v>0</v>
      </c>
      <c r="T625" s="533">
        <v>0</v>
      </c>
      <c r="U625" s="533"/>
      <c r="V625" s="224">
        <v>0</v>
      </c>
      <c r="W625" s="222" t="s">
        <v>212</v>
      </c>
      <c r="X625" s="534">
        <v>541.5</v>
      </c>
      <c r="Y625" s="534"/>
      <c r="Z625" s="222" t="s">
        <v>212</v>
      </c>
      <c r="AA625" s="227">
        <v>7611300</v>
      </c>
      <c r="AB625" s="228">
        <v>0</v>
      </c>
      <c r="AC625" s="215"/>
    </row>
    <row r="626" spans="1:29" ht="2.25" customHeight="1">
      <c r="A626" s="215"/>
      <c r="B626" s="529" t="s">
        <v>212</v>
      </c>
      <c r="C626" s="529"/>
      <c r="D626" s="219" t="s">
        <v>212</v>
      </c>
      <c r="E626" s="222" t="s">
        <v>212</v>
      </c>
      <c r="F626" s="531" t="s">
        <v>212</v>
      </c>
      <c r="G626" s="531"/>
      <c r="H626" s="222" t="s">
        <v>212</v>
      </c>
      <c r="I626" s="531" t="s">
        <v>212</v>
      </c>
      <c r="J626" s="531"/>
      <c r="K626" s="222" t="s">
        <v>212</v>
      </c>
      <c r="L626" s="222" t="s">
        <v>212</v>
      </c>
      <c r="M626" s="222" t="s">
        <v>212</v>
      </c>
      <c r="N626" s="222" t="s">
        <v>212</v>
      </c>
      <c r="O626" s="222" t="s">
        <v>212</v>
      </c>
      <c r="P626" s="222" t="s">
        <v>212</v>
      </c>
      <c r="Q626" s="222" t="s">
        <v>212</v>
      </c>
      <c r="R626" s="222" t="s">
        <v>212</v>
      </c>
      <c r="S626" s="222" t="s">
        <v>212</v>
      </c>
      <c r="T626" s="531" t="s">
        <v>212</v>
      </c>
      <c r="U626" s="531"/>
      <c r="V626" s="222" t="s">
        <v>212</v>
      </c>
      <c r="W626" s="222" t="s">
        <v>212</v>
      </c>
      <c r="X626" s="531" t="s">
        <v>212</v>
      </c>
      <c r="Y626" s="531"/>
      <c r="Z626" s="222" t="s">
        <v>212</v>
      </c>
      <c r="AA626" s="222" t="s">
        <v>212</v>
      </c>
      <c r="AB626" s="222" t="s">
        <v>212</v>
      </c>
      <c r="AC626" s="215"/>
    </row>
    <row r="627" spans="1:29" ht="13.5" customHeight="1">
      <c r="A627" s="215"/>
      <c r="B627" s="535">
        <v>39023</v>
      </c>
      <c r="C627" s="535"/>
      <c r="D627" s="219" t="s">
        <v>212</v>
      </c>
      <c r="E627" s="229">
        <v>205.4</v>
      </c>
      <c r="F627" s="536">
        <v>24</v>
      </c>
      <c r="G627" s="536"/>
      <c r="H627" s="229">
        <v>284.7</v>
      </c>
      <c r="I627" s="536">
        <v>24</v>
      </c>
      <c r="J627" s="536"/>
      <c r="K627" s="229">
        <v>0</v>
      </c>
      <c r="L627" s="230">
        <v>0</v>
      </c>
      <c r="M627" s="229">
        <v>0</v>
      </c>
      <c r="N627" s="230">
        <v>0</v>
      </c>
      <c r="O627" s="231">
        <v>490.1</v>
      </c>
      <c r="P627" s="222" t="s">
        <v>212</v>
      </c>
      <c r="Q627" s="229">
        <v>0</v>
      </c>
      <c r="R627" s="230">
        <v>0</v>
      </c>
      <c r="S627" s="229">
        <v>0</v>
      </c>
      <c r="T627" s="536">
        <v>0</v>
      </c>
      <c r="U627" s="536"/>
      <c r="V627" s="229">
        <v>0</v>
      </c>
      <c r="W627" s="222" t="s">
        <v>212</v>
      </c>
      <c r="X627" s="530">
        <v>490.1</v>
      </c>
      <c r="Y627" s="530"/>
      <c r="Z627" s="222" t="s">
        <v>212</v>
      </c>
      <c r="AA627" s="232">
        <v>7142600</v>
      </c>
      <c r="AB627" s="233">
        <v>0</v>
      </c>
      <c r="AC627" s="215"/>
    </row>
    <row r="628" spans="1:29" ht="2.25" customHeight="1">
      <c r="A628" s="215"/>
      <c r="B628" s="529" t="s">
        <v>212</v>
      </c>
      <c r="C628" s="529"/>
      <c r="D628" s="219" t="s">
        <v>212</v>
      </c>
      <c r="E628" s="222" t="s">
        <v>212</v>
      </c>
      <c r="F628" s="531" t="s">
        <v>212</v>
      </c>
      <c r="G628" s="531"/>
      <c r="H628" s="222" t="s">
        <v>212</v>
      </c>
      <c r="I628" s="531" t="s">
        <v>212</v>
      </c>
      <c r="J628" s="531"/>
      <c r="K628" s="222" t="s">
        <v>212</v>
      </c>
      <c r="L628" s="222" t="s">
        <v>212</v>
      </c>
      <c r="M628" s="222" t="s">
        <v>212</v>
      </c>
      <c r="N628" s="222" t="s">
        <v>212</v>
      </c>
      <c r="O628" s="222" t="s">
        <v>212</v>
      </c>
      <c r="P628" s="222" t="s">
        <v>212</v>
      </c>
      <c r="Q628" s="222" t="s">
        <v>212</v>
      </c>
      <c r="R628" s="222" t="s">
        <v>212</v>
      </c>
      <c r="S628" s="222" t="s">
        <v>212</v>
      </c>
      <c r="T628" s="531" t="s">
        <v>212</v>
      </c>
      <c r="U628" s="531"/>
      <c r="V628" s="222" t="s">
        <v>212</v>
      </c>
      <c r="W628" s="222" t="s">
        <v>212</v>
      </c>
      <c r="X628" s="531" t="s">
        <v>212</v>
      </c>
      <c r="Y628" s="531"/>
      <c r="Z628" s="222" t="s">
        <v>212</v>
      </c>
      <c r="AA628" s="222" t="s">
        <v>212</v>
      </c>
      <c r="AB628" s="222" t="s">
        <v>212</v>
      </c>
      <c r="AC628" s="215"/>
    </row>
    <row r="629" spans="1:29" ht="13.5" customHeight="1">
      <c r="A629" s="215"/>
      <c r="B629" s="532">
        <v>39024</v>
      </c>
      <c r="C629" s="532"/>
      <c r="D629" s="219" t="s">
        <v>212</v>
      </c>
      <c r="E629" s="224">
        <v>271.60000000000002</v>
      </c>
      <c r="F629" s="533">
        <v>24</v>
      </c>
      <c r="G629" s="533"/>
      <c r="H629" s="224">
        <v>277.10000000000002</v>
      </c>
      <c r="I629" s="533">
        <v>24</v>
      </c>
      <c r="J629" s="533"/>
      <c r="K629" s="224">
        <v>0</v>
      </c>
      <c r="L629" s="225">
        <v>0</v>
      </c>
      <c r="M629" s="224">
        <v>0</v>
      </c>
      <c r="N629" s="225">
        <v>0</v>
      </c>
      <c r="O629" s="226">
        <v>548.70000000000005</v>
      </c>
      <c r="P629" s="222" t="s">
        <v>212</v>
      </c>
      <c r="Q629" s="224">
        <v>0</v>
      </c>
      <c r="R629" s="225">
        <v>24</v>
      </c>
      <c r="S629" s="224">
        <v>0</v>
      </c>
      <c r="T629" s="533">
        <v>0</v>
      </c>
      <c r="U629" s="533"/>
      <c r="V629" s="224">
        <v>0</v>
      </c>
      <c r="W629" s="222" t="s">
        <v>212</v>
      </c>
      <c r="X629" s="534">
        <v>548.70000000000005</v>
      </c>
      <c r="Y629" s="534"/>
      <c r="Z629" s="222" t="s">
        <v>212</v>
      </c>
      <c r="AA629" s="227">
        <v>7187400</v>
      </c>
      <c r="AB629" s="228">
        <v>0</v>
      </c>
      <c r="AC629" s="215"/>
    </row>
    <row r="630" spans="1:29" ht="2.25" customHeight="1">
      <c r="A630" s="215"/>
      <c r="B630" s="529" t="s">
        <v>212</v>
      </c>
      <c r="C630" s="529"/>
      <c r="D630" s="219" t="s">
        <v>212</v>
      </c>
      <c r="E630" s="222" t="s">
        <v>212</v>
      </c>
      <c r="F630" s="531" t="s">
        <v>212</v>
      </c>
      <c r="G630" s="531"/>
      <c r="H630" s="222" t="s">
        <v>212</v>
      </c>
      <c r="I630" s="531" t="s">
        <v>212</v>
      </c>
      <c r="J630" s="531"/>
      <c r="K630" s="222" t="s">
        <v>212</v>
      </c>
      <c r="L630" s="222" t="s">
        <v>212</v>
      </c>
      <c r="M630" s="222" t="s">
        <v>212</v>
      </c>
      <c r="N630" s="222" t="s">
        <v>212</v>
      </c>
      <c r="O630" s="222" t="s">
        <v>212</v>
      </c>
      <c r="P630" s="222" t="s">
        <v>212</v>
      </c>
      <c r="Q630" s="222" t="s">
        <v>212</v>
      </c>
      <c r="R630" s="222" t="s">
        <v>212</v>
      </c>
      <c r="S630" s="222" t="s">
        <v>212</v>
      </c>
      <c r="T630" s="531" t="s">
        <v>212</v>
      </c>
      <c r="U630" s="531"/>
      <c r="V630" s="222" t="s">
        <v>212</v>
      </c>
      <c r="W630" s="222" t="s">
        <v>212</v>
      </c>
      <c r="X630" s="531" t="s">
        <v>212</v>
      </c>
      <c r="Y630" s="531"/>
      <c r="Z630" s="222" t="s">
        <v>212</v>
      </c>
      <c r="AA630" s="222" t="s">
        <v>212</v>
      </c>
      <c r="AB630" s="222" t="s">
        <v>212</v>
      </c>
      <c r="AC630" s="215"/>
    </row>
    <row r="631" spans="1:29" ht="13.5" customHeight="1">
      <c r="A631" s="215"/>
      <c r="B631" s="535">
        <v>39025</v>
      </c>
      <c r="C631" s="535"/>
      <c r="D631" s="219" t="s">
        <v>212</v>
      </c>
      <c r="E631" s="229">
        <v>272</v>
      </c>
      <c r="F631" s="536">
        <v>24</v>
      </c>
      <c r="G631" s="536"/>
      <c r="H631" s="229">
        <v>274.2</v>
      </c>
      <c r="I631" s="536">
        <v>24</v>
      </c>
      <c r="J631" s="536"/>
      <c r="K631" s="229">
        <v>0</v>
      </c>
      <c r="L631" s="230">
        <v>0</v>
      </c>
      <c r="M631" s="229">
        <v>0</v>
      </c>
      <c r="N631" s="230">
        <v>0</v>
      </c>
      <c r="O631" s="231">
        <v>546.20000000000005</v>
      </c>
      <c r="P631" s="222" t="s">
        <v>212</v>
      </c>
      <c r="Q631" s="229">
        <v>0</v>
      </c>
      <c r="R631" s="230">
        <v>19</v>
      </c>
      <c r="S631" s="229">
        <v>0</v>
      </c>
      <c r="T631" s="536">
        <v>0</v>
      </c>
      <c r="U631" s="536"/>
      <c r="V631" s="229">
        <v>0</v>
      </c>
      <c r="W631" s="222" t="s">
        <v>212</v>
      </c>
      <c r="X631" s="530">
        <v>546.20000000000005</v>
      </c>
      <c r="Y631" s="530"/>
      <c r="Z631" s="222" t="s">
        <v>212</v>
      </c>
      <c r="AA631" s="232">
        <v>7611900</v>
      </c>
      <c r="AB631" s="233">
        <v>0</v>
      </c>
      <c r="AC631" s="215"/>
    </row>
    <row r="632" spans="1:29" ht="2.25" customHeight="1">
      <c r="A632" s="215"/>
      <c r="B632" s="529" t="s">
        <v>212</v>
      </c>
      <c r="C632" s="529"/>
      <c r="D632" s="219" t="s">
        <v>212</v>
      </c>
      <c r="E632" s="222" t="s">
        <v>212</v>
      </c>
      <c r="F632" s="531" t="s">
        <v>212</v>
      </c>
      <c r="G632" s="531"/>
      <c r="H632" s="222" t="s">
        <v>212</v>
      </c>
      <c r="I632" s="531" t="s">
        <v>212</v>
      </c>
      <c r="J632" s="531"/>
      <c r="K632" s="222" t="s">
        <v>212</v>
      </c>
      <c r="L632" s="222" t="s">
        <v>212</v>
      </c>
      <c r="M632" s="222" t="s">
        <v>212</v>
      </c>
      <c r="N632" s="222" t="s">
        <v>212</v>
      </c>
      <c r="O632" s="222" t="s">
        <v>212</v>
      </c>
      <c r="P632" s="222" t="s">
        <v>212</v>
      </c>
      <c r="Q632" s="222" t="s">
        <v>212</v>
      </c>
      <c r="R632" s="222" t="s">
        <v>212</v>
      </c>
      <c r="S632" s="222" t="s">
        <v>212</v>
      </c>
      <c r="T632" s="531" t="s">
        <v>212</v>
      </c>
      <c r="U632" s="531"/>
      <c r="V632" s="222" t="s">
        <v>212</v>
      </c>
      <c r="W632" s="222" t="s">
        <v>212</v>
      </c>
      <c r="X632" s="531" t="s">
        <v>212</v>
      </c>
      <c r="Y632" s="531"/>
      <c r="Z632" s="222" t="s">
        <v>212</v>
      </c>
      <c r="AA632" s="222" t="s">
        <v>212</v>
      </c>
      <c r="AB632" s="222" t="s">
        <v>212</v>
      </c>
      <c r="AC632" s="215"/>
    </row>
    <row r="633" spans="1:29" ht="13.5" customHeight="1">
      <c r="A633" s="215"/>
      <c r="B633" s="532">
        <v>39026</v>
      </c>
      <c r="C633" s="532"/>
      <c r="D633" s="219" t="s">
        <v>212</v>
      </c>
      <c r="E633" s="224">
        <v>219.8</v>
      </c>
      <c r="F633" s="533">
        <v>24</v>
      </c>
      <c r="G633" s="533"/>
      <c r="H633" s="224">
        <v>200.7</v>
      </c>
      <c r="I633" s="533">
        <v>24</v>
      </c>
      <c r="J633" s="533"/>
      <c r="K633" s="224">
        <v>19.399999999999999</v>
      </c>
      <c r="L633" s="225">
        <v>3</v>
      </c>
      <c r="M633" s="224">
        <v>0</v>
      </c>
      <c r="N633" s="225">
        <v>0</v>
      </c>
      <c r="O633" s="226">
        <v>439.9</v>
      </c>
      <c r="P633" s="222" t="s">
        <v>212</v>
      </c>
      <c r="Q633" s="224">
        <v>0</v>
      </c>
      <c r="R633" s="225">
        <v>24</v>
      </c>
      <c r="S633" s="224">
        <v>0</v>
      </c>
      <c r="T633" s="533">
        <v>0</v>
      </c>
      <c r="U633" s="533"/>
      <c r="V633" s="224">
        <v>0</v>
      </c>
      <c r="W633" s="222" t="s">
        <v>212</v>
      </c>
      <c r="X633" s="534">
        <v>439.9</v>
      </c>
      <c r="Y633" s="534"/>
      <c r="Z633" s="222" t="s">
        <v>212</v>
      </c>
      <c r="AA633" s="227">
        <v>6569100</v>
      </c>
      <c r="AB633" s="228">
        <v>13889</v>
      </c>
      <c r="AC633" s="215"/>
    </row>
    <row r="634" spans="1:29" ht="2.25" customHeight="1">
      <c r="A634" s="215"/>
      <c r="B634" s="529" t="s">
        <v>212</v>
      </c>
      <c r="C634" s="529"/>
      <c r="D634" s="219" t="s">
        <v>212</v>
      </c>
      <c r="E634" s="222" t="s">
        <v>212</v>
      </c>
      <c r="F634" s="531" t="s">
        <v>212</v>
      </c>
      <c r="G634" s="531"/>
      <c r="H634" s="222" t="s">
        <v>212</v>
      </c>
      <c r="I634" s="531" t="s">
        <v>212</v>
      </c>
      <c r="J634" s="531"/>
      <c r="K634" s="222" t="s">
        <v>212</v>
      </c>
      <c r="L634" s="222" t="s">
        <v>212</v>
      </c>
      <c r="M634" s="222" t="s">
        <v>212</v>
      </c>
      <c r="N634" s="222" t="s">
        <v>212</v>
      </c>
      <c r="O634" s="222" t="s">
        <v>212</v>
      </c>
      <c r="P634" s="222" t="s">
        <v>212</v>
      </c>
      <c r="Q634" s="222" t="s">
        <v>212</v>
      </c>
      <c r="R634" s="222" t="s">
        <v>212</v>
      </c>
      <c r="S634" s="222" t="s">
        <v>212</v>
      </c>
      <c r="T634" s="531" t="s">
        <v>212</v>
      </c>
      <c r="U634" s="531"/>
      <c r="V634" s="222" t="s">
        <v>212</v>
      </c>
      <c r="W634" s="222" t="s">
        <v>212</v>
      </c>
      <c r="X634" s="531" t="s">
        <v>212</v>
      </c>
      <c r="Y634" s="531"/>
      <c r="Z634" s="222" t="s">
        <v>212</v>
      </c>
      <c r="AA634" s="222" t="s">
        <v>212</v>
      </c>
      <c r="AB634" s="222" t="s">
        <v>212</v>
      </c>
      <c r="AC634" s="215"/>
    </row>
    <row r="635" spans="1:29" ht="13.5" customHeight="1">
      <c r="A635" s="215"/>
      <c r="B635" s="535">
        <v>39027</v>
      </c>
      <c r="C635" s="535"/>
      <c r="D635" s="219" t="s">
        <v>212</v>
      </c>
      <c r="E635" s="229">
        <v>89.1</v>
      </c>
      <c r="F635" s="536">
        <v>10</v>
      </c>
      <c r="G635" s="536"/>
      <c r="H635" s="229">
        <v>231.1</v>
      </c>
      <c r="I635" s="536">
        <v>24</v>
      </c>
      <c r="J635" s="536"/>
      <c r="K635" s="229">
        <v>124.1</v>
      </c>
      <c r="L635" s="230">
        <v>14</v>
      </c>
      <c r="M635" s="229">
        <v>0</v>
      </c>
      <c r="N635" s="230">
        <v>0</v>
      </c>
      <c r="O635" s="231">
        <v>444.3</v>
      </c>
      <c r="P635" s="222" t="s">
        <v>212</v>
      </c>
      <c r="Q635" s="229">
        <v>46</v>
      </c>
      <c r="R635" s="230">
        <v>13</v>
      </c>
      <c r="S635" s="229">
        <v>0</v>
      </c>
      <c r="T635" s="536">
        <v>0</v>
      </c>
      <c r="U635" s="536"/>
      <c r="V635" s="229">
        <v>46</v>
      </c>
      <c r="W635" s="222" t="s">
        <v>212</v>
      </c>
      <c r="X635" s="530">
        <v>490.3</v>
      </c>
      <c r="Y635" s="530"/>
      <c r="Z635" s="222" t="s">
        <v>212</v>
      </c>
      <c r="AA635" s="232">
        <v>2860900</v>
      </c>
      <c r="AB635" s="233">
        <v>148498</v>
      </c>
      <c r="AC635" s="215"/>
    </row>
    <row r="636" spans="1:29" ht="2.25" customHeight="1">
      <c r="A636" s="215"/>
      <c r="B636" s="529" t="s">
        <v>212</v>
      </c>
      <c r="C636" s="529"/>
      <c r="D636" s="219" t="s">
        <v>212</v>
      </c>
      <c r="E636" s="222" t="s">
        <v>212</v>
      </c>
      <c r="F636" s="531" t="s">
        <v>212</v>
      </c>
      <c r="G636" s="531"/>
      <c r="H636" s="222" t="s">
        <v>212</v>
      </c>
      <c r="I636" s="531" t="s">
        <v>212</v>
      </c>
      <c r="J636" s="531"/>
      <c r="K636" s="222" t="s">
        <v>212</v>
      </c>
      <c r="L636" s="222" t="s">
        <v>212</v>
      </c>
      <c r="M636" s="222" t="s">
        <v>212</v>
      </c>
      <c r="N636" s="222" t="s">
        <v>212</v>
      </c>
      <c r="O636" s="222" t="s">
        <v>212</v>
      </c>
      <c r="P636" s="222" t="s">
        <v>212</v>
      </c>
      <c r="Q636" s="222" t="s">
        <v>212</v>
      </c>
      <c r="R636" s="222" t="s">
        <v>212</v>
      </c>
      <c r="S636" s="222" t="s">
        <v>212</v>
      </c>
      <c r="T636" s="531" t="s">
        <v>212</v>
      </c>
      <c r="U636" s="531"/>
      <c r="V636" s="222" t="s">
        <v>212</v>
      </c>
      <c r="W636" s="222" t="s">
        <v>212</v>
      </c>
      <c r="X636" s="531" t="s">
        <v>212</v>
      </c>
      <c r="Y636" s="531"/>
      <c r="Z636" s="222" t="s">
        <v>212</v>
      </c>
      <c r="AA636" s="222" t="s">
        <v>212</v>
      </c>
      <c r="AB636" s="222" t="s">
        <v>212</v>
      </c>
      <c r="AC636" s="215"/>
    </row>
    <row r="637" spans="1:29" ht="13.5" customHeight="1">
      <c r="A637" s="215"/>
      <c r="B637" s="532">
        <v>39028</v>
      </c>
      <c r="C637" s="532"/>
      <c r="D637" s="219" t="s">
        <v>212</v>
      </c>
      <c r="E637" s="224">
        <v>0</v>
      </c>
      <c r="F637" s="533">
        <v>0</v>
      </c>
      <c r="G637" s="533"/>
      <c r="H637" s="224">
        <v>253.7</v>
      </c>
      <c r="I637" s="533">
        <v>24</v>
      </c>
      <c r="J637" s="533"/>
      <c r="K637" s="224">
        <v>219.9</v>
      </c>
      <c r="L637" s="225">
        <v>24</v>
      </c>
      <c r="M637" s="224">
        <v>0</v>
      </c>
      <c r="N637" s="225">
        <v>0</v>
      </c>
      <c r="O637" s="226">
        <v>473.6</v>
      </c>
      <c r="P637" s="222" t="s">
        <v>212</v>
      </c>
      <c r="Q637" s="224">
        <v>83</v>
      </c>
      <c r="R637" s="225">
        <v>24</v>
      </c>
      <c r="S637" s="224">
        <v>0</v>
      </c>
      <c r="T637" s="533">
        <v>0</v>
      </c>
      <c r="U637" s="533"/>
      <c r="V637" s="224">
        <v>83</v>
      </c>
      <c r="W637" s="222" t="s">
        <v>212</v>
      </c>
      <c r="X637" s="534">
        <v>556.6</v>
      </c>
      <c r="Y637" s="534"/>
      <c r="Z637" s="222" t="s">
        <v>212</v>
      </c>
      <c r="AA637" s="227">
        <v>0</v>
      </c>
      <c r="AB637" s="228">
        <v>254611</v>
      </c>
      <c r="AC637" s="215"/>
    </row>
    <row r="638" spans="1:29" ht="2.25" customHeight="1">
      <c r="A638" s="215"/>
      <c r="B638" s="529" t="s">
        <v>212</v>
      </c>
      <c r="C638" s="529"/>
      <c r="D638" s="219" t="s">
        <v>212</v>
      </c>
      <c r="E638" s="222" t="s">
        <v>212</v>
      </c>
      <c r="F638" s="531" t="s">
        <v>212</v>
      </c>
      <c r="G638" s="531"/>
      <c r="H638" s="222" t="s">
        <v>212</v>
      </c>
      <c r="I638" s="531" t="s">
        <v>212</v>
      </c>
      <c r="J638" s="531"/>
      <c r="K638" s="222" t="s">
        <v>212</v>
      </c>
      <c r="L638" s="222" t="s">
        <v>212</v>
      </c>
      <c r="M638" s="222" t="s">
        <v>212</v>
      </c>
      <c r="N638" s="222" t="s">
        <v>212</v>
      </c>
      <c r="O638" s="222" t="s">
        <v>212</v>
      </c>
      <c r="P638" s="222" t="s">
        <v>212</v>
      </c>
      <c r="Q638" s="222" t="s">
        <v>212</v>
      </c>
      <c r="R638" s="222" t="s">
        <v>212</v>
      </c>
      <c r="S638" s="222" t="s">
        <v>212</v>
      </c>
      <c r="T638" s="531" t="s">
        <v>212</v>
      </c>
      <c r="U638" s="531"/>
      <c r="V638" s="222" t="s">
        <v>212</v>
      </c>
      <c r="W638" s="222" t="s">
        <v>212</v>
      </c>
      <c r="X638" s="531" t="s">
        <v>212</v>
      </c>
      <c r="Y638" s="531"/>
      <c r="Z638" s="222" t="s">
        <v>212</v>
      </c>
      <c r="AA638" s="222" t="s">
        <v>212</v>
      </c>
      <c r="AB638" s="222" t="s">
        <v>212</v>
      </c>
      <c r="AC638" s="215"/>
    </row>
    <row r="639" spans="1:29" ht="13.5" customHeight="1">
      <c r="A639" s="215"/>
      <c r="B639" s="535">
        <v>39029</v>
      </c>
      <c r="C639" s="535"/>
      <c r="D639" s="219" t="s">
        <v>212</v>
      </c>
      <c r="E639" s="229">
        <v>0</v>
      </c>
      <c r="F639" s="536">
        <v>0</v>
      </c>
      <c r="G639" s="536"/>
      <c r="H639" s="229">
        <v>243.5</v>
      </c>
      <c r="I639" s="536">
        <v>24</v>
      </c>
      <c r="J639" s="536"/>
      <c r="K639" s="229">
        <v>226.2</v>
      </c>
      <c r="L639" s="230">
        <v>24</v>
      </c>
      <c r="M639" s="229">
        <v>0</v>
      </c>
      <c r="N639" s="230">
        <v>0</v>
      </c>
      <c r="O639" s="231">
        <v>469.7</v>
      </c>
      <c r="P639" s="222" t="s">
        <v>212</v>
      </c>
      <c r="Q639" s="229">
        <v>92</v>
      </c>
      <c r="R639" s="230">
        <v>24</v>
      </c>
      <c r="S639" s="229">
        <v>0</v>
      </c>
      <c r="T639" s="536">
        <v>0</v>
      </c>
      <c r="U639" s="536"/>
      <c r="V639" s="229">
        <v>92</v>
      </c>
      <c r="W639" s="222" t="s">
        <v>212</v>
      </c>
      <c r="X639" s="530">
        <v>561.70000000000005</v>
      </c>
      <c r="Y639" s="530"/>
      <c r="Z639" s="222" t="s">
        <v>212</v>
      </c>
      <c r="AA639" s="232">
        <v>0</v>
      </c>
      <c r="AB639" s="233">
        <v>256354</v>
      </c>
      <c r="AC639" s="215"/>
    </row>
    <row r="640" spans="1:29" ht="2.25" customHeight="1">
      <c r="A640" s="215"/>
      <c r="B640" s="529" t="s">
        <v>212</v>
      </c>
      <c r="C640" s="529"/>
      <c r="D640" s="219" t="s">
        <v>212</v>
      </c>
      <c r="E640" s="222" t="s">
        <v>212</v>
      </c>
      <c r="F640" s="531" t="s">
        <v>212</v>
      </c>
      <c r="G640" s="531"/>
      <c r="H640" s="222" t="s">
        <v>212</v>
      </c>
      <c r="I640" s="531" t="s">
        <v>212</v>
      </c>
      <c r="J640" s="531"/>
      <c r="K640" s="222" t="s">
        <v>212</v>
      </c>
      <c r="L640" s="222" t="s">
        <v>212</v>
      </c>
      <c r="M640" s="222" t="s">
        <v>212</v>
      </c>
      <c r="N640" s="222" t="s">
        <v>212</v>
      </c>
      <c r="O640" s="222" t="s">
        <v>212</v>
      </c>
      <c r="P640" s="222" t="s">
        <v>212</v>
      </c>
      <c r="Q640" s="222" t="s">
        <v>212</v>
      </c>
      <c r="R640" s="222" t="s">
        <v>212</v>
      </c>
      <c r="S640" s="222" t="s">
        <v>212</v>
      </c>
      <c r="T640" s="531" t="s">
        <v>212</v>
      </c>
      <c r="U640" s="531"/>
      <c r="V640" s="222" t="s">
        <v>212</v>
      </c>
      <c r="W640" s="222" t="s">
        <v>212</v>
      </c>
      <c r="X640" s="531" t="s">
        <v>212</v>
      </c>
      <c r="Y640" s="531"/>
      <c r="Z640" s="222" t="s">
        <v>212</v>
      </c>
      <c r="AA640" s="222" t="s">
        <v>212</v>
      </c>
      <c r="AB640" s="222" t="s">
        <v>212</v>
      </c>
      <c r="AC640" s="215"/>
    </row>
    <row r="641" spans="1:29" ht="13.5" customHeight="1">
      <c r="A641" s="215"/>
      <c r="B641" s="532">
        <v>39030</v>
      </c>
      <c r="C641" s="532"/>
      <c r="D641" s="219" t="s">
        <v>212</v>
      </c>
      <c r="E641" s="224">
        <v>0</v>
      </c>
      <c r="F641" s="533">
        <v>0</v>
      </c>
      <c r="G641" s="533"/>
      <c r="H641" s="224">
        <v>226.4</v>
      </c>
      <c r="I641" s="533">
        <v>24</v>
      </c>
      <c r="J641" s="533"/>
      <c r="K641" s="224">
        <v>221.6</v>
      </c>
      <c r="L641" s="225">
        <v>24</v>
      </c>
      <c r="M641" s="224">
        <v>0</v>
      </c>
      <c r="N641" s="225">
        <v>0</v>
      </c>
      <c r="O641" s="226">
        <v>448</v>
      </c>
      <c r="P641" s="222" t="s">
        <v>212</v>
      </c>
      <c r="Q641" s="224">
        <v>86</v>
      </c>
      <c r="R641" s="225">
        <v>24</v>
      </c>
      <c r="S641" s="224">
        <v>0</v>
      </c>
      <c r="T641" s="533">
        <v>0</v>
      </c>
      <c r="U641" s="533"/>
      <c r="V641" s="224">
        <v>86</v>
      </c>
      <c r="W641" s="222" t="s">
        <v>212</v>
      </c>
      <c r="X641" s="534">
        <v>534</v>
      </c>
      <c r="Y641" s="534"/>
      <c r="Z641" s="222" t="s">
        <v>212</v>
      </c>
      <c r="AA641" s="227">
        <v>0</v>
      </c>
      <c r="AB641" s="228">
        <v>239220</v>
      </c>
      <c r="AC641" s="215"/>
    </row>
    <row r="642" spans="1:29" ht="2.25" customHeight="1">
      <c r="A642" s="215"/>
      <c r="B642" s="529" t="s">
        <v>212</v>
      </c>
      <c r="C642" s="529"/>
      <c r="D642" s="219" t="s">
        <v>212</v>
      </c>
      <c r="E642" s="222" t="s">
        <v>212</v>
      </c>
      <c r="F642" s="531" t="s">
        <v>212</v>
      </c>
      <c r="G642" s="531"/>
      <c r="H642" s="222" t="s">
        <v>212</v>
      </c>
      <c r="I642" s="531" t="s">
        <v>212</v>
      </c>
      <c r="J642" s="531"/>
      <c r="K642" s="222" t="s">
        <v>212</v>
      </c>
      <c r="L642" s="222" t="s">
        <v>212</v>
      </c>
      <c r="M642" s="222" t="s">
        <v>212</v>
      </c>
      <c r="N642" s="222" t="s">
        <v>212</v>
      </c>
      <c r="O642" s="222" t="s">
        <v>212</v>
      </c>
      <c r="P642" s="222" t="s">
        <v>212</v>
      </c>
      <c r="Q642" s="222" t="s">
        <v>212</v>
      </c>
      <c r="R642" s="222" t="s">
        <v>212</v>
      </c>
      <c r="S642" s="222" t="s">
        <v>212</v>
      </c>
      <c r="T642" s="531" t="s">
        <v>212</v>
      </c>
      <c r="U642" s="531"/>
      <c r="V642" s="222" t="s">
        <v>212</v>
      </c>
      <c r="W642" s="222" t="s">
        <v>212</v>
      </c>
      <c r="X642" s="531" t="s">
        <v>212</v>
      </c>
      <c r="Y642" s="531"/>
      <c r="Z642" s="222" t="s">
        <v>212</v>
      </c>
      <c r="AA642" s="222" t="s">
        <v>212</v>
      </c>
      <c r="AB642" s="222" t="s">
        <v>212</v>
      </c>
      <c r="AC642" s="215"/>
    </row>
    <row r="643" spans="1:29" ht="13.5" customHeight="1">
      <c r="A643" s="215"/>
      <c r="B643" s="535">
        <v>39031</v>
      </c>
      <c r="C643" s="535"/>
      <c r="D643" s="219" t="s">
        <v>212</v>
      </c>
      <c r="E643" s="229">
        <v>0</v>
      </c>
      <c r="F643" s="536">
        <v>0</v>
      </c>
      <c r="G643" s="536"/>
      <c r="H643" s="229">
        <v>271.60000000000002</v>
      </c>
      <c r="I643" s="536">
        <v>24</v>
      </c>
      <c r="J643" s="536"/>
      <c r="K643" s="229">
        <v>233.8</v>
      </c>
      <c r="L643" s="230">
        <v>24</v>
      </c>
      <c r="M643" s="229">
        <v>0</v>
      </c>
      <c r="N643" s="230">
        <v>0</v>
      </c>
      <c r="O643" s="231">
        <v>505.4</v>
      </c>
      <c r="P643" s="222" t="s">
        <v>212</v>
      </c>
      <c r="Q643" s="229">
        <v>84</v>
      </c>
      <c r="R643" s="230">
        <v>24</v>
      </c>
      <c r="S643" s="229">
        <v>0</v>
      </c>
      <c r="T643" s="536">
        <v>0</v>
      </c>
      <c r="U643" s="536"/>
      <c r="V643" s="229">
        <v>84</v>
      </c>
      <c r="W643" s="222" t="s">
        <v>212</v>
      </c>
      <c r="X643" s="530">
        <v>589.4</v>
      </c>
      <c r="Y643" s="530"/>
      <c r="Z643" s="222" t="s">
        <v>212</v>
      </c>
      <c r="AA643" s="232">
        <v>0</v>
      </c>
      <c r="AB643" s="233">
        <v>265941</v>
      </c>
      <c r="AC643" s="215"/>
    </row>
    <row r="644" spans="1:29" ht="2.25" customHeight="1">
      <c r="A644" s="215"/>
      <c r="B644" s="529" t="s">
        <v>212</v>
      </c>
      <c r="C644" s="529"/>
      <c r="D644" s="219" t="s">
        <v>212</v>
      </c>
      <c r="E644" s="222" t="s">
        <v>212</v>
      </c>
      <c r="F644" s="531" t="s">
        <v>212</v>
      </c>
      <c r="G644" s="531"/>
      <c r="H644" s="222" t="s">
        <v>212</v>
      </c>
      <c r="I644" s="531" t="s">
        <v>212</v>
      </c>
      <c r="J644" s="531"/>
      <c r="K644" s="222" t="s">
        <v>212</v>
      </c>
      <c r="L644" s="222" t="s">
        <v>212</v>
      </c>
      <c r="M644" s="222" t="s">
        <v>212</v>
      </c>
      <c r="N644" s="222" t="s">
        <v>212</v>
      </c>
      <c r="O644" s="222" t="s">
        <v>212</v>
      </c>
      <c r="P644" s="222" t="s">
        <v>212</v>
      </c>
      <c r="Q644" s="222" t="s">
        <v>212</v>
      </c>
      <c r="R644" s="222" t="s">
        <v>212</v>
      </c>
      <c r="S644" s="222" t="s">
        <v>212</v>
      </c>
      <c r="T644" s="531" t="s">
        <v>212</v>
      </c>
      <c r="U644" s="531"/>
      <c r="V644" s="222" t="s">
        <v>212</v>
      </c>
      <c r="W644" s="222" t="s">
        <v>212</v>
      </c>
      <c r="X644" s="531" t="s">
        <v>212</v>
      </c>
      <c r="Y644" s="531"/>
      <c r="Z644" s="222" t="s">
        <v>212</v>
      </c>
      <c r="AA644" s="222" t="s">
        <v>212</v>
      </c>
      <c r="AB644" s="222" t="s">
        <v>212</v>
      </c>
      <c r="AC644" s="215"/>
    </row>
    <row r="645" spans="1:29" ht="13.5" customHeight="1">
      <c r="A645" s="215"/>
      <c r="B645" s="532">
        <v>39033</v>
      </c>
      <c r="C645" s="532"/>
      <c r="D645" s="219" t="s">
        <v>212</v>
      </c>
      <c r="E645" s="224">
        <v>138.6</v>
      </c>
      <c r="F645" s="533">
        <v>14</v>
      </c>
      <c r="G645" s="533"/>
      <c r="H645" s="224">
        <v>260.7</v>
      </c>
      <c r="I645" s="533">
        <v>24</v>
      </c>
      <c r="J645" s="533"/>
      <c r="K645" s="224">
        <v>96.5</v>
      </c>
      <c r="L645" s="225">
        <v>11</v>
      </c>
      <c r="M645" s="224">
        <v>0</v>
      </c>
      <c r="N645" s="225">
        <v>0</v>
      </c>
      <c r="O645" s="226">
        <v>495.8</v>
      </c>
      <c r="P645" s="222" t="s">
        <v>212</v>
      </c>
      <c r="Q645" s="224">
        <v>85</v>
      </c>
      <c r="R645" s="225">
        <v>24</v>
      </c>
      <c r="S645" s="224">
        <v>0</v>
      </c>
      <c r="T645" s="533">
        <v>0</v>
      </c>
      <c r="U645" s="533"/>
      <c r="V645" s="224">
        <v>85</v>
      </c>
      <c r="W645" s="222" t="s">
        <v>212</v>
      </c>
      <c r="X645" s="534">
        <v>580.79999999999995</v>
      </c>
      <c r="Y645" s="534"/>
      <c r="Z645" s="222" t="s">
        <v>212</v>
      </c>
      <c r="AA645" s="227">
        <v>4141400</v>
      </c>
      <c r="AB645" s="228">
        <v>117907</v>
      </c>
      <c r="AC645" s="215"/>
    </row>
    <row r="646" spans="1:29" ht="2.25" customHeight="1">
      <c r="A646" s="215"/>
      <c r="B646" s="529" t="s">
        <v>212</v>
      </c>
      <c r="C646" s="529"/>
      <c r="D646" s="219" t="s">
        <v>212</v>
      </c>
      <c r="E646" s="222" t="s">
        <v>212</v>
      </c>
      <c r="F646" s="531" t="s">
        <v>212</v>
      </c>
      <c r="G646" s="531"/>
      <c r="H646" s="222" t="s">
        <v>212</v>
      </c>
      <c r="I646" s="531" t="s">
        <v>212</v>
      </c>
      <c r="J646" s="531"/>
      <c r="K646" s="222" t="s">
        <v>212</v>
      </c>
      <c r="L646" s="222" t="s">
        <v>212</v>
      </c>
      <c r="M646" s="222" t="s">
        <v>212</v>
      </c>
      <c r="N646" s="222" t="s">
        <v>212</v>
      </c>
      <c r="O646" s="222" t="s">
        <v>212</v>
      </c>
      <c r="P646" s="222" t="s">
        <v>212</v>
      </c>
      <c r="Q646" s="222" t="s">
        <v>212</v>
      </c>
      <c r="R646" s="222" t="s">
        <v>212</v>
      </c>
      <c r="S646" s="222" t="s">
        <v>212</v>
      </c>
      <c r="T646" s="531" t="s">
        <v>212</v>
      </c>
      <c r="U646" s="531"/>
      <c r="V646" s="222" t="s">
        <v>212</v>
      </c>
      <c r="W646" s="222" t="s">
        <v>212</v>
      </c>
      <c r="X646" s="531" t="s">
        <v>212</v>
      </c>
      <c r="Y646" s="531"/>
      <c r="Z646" s="222" t="s">
        <v>212</v>
      </c>
      <c r="AA646" s="222" t="s">
        <v>212</v>
      </c>
      <c r="AB646" s="222" t="s">
        <v>212</v>
      </c>
      <c r="AC646" s="215"/>
    </row>
    <row r="647" spans="1:29" ht="13.5" customHeight="1">
      <c r="A647" s="215"/>
      <c r="B647" s="535">
        <v>39034</v>
      </c>
      <c r="C647" s="535"/>
      <c r="D647" s="219" t="s">
        <v>212</v>
      </c>
      <c r="E647" s="229">
        <v>192.5</v>
      </c>
      <c r="F647" s="536">
        <v>24</v>
      </c>
      <c r="G647" s="536"/>
      <c r="H647" s="229">
        <v>240.9</v>
      </c>
      <c r="I647" s="536">
        <v>24</v>
      </c>
      <c r="J647" s="536"/>
      <c r="K647" s="229">
        <v>0</v>
      </c>
      <c r="L647" s="230">
        <v>0</v>
      </c>
      <c r="M647" s="229">
        <v>0</v>
      </c>
      <c r="N647" s="230">
        <v>0</v>
      </c>
      <c r="O647" s="231">
        <v>433.4</v>
      </c>
      <c r="P647" s="222" t="s">
        <v>212</v>
      </c>
      <c r="Q647" s="229">
        <v>85</v>
      </c>
      <c r="R647" s="230">
        <v>24</v>
      </c>
      <c r="S647" s="229">
        <v>0</v>
      </c>
      <c r="T647" s="536">
        <v>0</v>
      </c>
      <c r="U647" s="536"/>
      <c r="V647" s="229">
        <v>85</v>
      </c>
      <c r="W647" s="222" t="s">
        <v>212</v>
      </c>
      <c r="X647" s="530">
        <v>518.4</v>
      </c>
      <c r="Y647" s="530"/>
      <c r="Z647" s="222" t="s">
        <v>212</v>
      </c>
      <c r="AA647" s="232">
        <v>6736900</v>
      </c>
      <c r="AB647" s="233">
        <v>0</v>
      </c>
      <c r="AC647" s="215"/>
    </row>
    <row r="648" spans="1:29" ht="2.25" customHeight="1">
      <c r="A648" s="215"/>
      <c r="B648" s="529" t="s">
        <v>212</v>
      </c>
      <c r="C648" s="529"/>
      <c r="D648" s="219" t="s">
        <v>212</v>
      </c>
      <c r="E648" s="222" t="s">
        <v>212</v>
      </c>
      <c r="F648" s="531" t="s">
        <v>212</v>
      </c>
      <c r="G648" s="531"/>
      <c r="H648" s="222" t="s">
        <v>212</v>
      </c>
      <c r="I648" s="531" t="s">
        <v>212</v>
      </c>
      <c r="J648" s="531"/>
      <c r="K648" s="222" t="s">
        <v>212</v>
      </c>
      <c r="L648" s="222" t="s">
        <v>212</v>
      </c>
      <c r="M648" s="222" t="s">
        <v>212</v>
      </c>
      <c r="N648" s="222" t="s">
        <v>212</v>
      </c>
      <c r="O648" s="222" t="s">
        <v>212</v>
      </c>
      <c r="P648" s="222" t="s">
        <v>212</v>
      </c>
      <c r="Q648" s="222" t="s">
        <v>212</v>
      </c>
      <c r="R648" s="222" t="s">
        <v>212</v>
      </c>
      <c r="S648" s="222" t="s">
        <v>212</v>
      </c>
      <c r="T648" s="531" t="s">
        <v>212</v>
      </c>
      <c r="U648" s="531"/>
      <c r="V648" s="222" t="s">
        <v>212</v>
      </c>
      <c r="W648" s="222" t="s">
        <v>212</v>
      </c>
      <c r="X648" s="531" t="s">
        <v>212</v>
      </c>
      <c r="Y648" s="531"/>
      <c r="Z648" s="222" t="s">
        <v>212</v>
      </c>
      <c r="AA648" s="222" t="s">
        <v>212</v>
      </c>
      <c r="AB648" s="222" t="s">
        <v>212</v>
      </c>
      <c r="AC648" s="215"/>
    </row>
    <row r="649" spans="1:29" ht="13.5" customHeight="1">
      <c r="A649" s="215"/>
      <c r="B649" s="532">
        <v>39035</v>
      </c>
      <c r="C649" s="532"/>
      <c r="D649" s="219" t="s">
        <v>212</v>
      </c>
      <c r="E649" s="224">
        <v>194</v>
      </c>
      <c r="F649" s="533">
        <v>24</v>
      </c>
      <c r="G649" s="533"/>
      <c r="H649" s="224">
        <v>232.9</v>
      </c>
      <c r="I649" s="533">
        <v>24</v>
      </c>
      <c r="J649" s="533"/>
      <c r="K649" s="224">
        <v>0</v>
      </c>
      <c r="L649" s="225">
        <v>0</v>
      </c>
      <c r="M649" s="224">
        <v>0</v>
      </c>
      <c r="N649" s="225">
        <v>0</v>
      </c>
      <c r="O649" s="226">
        <v>426.9</v>
      </c>
      <c r="P649" s="222" t="s">
        <v>212</v>
      </c>
      <c r="Q649" s="224">
        <v>79</v>
      </c>
      <c r="R649" s="225">
        <v>24</v>
      </c>
      <c r="S649" s="224">
        <v>0</v>
      </c>
      <c r="T649" s="533">
        <v>0</v>
      </c>
      <c r="U649" s="533"/>
      <c r="V649" s="224">
        <v>79</v>
      </c>
      <c r="W649" s="222" t="s">
        <v>212</v>
      </c>
      <c r="X649" s="534">
        <v>505.9</v>
      </c>
      <c r="Y649" s="534"/>
      <c r="Z649" s="222" t="s">
        <v>212</v>
      </c>
      <c r="AA649" s="227">
        <v>6638000</v>
      </c>
      <c r="AB649" s="228">
        <v>0</v>
      </c>
      <c r="AC649" s="215"/>
    </row>
    <row r="650" spans="1:29" ht="2.25" customHeight="1">
      <c r="A650" s="215"/>
      <c r="B650" s="529" t="s">
        <v>212</v>
      </c>
      <c r="C650" s="529"/>
      <c r="D650" s="219" t="s">
        <v>212</v>
      </c>
      <c r="E650" s="222" t="s">
        <v>212</v>
      </c>
      <c r="F650" s="531" t="s">
        <v>212</v>
      </c>
      <c r="G650" s="531"/>
      <c r="H650" s="222" t="s">
        <v>212</v>
      </c>
      <c r="I650" s="531" t="s">
        <v>212</v>
      </c>
      <c r="J650" s="531"/>
      <c r="K650" s="222" t="s">
        <v>212</v>
      </c>
      <c r="L650" s="222" t="s">
        <v>212</v>
      </c>
      <c r="M650" s="222" t="s">
        <v>212</v>
      </c>
      <c r="N650" s="222" t="s">
        <v>212</v>
      </c>
      <c r="O650" s="222" t="s">
        <v>212</v>
      </c>
      <c r="P650" s="222" t="s">
        <v>212</v>
      </c>
      <c r="Q650" s="222" t="s">
        <v>212</v>
      </c>
      <c r="R650" s="222" t="s">
        <v>212</v>
      </c>
      <c r="S650" s="222" t="s">
        <v>212</v>
      </c>
      <c r="T650" s="531" t="s">
        <v>212</v>
      </c>
      <c r="U650" s="531"/>
      <c r="V650" s="222" t="s">
        <v>212</v>
      </c>
      <c r="W650" s="222" t="s">
        <v>212</v>
      </c>
      <c r="X650" s="531" t="s">
        <v>212</v>
      </c>
      <c r="Y650" s="531"/>
      <c r="Z650" s="222" t="s">
        <v>212</v>
      </c>
      <c r="AA650" s="222" t="s">
        <v>212</v>
      </c>
      <c r="AB650" s="222" t="s">
        <v>212</v>
      </c>
      <c r="AC650" s="215"/>
    </row>
    <row r="651" spans="1:29" ht="13.5" customHeight="1">
      <c r="A651" s="215"/>
      <c r="B651" s="535">
        <v>39036</v>
      </c>
      <c r="C651" s="535"/>
      <c r="D651" s="219" t="s">
        <v>212</v>
      </c>
      <c r="E651" s="229">
        <v>200.3</v>
      </c>
      <c r="F651" s="536">
        <v>24</v>
      </c>
      <c r="G651" s="536"/>
      <c r="H651" s="229">
        <v>226.8</v>
      </c>
      <c r="I651" s="536">
        <v>24</v>
      </c>
      <c r="J651" s="536"/>
      <c r="K651" s="229">
        <v>0</v>
      </c>
      <c r="L651" s="230">
        <v>0</v>
      </c>
      <c r="M651" s="229">
        <v>0</v>
      </c>
      <c r="N651" s="230">
        <v>0</v>
      </c>
      <c r="O651" s="231">
        <v>427.1</v>
      </c>
      <c r="P651" s="222" t="s">
        <v>212</v>
      </c>
      <c r="Q651" s="229">
        <v>84</v>
      </c>
      <c r="R651" s="230">
        <v>24</v>
      </c>
      <c r="S651" s="229">
        <v>0</v>
      </c>
      <c r="T651" s="536">
        <v>0</v>
      </c>
      <c r="U651" s="536"/>
      <c r="V651" s="229">
        <v>84</v>
      </c>
      <c r="W651" s="222" t="s">
        <v>212</v>
      </c>
      <c r="X651" s="530">
        <v>511.1</v>
      </c>
      <c r="Y651" s="530"/>
      <c r="Z651" s="222" t="s">
        <v>212</v>
      </c>
      <c r="AA651" s="232">
        <v>6662800</v>
      </c>
      <c r="AB651" s="233">
        <v>0</v>
      </c>
      <c r="AC651" s="215"/>
    </row>
    <row r="652" spans="1:29" ht="2.25" customHeight="1">
      <c r="A652" s="215"/>
      <c r="B652" s="529" t="s">
        <v>212</v>
      </c>
      <c r="C652" s="529"/>
      <c r="D652" s="219" t="s">
        <v>212</v>
      </c>
      <c r="E652" s="222" t="s">
        <v>212</v>
      </c>
      <c r="F652" s="531" t="s">
        <v>212</v>
      </c>
      <c r="G652" s="531"/>
      <c r="H652" s="222" t="s">
        <v>212</v>
      </c>
      <c r="I652" s="531" t="s">
        <v>212</v>
      </c>
      <c r="J652" s="531"/>
      <c r="K652" s="222" t="s">
        <v>212</v>
      </c>
      <c r="L652" s="222" t="s">
        <v>212</v>
      </c>
      <c r="M652" s="222" t="s">
        <v>212</v>
      </c>
      <c r="N652" s="222" t="s">
        <v>212</v>
      </c>
      <c r="O652" s="222" t="s">
        <v>212</v>
      </c>
      <c r="P652" s="222" t="s">
        <v>212</v>
      </c>
      <c r="Q652" s="222" t="s">
        <v>212</v>
      </c>
      <c r="R652" s="222" t="s">
        <v>212</v>
      </c>
      <c r="S652" s="222" t="s">
        <v>212</v>
      </c>
      <c r="T652" s="531" t="s">
        <v>212</v>
      </c>
      <c r="U652" s="531"/>
      <c r="V652" s="222" t="s">
        <v>212</v>
      </c>
      <c r="W652" s="222" t="s">
        <v>212</v>
      </c>
      <c r="X652" s="531" t="s">
        <v>212</v>
      </c>
      <c r="Y652" s="531"/>
      <c r="Z652" s="222" t="s">
        <v>212</v>
      </c>
      <c r="AA652" s="222" t="s">
        <v>212</v>
      </c>
      <c r="AB652" s="222" t="s">
        <v>212</v>
      </c>
      <c r="AC652" s="215"/>
    </row>
    <row r="653" spans="1:29" ht="13.5" customHeight="1">
      <c r="A653" s="215"/>
      <c r="B653" s="532">
        <v>39037</v>
      </c>
      <c r="C653" s="532"/>
      <c r="D653" s="219" t="s">
        <v>212</v>
      </c>
      <c r="E653" s="224">
        <v>239.6</v>
      </c>
      <c r="F653" s="533">
        <v>24</v>
      </c>
      <c r="G653" s="533"/>
      <c r="H653" s="224">
        <v>260.10000000000002</v>
      </c>
      <c r="I653" s="533">
        <v>24</v>
      </c>
      <c r="J653" s="533"/>
      <c r="K653" s="224">
        <v>0</v>
      </c>
      <c r="L653" s="225">
        <v>0</v>
      </c>
      <c r="M653" s="224">
        <v>0</v>
      </c>
      <c r="N653" s="225">
        <v>0</v>
      </c>
      <c r="O653" s="226">
        <v>499.7</v>
      </c>
      <c r="P653" s="222" t="s">
        <v>212</v>
      </c>
      <c r="Q653" s="224">
        <v>87</v>
      </c>
      <c r="R653" s="225">
        <v>24</v>
      </c>
      <c r="S653" s="224">
        <v>0</v>
      </c>
      <c r="T653" s="533">
        <v>0</v>
      </c>
      <c r="U653" s="533"/>
      <c r="V653" s="224">
        <v>87</v>
      </c>
      <c r="W653" s="222" t="s">
        <v>212</v>
      </c>
      <c r="X653" s="534">
        <v>586.70000000000005</v>
      </c>
      <c r="Y653" s="534"/>
      <c r="Z653" s="222" t="s">
        <v>212</v>
      </c>
      <c r="AA653" s="227">
        <v>7231100</v>
      </c>
      <c r="AB653" s="228">
        <v>0</v>
      </c>
      <c r="AC653" s="215"/>
    </row>
    <row r="654" spans="1:29" ht="2.25" customHeight="1">
      <c r="A654" s="215"/>
      <c r="B654" s="529" t="s">
        <v>212</v>
      </c>
      <c r="C654" s="529"/>
      <c r="D654" s="219" t="s">
        <v>212</v>
      </c>
      <c r="E654" s="222" t="s">
        <v>212</v>
      </c>
      <c r="F654" s="531" t="s">
        <v>212</v>
      </c>
      <c r="G654" s="531"/>
      <c r="H654" s="222" t="s">
        <v>212</v>
      </c>
      <c r="I654" s="531" t="s">
        <v>212</v>
      </c>
      <c r="J654" s="531"/>
      <c r="K654" s="222" t="s">
        <v>212</v>
      </c>
      <c r="L654" s="222" t="s">
        <v>212</v>
      </c>
      <c r="M654" s="222" t="s">
        <v>212</v>
      </c>
      <c r="N654" s="222" t="s">
        <v>212</v>
      </c>
      <c r="O654" s="222" t="s">
        <v>212</v>
      </c>
      <c r="P654" s="222" t="s">
        <v>212</v>
      </c>
      <c r="Q654" s="222" t="s">
        <v>212</v>
      </c>
      <c r="R654" s="222" t="s">
        <v>212</v>
      </c>
      <c r="S654" s="222" t="s">
        <v>212</v>
      </c>
      <c r="T654" s="531" t="s">
        <v>212</v>
      </c>
      <c r="U654" s="531"/>
      <c r="V654" s="222" t="s">
        <v>212</v>
      </c>
      <c r="W654" s="222" t="s">
        <v>212</v>
      </c>
      <c r="X654" s="531" t="s">
        <v>212</v>
      </c>
      <c r="Y654" s="531"/>
      <c r="Z654" s="222" t="s">
        <v>212</v>
      </c>
      <c r="AA654" s="222" t="s">
        <v>212</v>
      </c>
      <c r="AB654" s="222" t="s">
        <v>212</v>
      </c>
      <c r="AC654" s="215"/>
    </row>
    <row r="655" spans="1:29" ht="13.5" customHeight="1">
      <c r="A655" s="215"/>
      <c r="B655" s="535">
        <v>39038</v>
      </c>
      <c r="C655" s="535"/>
      <c r="D655" s="219" t="s">
        <v>212</v>
      </c>
      <c r="E655" s="229">
        <v>253.6</v>
      </c>
      <c r="F655" s="536">
        <v>24</v>
      </c>
      <c r="G655" s="536"/>
      <c r="H655" s="229">
        <v>274.60000000000002</v>
      </c>
      <c r="I655" s="536">
        <v>24</v>
      </c>
      <c r="J655" s="536"/>
      <c r="K655" s="229">
        <v>0</v>
      </c>
      <c r="L655" s="230">
        <v>0</v>
      </c>
      <c r="M655" s="229">
        <v>0</v>
      </c>
      <c r="N655" s="230">
        <v>0</v>
      </c>
      <c r="O655" s="231">
        <v>528.20000000000005</v>
      </c>
      <c r="P655" s="222" t="s">
        <v>212</v>
      </c>
      <c r="Q655" s="229">
        <v>85</v>
      </c>
      <c r="R655" s="230">
        <v>24</v>
      </c>
      <c r="S655" s="229">
        <v>0</v>
      </c>
      <c r="T655" s="536">
        <v>0</v>
      </c>
      <c r="U655" s="536"/>
      <c r="V655" s="229">
        <v>85</v>
      </c>
      <c r="W655" s="222" t="s">
        <v>212</v>
      </c>
      <c r="X655" s="530">
        <v>613.20000000000005</v>
      </c>
      <c r="Y655" s="530"/>
      <c r="Z655" s="222" t="s">
        <v>212</v>
      </c>
      <c r="AA655" s="232">
        <v>7461300</v>
      </c>
      <c r="AB655" s="233">
        <v>0</v>
      </c>
      <c r="AC655" s="215"/>
    </row>
    <row r="656" spans="1:29" ht="2.25" customHeight="1">
      <c r="A656" s="215"/>
      <c r="B656" s="529" t="s">
        <v>212</v>
      </c>
      <c r="C656" s="529"/>
      <c r="D656" s="219" t="s">
        <v>212</v>
      </c>
      <c r="E656" s="222" t="s">
        <v>212</v>
      </c>
      <c r="F656" s="531" t="s">
        <v>212</v>
      </c>
      <c r="G656" s="531"/>
      <c r="H656" s="222" t="s">
        <v>212</v>
      </c>
      <c r="I656" s="531" t="s">
        <v>212</v>
      </c>
      <c r="J656" s="531"/>
      <c r="K656" s="222" t="s">
        <v>212</v>
      </c>
      <c r="L656" s="222" t="s">
        <v>212</v>
      </c>
      <c r="M656" s="222" t="s">
        <v>212</v>
      </c>
      <c r="N656" s="222" t="s">
        <v>212</v>
      </c>
      <c r="O656" s="222" t="s">
        <v>212</v>
      </c>
      <c r="P656" s="222" t="s">
        <v>212</v>
      </c>
      <c r="Q656" s="222" t="s">
        <v>212</v>
      </c>
      <c r="R656" s="222" t="s">
        <v>212</v>
      </c>
      <c r="S656" s="222" t="s">
        <v>212</v>
      </c>
      <c r="T656" s="531" t="s">
        <v>212</v>
      </c>
      <c r="U656" s="531"/>
      <c r="V656" s="222" t="s">
        <v>212</v>
      </c>
      <c r="W656" s="222" t="s">
        <v>212</v>
      </c>
      <c r="X656" s="531" t="s">
        <v>212</v>
      </c>
      <c r="Y656" s="531"/>
      <c r="Z656" s="222" t="s">
        <v>212</v>
      </c>
      <c r="AA656" s="222" t="s">
        <v>212</v>
      </c>
      <c r="AB656" s="222" t="s">
        <v>212</v>
      </c>
      <c r="AC656" s="215"/>
    </row>
    <row r="657" spans="1:29" ht="13.5" customHeight="1">
      <c r="A657" s="215"/>
      <c r="B657" s="532">
        <v>39039</v>
      </c>
      <c r="C657" s="532"/>
      <c r="D657" s="219" t="s">
        <v>212</v>
      </c>
      <c r="E657" s="224">
        <v>220</v>
      </c>
      <c r="F657" s="533">
        <v>24</v>
      </c>
      <c r="G657" s="533"/>
      <c r="H657" s="224">
        <v>271</v>
      </c>
      <c r="I657" s="533">
        <v>24</v>
      </c>
      <c r="J657" s="533"/>
      <c r="K657" s="224">
        <v>0</v>
      </c>
      <c r="L657" s="225">
        <v>0</v>
      </c>
      <c r="M657" s="224">
        <v>0</v>
      </c>
      <c r="N657" s="225">
        <v>0</v>
      </c>
      <c r="O657" s="226">
        <v>491</v>
      </c>
      <c r="P657" s="222" t="s">
        <v>212</v>
      </c>
      <c r="Q657" s="224">
        <v>88</v>
      </c>
      <c r="R657" s="225">
        <v>24</v>
      </c>
      <c r="S657" s="224">
        <v>0</v>
      </c>
      <c r="T657" s="533">
        <v>0</v>
      </c>
      <c r="U657" s="533"/>
      <c r="V657" s="224">
        <v>88</v>
      </c>
      <c r="W657" s="222" t="s">
        <v>212</v>
      </c>
      <c r="X657" s="534">
        <v>579</v>
      </c>
      <c r="Y657" s="534"/>
      <c r="Z657" s="222" t="s">
        <v>212</v>
      </c>
      <c r="AA657" s="227">
        <v>7177800</v>
      </c>
      <c r="AB657" s="228">
        <v>0</v>
      </c>
      <c r="AC657" s="215"/>
    </row>
    <row r="658" spans="1:29" ht="2.25" customHeight="1">
      <c r="A658" s="215"/>
      <c r="B658" s="529" t="s">
        <v>212</v>
      </c>
      <c r="C658" s="529"/>
      <c r="D658" s="219" t="s">
        <v>212</v>
      </c>
      <c r="E658" s="222" t="s">
        <v>212</v>
      </c>
      <c r="F658" s="531" t="s">
        <v>212</v>
      </c>
      <c r="G658" s="531"/>
      <c r="H658" s="222" t="s">
        <v>212</v>
      </c>
      <c r="I658" s="531" t="s">
        <v>212</v>
      </c>
      <c r="J658" s="531"/>
      <c r="K658" s="222" t="s">
        <v>212</v>
      </c>
      <c r="L658" s="222" t="s">
        <v>212</v>
      </c>
      <c r="M658" s="222" t="s">
        <v>212</v>
      </c>
      <c r="N658" s="222" t="s">
        <v>212</v>
      </c>
      <c r="O658" s="222" t="s">
        <v>212</v>
      </c>
      <c r="P658" s="222" t="s">
        <v>212</v>
      </c>
      <c r="Q658" s="222" t="s">
        <v>212</v>
      </c>
      <c r="R658" s="222" t="s">
        <v>212</v>
      </c>
      <c r="S658" s="222" t="s">
        <v>212</v>
      </c>
      <c r="T658" s="531" t="s">
        <v>212</v>
      </c>
      <c r="U658" s="531"/>
      <c r="V658" s="222" t="s">
        <v>212</v>
      </c>
      <c r="W658" s="222" t="s">
        <v>212</v>
      </c>
      <c r="X658" s="531" t="s">
        <v>212</v>
      </c>
      <c r="Y658" s="531"/>
      <c r="Z658" s="222" t="s">
        <v>212</v>
      </c>
      <c r="AA658" s="222" t="s">
        <v>212</v>
      </c>
      <c r="AB658" s="222" t="s">
        <v>212</v>
      </c>
      <c r="AC658" s="215"/>
    </row>
    <row r="659" spans="1:29" ht="13.5" customHeight="1">
      <c r="A659" s="215"/>
      <c r="B659" s="535">
        <v>39040</v>
      </c>
      <c r="C659" s="535"/>
      <c r="D659" s="219" t="s">
        <v>212</v>
      </c>
      <c r="E659" s="229">
        <v>211.5</v>
      </c>
      <c r="F659" s="536">
        <v>24</v>
      </c>
      <c r="G659" s="536"/>
      <c r="H659" s="229">
        <v>232.6</v>
      </c>
      <c r="I659" s="536">
        <v>24</v>
      </c>
      <c r="J659" s="536"/>
      <c r="K659" s="229">
        <v>5.9</v>
      </c>
      <c r="L659" s="230">
        <v>2</v>
      </c>
      <c r="M659" s="229">
        <v>0</v>
      </c>
      <c r="N659" s="230">
        <v>0</v>
      </c>
      <c r="O659" s="231">
        <v>450</v>
      </c>
      <c r="P659" s="222" t="s">
        <v>212</v>
      </c>
      <c r="Q659" s="229">
        <v>100</v>
      </c>
      <c r="R659" s="230">
        <v>24</v>
      </c>
      <c r="S659" s="229">
        <v>0</v>
      </c>
      <c r="T659" s="536">
        <v>0</v>
      </c>
      <c r="U659" s="536"/>
      <c r="V659" s="229">
        <v>100</v>
      </c>
      <c r="W659" s="222" t="s">
        <v>212</v>
      </c>
      <c r="X659" s="530">
        <v>550</v>
      </c>
      <c r="Y659" s="530"/>
      <c r="Z659" s="222" t="s">
        <v>212</v>
      </c>
      <c r="AA659" s="232">
        <v>6810600</v>
      </c>
      <c r="AB659" s="233">
        <v>6412</v>
      </c>
      <c r="AC659" s="215"/>
    </row>
    <row r="660" spans="1:29" ht="2.25" customHeight="1">
      <c r="A660" s="215"/>
      <c r="B660" s="529" t="s">
        <v>212</v>
      </c>
      <c r="C660" s="529"/>
      <c r="D660" s="219" t="s">
        <v>212</v>
      </c>
      <c r="E660" s="222" t="s">
        <v>212</v>
      </c>
      <c r="F660" s="531" t="s">
        <v>212</v>
      </c>
      <c r="G660" s="531"/>
      <c r="H660" s="222" t="s">
        <v>212</v>
      </c>
      <c r="I660" s="531" t="s">
        <v>212</v>
      </c>
      <c r="J660" s="531"/>
      <c r="K660" s="222" t="s">
        <v>212</v>
      </c>
      <c r="L660" s="222" t="s">
        <v>212</v>
      </c>
      <c r="M660" s="222" t="s">
        <v>212</v>
      </c>
      <c r="N660" s="222" t="s">
        <v>212</v>
      </c>
      <c r="O660" s="222" t="s">
        <v>212</v>
      </c>
      <c r="P660" s="222" t="s">
        <v>212</v>
      </c>
      <c r="Q660" s="222" t="s">
        <v>212</v>
      </c>
      <c r="R660" s="222" t="s">
        <v>212</v>
      </c>
      <c r="S660" s="222" t="s">
        <v>212</v>
      </c>
      <c r="T660" s="531" t="s">
        <v>212</v>
      </c>
      <c r="U660" s="531"/>
      <c r="V660" s="222" t="s">
        <v>212</v>
      </c>
      <c r="W660" s="222" t="s">
        <v>212</v>
      </c>
      <c r="X660" s="531" t="s">
        <v>212</v>
      </c>
      <c r="Y660" s="531"/>
      <c r="Z660" s="222" t="s">
        <v>212</v>
      </c>
      <c r="AA660" s="222" t="s">
        <v>212</v>
      </c>
      <c r="AB660" s="222" t="s">
        <v>212</v>
      </c>
      <c r="AC660" s="215"/>
    </row>
    <row r="661" spans="1:29" ht="13.5" customHeight="1">
      <c r="A661" s="215"/>
      <c r="B661" s="532">
        <v>39041</v>
      </c>
      <c r="C661" s="532"/>
      <c r="D661" s="219" t="s">
        <v>212</v>
      </c>
      <c r="E661" s="224">
        <v>227.5</v>
      </c>
      <c r="F661" s="533">
        <v>24</v>
      </c>
      <c r="G661" s="533"/>
      <c r="H661" s="224">
        <v>110.2</v>
      </c>
      <c r="I661" s="533">
        <v>19</v>
      </c>
      <c r="J661" s="533"/>
      <c r="K661" s="224">
        <v>59.1</v>
      </c>
      <c r="L661" s="225">
        <v>16</v>
      </c>
      <c r="M661" s="224">
        <v>0</v>
      </c>
      <c r="N661" s="225">
        <v>0</v>
      </c>
      <c r="O661" s="226">
        <v>396.8</v>
      </c>
      <c r="P661" s="222" t="s">
        <v>212</v>
      </c>
      <c r="Q661" s="224">
        <v>83</v>
      </c>
      <c r="R661" s="225">
        <v>24</v>
      </c>
      <c r="S661" s="224">
        <v>0</v>
      </c>
      <c r="T661" s="533">
        <v>0</v>
      </c>
      <c r="U661" s="533"/>
      <c r="V661" s="224">
        <v>83</v>
      </c>
      <c r="W661" s="222" t="s">
        <v>212</v>
      </c>
      <c r="X661" s="534">
        <v>479.8</v>
      </c>
      <c r="Y661" s="534"/>
      <c r="Z661" s="222" t="s">
        <v>212</v>
      </c>
      <c r="AA661" s="227">
        <v>4650890</v>
      </c>
      <c r="AB661" s="228">
        <v>9393</v>
      </c>
      <c r="AC661" s="215"/>
    </row>
    <row r="662" spans="1:29" ht="2.25" customHeight="1">
      <c r="A662" s="215"/>
      <c r="B662" s="529" t="s">
        <v>212</v>
      </c>
      <c r="C662" s="529"/>
      <c r="D662" s="219" t="s">
        <v>212</v>
      </c>
      <c r="E662" s="222" t="s">
        <v>212</v>
      </c>
      <c r="F662" s="531" t="s">
        <v>212</v>
      </c>
      <c r="G662" s="531"/>
      <c r="H662" s="222" t="s">
        <v>212</v>
      </c>
      <c r="I662" s="531" t="s">
        <v>212</v>
      </c>
      <c r="J662" s="531"/>
      <c r="K662" s="222" t="s">
        <v>212</v>
      </c>
      <c r="L662" s="222" t="s">
        <v>212</v>
      </c>
      <c r="M662" s="222" t="s">
        <v>212</v>
      </c>
      <c r="N662" s="222" t="s">
        <v>212</v>
      </c>
      <c r="O662" s="222" t="s">
        <v>212</v>
      </c>
      <c r="P662" s="222" t="s">
        <v>212</v>
      </c>
      <c r="Q662" s="222" t="s">
        <v>212</v>
      </c>
      <c r="R662" s="222" t="s">
        <v>212</v>
      </c>
      <c r="S662" s="222" t="s">
        <v>212</v>
      </c>
      <c r="T662" s="531" t="s">
        <v>212</v>
      </c>
      <c r="U662" s="531"/>
      <c r="V662" s="222" t="s">
        <v>212</v>
      </c>
      <c r="W662" s="222" t="s">
        <v>212</v>
      </c>
      <c r="X662" s="531" t="s">
        <v>212</v>
      </c>
      <c r="Y662" s="531"/>
      <c r="Z662" s="222" t="s">
        <v>212</v>
      </c>
      <c r="AA662" s="222" t="s">
        <v>212</v>
      </c>
      <c r="AB662" s="222" t="s">
        <v>212</v>
      </c>
      <c r="AC662" s="215"/>
    </row>
    <row r="663" spans="1:29" ht="13.5" customHeight="1">
      <c r="A663" s="215"/>
      <c r="B663" s="535">
        <v>39042</v>
      </c>
      <c r="C663" s="535"/>
      <c r="D663" s="219" t="s">
        <v>212</v>
      </c>
      <c r="E663" s="229">
        <v>274.5</v>
      </c>
      <c r="F663" s="536">
        <v>24</v>
      </c>
      <c r="G663" s="536"/>
      <c r="H663" s="229">
        <v>0</v>
      </c>
      <c r="I663" s="536">
        <v>0</v>
      </c>
      <c r="J663" s="536"/>
      <c r="K663" s="229">
        <v>195.5</v>
      </c>
      <c r="L663" s="230">
        <v>24</v>
      </c>
      <c r="M663" s="229">
        <v>0</v>
      </c>
      <c r="N663" s="230">
        <v>0</v>
      </c>
      <c r="O663" s="231">
        <v>470</v>
      </c>
      <c r="P663" s="222" t="s">
        <v>212</v>
      </c>
      <c r="Q663" s="229">
        <v>87</v>
      </c>
      <c r="R663" s="230">
        <v>24</v>
      </c>
      <c r="S663" s="229">
        <v>0</v>
      </c>
      <c r="T663" s="536">
        <v>0</v>
      </c>
      <c r="U663" s="536"/>
      <c r="V663" s="229">
        <v>87</v>
      </c>
      <c r="W663" s="222" t="s">
        <v>212</v>
      </c>
      <c r="X663" s="530">
        <v>557</v>
      </c>
      <c r="Y663" s="530"/>
      <c r="Z663" s="222" t="s">
        <v>212</v>
      </c>
      <c r="AA663" s="232">
        <v>3887100</v>
      </c>
      <c r="AB663" s="233">
        <v>121107</v>
      </c>
      <c r="AC663" s="215"/>
    </row>
    <row r="664" spans="1:29" ht="2.25" customHeight="1">
      <c r="A664" s="215"/>
      <c r="B664" s="529" t="s">
        <v>212</v>
      </c>
      <c r="C664" s="529"/>
      <c r="D664" s="219" t="s">
        <v>212</v>
      </c>
      <c r="E664" s="222" t="s">
        <v>212</v>
      </c>
      <c r="F664" s="531" t="s">
        <v>212</v>
      </c>
      <c r="G664" s="531"/>
      <c r="H664" s="222" t="s">
        <v>212</v>
      </c>
      <c r="I664" s="531" t="s">
        <v>212</v>
      </c>
      <c r="J664" s="531"/>
      <c r="K664" s="222" t="s">
        <v>212</v>
      </c>
      <c r="L664" s="222" t="s">
        <v>212</v>
      </c>
      <c r="M664" s="222" t="s">
        <v>212</v>
      </c>
      <c r="N664" s="222" t="s">
        <v>212</v>
      </c>
      <c r="O664" s="222" t="s">
        <v>212</v>
      </c>
      <c r="P664" s="222" t="s">
        <v>212</v>
      </c>
      <c r="Q664" s="222" t="s">
        <v>212</v>
      </c>
      <c r="R664" s="222" t="s">
        <v>212</v>
      </c>
      <c r="S664" s="222" t="s">
        <v>212</v>
      </c>
      <c r="T664" s="531" t="s">
        <v>212</v>
      </c>
      <c r="U664" s="531"/>
      <c r="V664" s="222" t="s">
        <v>212</v>
      </c>
      <c r="W664" s="222" t="s">
        <v>212</v>
      </c>
      <c r="X664" s="531" t="s">
        <v>212</v>
      </c>
      <c r="Y664" s="531"/>
      <c r="Z664" s="222" t="s">
        <v>212</v>
      </c>
      <c r="AA664" s="222" t="s">
        <v>212</v>
      </c>
      <c r="AB664" s="222" t="s">
        <v>212</v>
      </c>
      <c r="AC664" s="215"/>
    </row>
    <row r="665" spans="1:29" ht="13.5" customHeight="1">
      <c r="A665" s="215"/>
      <c r="B665" s="532">
        <v>39043</v>
      </c>
      <c r="C665" s="532"/>
      <c r="D665" s="219" t="s">
        <v>212</v>
      </c>
      <c r="E665" s="224">
        <v>309.60000000000002</v>
      </c>
      <c r="F665" s="533">
        <v>24</v>
      </c>
      <c r="G665" s="533"/>
      <c r="H665" s="224">
        <v>0</v>
      </c>
      <c r="I665" s="533">
        <v>0</v>
      </c>
      <c r="J665" s="533"/>
      <c r="K665" s="224">
        <v>181.9</v>
      </c>
      <c r="L665" s="225">
        <v>24</v>
      </c>
      <c r="M665" s="224">
        <v>0</v>
      </c>
      <c r="N665" s="225">
        <v>0</v>
      </c>
      <c r="O665" s="226">
        <v>491.5</v>
      </c>
      <c r="P665" s="222" t="s">
        <v>212</v>
      </c>
      <c r="Q665" s="224">
        <v>84</v>
      </c>
      <c r="R665" s="225">
        <v>24</v>
      </c>
      <c r="S665" s="224">
        <v>0</v>
      </c>
      <c r="T665" s="533">
        <v>0</v>
      </c>
      <c r="U665" s="533"/>
      <c r="V665" s="224">
        <v>84</v>
      </c>
      <c r="W665" s="222" t="s">
        <v>212</v>
      </c>
      <c r="X665" s="534">
        <v>575.5</v>
      </c>
      <c r="Y665" s="534"/>
      <c r="Z665" s="222" t="s">
        <v>212</v>
      </c>
      <c r="AA665" s="227">
        <v>4177100</v>
      </c>
      <c r="AB665" s="228">
        <v>117553</v>
      </c>
      <c r="AC665" s="215"/>
    </row>
    <row r="666" spans="1:29" ht="2.25" customHeight="1">
      <c r="A666" s="215"/>
      <c r="B666" s="529" t="s">
        <v>212</v>
      </c>
      <c r="C666" s="529"/>
      <c r="D666" s="219" t="s">
        <v>212</v>
      </c>
      <c r="E666" s="222" t="s">
        <v>212</v>
      </c>
      <c r="F666" s="531" t="s">
        <v>212</v>
      </c>
      <c r="G666" s="531"/>
      <c r="H666" s="222" t="s">
        <v>212</v>
      </c>
      <c r="I666" s="531" t="s">
        <v>212</v>
      </c>
      <c r="J666" s="531"/>
      <c r="K666" s="222" t="s">
        <v>212</v>
      </c>
      <c r="L666" s="222" t="s">
        <v>212</v>
      </c>
      <c r="M666" s="222" t="s">
        <v>212</v>
      </c>
      <c r="N666" s="222" t="s">
        <v>212</v>
      </c>
      <c r="O666" s="222" t="s">
        <v>212</v>
      </c>
      <c r="P666" s="222" t="s">
        <v>212</v>
      </c>
      <c r="Q666" s="222" t="s">
        <v>212</v>
      </c>
      <c r="R666" s="222" t="s">
        <v>212</v>
      </c>
      <c r="S666" s="222" t="s">
        <v>212</v>
      </c>
      <c r="T666" s="531" t="s">
        <v>212</v>
      </c>
      <c r="U666" s="531"/>
      <c r="V666" s="222" t="s">
        <v>212</v>
      </c>
      <c r="W666" s="222" t="s">
        <v>212</v>
      </c>
      <c r="X666" s="531" t="s">
        <v>212</v>
      </c>
      <c r="Y666" s="531"/>
      <c r="Z666" s="222" t="s">
        <v>212</v>
      </c>
      <c r="AA666" s="222" t="s">
        <v>212</v>
      </c>
      <c r="AB666" s="222" t="s">
        <v>212</v>
      </c>
      <c r="AC666" s="215"/>
    </row>
    <row r="667" spans="1:29" ht="13.5" customHeight="1">
      <c r="A667" s="215"/>
      <c r="B667" s="535">
        <v>39044</v>
      </c>
      <c r="C667" s="535"/>
      <c r="D667" s="219" t="s">
        <v>212</v>
      </c>
      <c r="E667" s="229">
        <v>313.3</v>
      </c>
      <c r="F667" s="536">
        <v>24</v>
      </c>
      <c r="G667" s="536"/>
      <c r="H667" s="229">
        <v>0</v>
      </c>
      <c r="I667" s="536">
        <v>0</v>
      </c>
      <c r="J667" s="536"/>
      <c r="K667" s="229">
        <v>222.4</v>
      </c>
      <c r="L667" s="230">
        <v>24</v>
      </c>
      <c r="M667" s="229">
        <v>0</v>
      </c>
      <c r="N667" s="230">
        <v>0</v>
      </c>
      <c r="O667" s="231">
        <v>535.70000000000005</v>
      </c>
      <c r="P667" s="222" t="s">
        <v>212</v>
      </c>
      <c r="Q667" s="229">
        <v>84</v>
      </c>
      <c r="R667" s="230">
        <v>24</v>
      </c>
      <c r="S667" s="229">
        <v>0</v>
      </c>
      <c r="T667" s="536">
        <v>0</v>
      </c>
      <c r="U667" s="536"/>
      <c r="V667" s="229">
        <v>84</v>
      </c>
      <c r="W667" s="222" t="s">
        <v>212</v>
      </c>
      <c r="X667" s="530">
        <v>619.70000000000005</v>
      </c>
      <c r="Y667" s="530"/>
      <c r="Z667" s="222" t="s">
        <v>212</v>
      </c>
      <c r="AA667" s="232">
        <v>4207800</v>
      </c>
      <c r="AB667" s="233">
        <v>129140</v>
      </c>
      <c r="AC667" s="215"/>
    </row>
    <row r="668" spans="1:29" ht="2.25" customHeight="1">
      <c r="A668" s="215"/>
      <c r="B668" s="529" t="s">
        <v>212</v>
      </c>
      <c r="C668" s="529"/>
      <c r="D668" s="219" t="s">
        <v>212</v>
      </c>
      <c r="E668" s="222" t="s">
        <v>212</v>
      </c>
      <c r="F668" s="531" t="s">
        <v>212</v>
      </c>
      <c r="G668" s="531"/>
      <c r="H668" s="222" t="s">
        <v>212</v>
      </c>
      <c r="I668" s="531" t="s">
        <v>212</v>
      </c>
      <c r="J668" s="531"/>
      <c r="K668" s="222" t="s">
        <v>212</v>
      </c>
      <c r="L668" s="222" t="s">
        <v>212</v>
      </c>
      <c r="M668" s="222" t="s">
        <v>212</v>
      </c>
      <c r="N668" s="222" t="s">
        <v>212</v>
      </c>
      <c r="O668" s="222" t="s">
        <v>212</v>
      </c>
      <c r="P668" s="222" t="s">
        <v>212</v>
      </c>
      <c r="Q668" s="222" t="s">
        <v>212</v>
      </c>
      <c r="R668" s="222" t="s">
        <v>212</v>
      </c>
      <c r="S668" s="222" t="s">
        <v>212</v>
      </c>
      <c r="T668" s="531" t="s">
        <v>212</v>
      </c>
      <c r="U668" s="531"/>
      <c r="V668" s="222" t="s">
        <v>212</v>
      </c>
      <c r="W668" s="222" t="s">
        <v>212</v>
      </c>
      <c r="X668" s="531" t="s">
        <v>212</v>
      </c>
      <c r="Y668" s="531"/>
      <c r="Z668" s="222" t="s">
        <v>212</v>
      </c>
      <c r="AA668" s="222" t="s">
        <v>212</v>
      </c>
      <c r="AB668" s="222" t="s">
        <v>212</v>
      </c>
      <c r="AC668" s="215"/>
    </row>
    <row r="669" spans="1:29" ht="13.5" customHeight="1">
      <c r="A669" s="215"/>
      <c r="B669" s="532">
        <v>39045</v>
      </c>
      <c r="C669" s="532"/>
      <c r="D669" s="219" t="s">
        <v>212</v>
      </c>
      <c r="E669" s="224">
        <v>296.10000000000002</v>
      </c>
      <c r="F669" s="533">
        <v>24</v>
      </c>
      <c r="G669" s="533"/>
      <c r="H669" s="224">
        <v>0</v>
      </c>
      <c r="I669" s="533">
        <v>0</v>
      </c>
      <c r="J669" s="533"/>
      <c r="K669" s="224">
        <v>224.2</v>
      </c>
      <c r="L669" s="225">
        <v>24</v>
      </c>
      <c r="M669" s="224">
        <v>0</v>
      </c>
      <c r="N669" s="225">
        <v>0</v>
      </c>
      <c r="O669" s="226">
        <v>520.29999999999995</v>
      </c>
      <c r="P669" s="222" t="s">
        <v>212</v>
      </c>
      <c r="Q669" s="224">
        <v>117</v>
      </c>
      <c r="R669" s="225">
        <v>24</v>
      </c>
      <c r="S669" s="224">
        <v>0</v>
      </c>
      <c r="T669" s="533">
        <v>0</v>
      </c>
      <c r="U669" s="533"/>
      <c r="V669" s="224">
        <v>117</v>
      </c>
      <c r="W669" s="222" t="s">
        <v>212</v>
      </c>
      <c r="X669" s="534">
        <v>637.29999999999995</v>
      </c>
      <c r="Y669" s="534"/>
      <c r="Z669" s="222" t="s">
        <v>212</v>
      </c>
      <c r="AA669" s="227">
        <v>4041900</v>
      </c>
      <c r="AB669" s="228">
        <v>129169</v>
      </c>
      <c r="AC669" s="215"/>
    </row>
    <row r="670" spans="1:29" ht="2.25" customHeight="1">
      <c r="A670" s="215"/>
      <c r="B670" s="529" t="s">
        <v>212</v>
      </c>
      <c r="C670" s="529"/>
      <c r="D670" s="219" t="s">
        <v>212</v>
      </c>
      <c r="E670" s="222" t="s">
        <v>212</v>
      </c>
      <c r="F670" s="531" t="s">
        <v>212</v>
      </c>
      <c r="G670" s="531"/>
      <c r="H670" s="222" t="s">
        <v>212</v>
      </c>
      <c r="I670" s="531" t="s">
        <v>212</v>
      </c>
      <c r="J670" s="531"/>
      <c r="K670" s="222" t="s">
        <v>212</v>
      </c>
      <c r="L670" s="222" t="s">
        <v>212</v>
      </c>
      <c r="M670" s="222" t="s">
        <v>212</v>
      </c>
      <c r="N670" s="222" t="s">
        <v>212</v>
      </c>
      <c r="O670" s="222" t="s">
        <v>212</v>
      </c>
      <c r="P670" s="222" t="s">
        <v>212</v>
      </c>
      <c r="Q670" s="222" t="s">
        <v>212</v>
      </c>
      <c r="R670" s="222" t="s">
        <v>212</v>
      </c>
      <c r="S670" s="222" t="s">
        <v>212</v>
      </c>
      <c r="T670" s="531" t="s">
        <v>212</v>
      </c>
      <c r="U670" s="531"/>
      <c r="V670" s="222" t="s">
        <v>212</v>
      </c>
      <c r="W670" s="222" t="s">
        <v>212</v>
      </c>
      <c r="X670" s="531" t="s">
        <v>212</v>
      </c>
      <c r="Y670" s="531"/>
      <c r="Z670" s="222" t="s">
        <v>212</v>
      </c>
      <c r="AA670" s="222" t="s">
        <v>212</v>
      </c>
      <c r="AB670" s="222" t="s">
        <v>212</v>
      </c>
      <c r="AC670" s="215"/>
    </row>
    <row r="671" spans="1:29" ht="13.5" customHeight="1">
      <c r="A671" s="215"/>
      <c r="B671" s="535">
        <v>39046</v>
      </c>
      <c r="C671" s="535"/>
      <c r="D671" s="219" t="s">
        <v>212</v>
      </c>
      <c r="E671" s="229">
        <v>247.5</v>
      </c>
      <c r="F671" s="536">
        <v>24</v>
      </c>
      <c r="G671" s="536"/>
      <c r="H671" s="229">
        <v>0</v>
      </c>
      <c r="I671" s="536">
        <v>2</v>
      </c>
      <c r="J671" s="536"/>
      <c r="K671" s="229">
        <v>172.2</v>
      </c>
      <c r="L671" s="230">
        <v>24</v>
      </c>
      <c r="M671" s="229">
        <v>0</v>
      </c>
      <c r="N671" s="230">
        <v>0</v>
      </c>
      <c r="O671" s="231">
        <v>419.7</v>
      </c>
      <c r="P671" s="222" t="s">
        <v>212</v>
      </c>
      <c r="Q671" s="229">
        <v>113</v>
      </c>
      <c r="R671" s="230">
        <v>24</v>
      </c>
      <c r="S671" s="229">
        <v>0</v>
      </c>
      <c r="T671" s="536">
        <v>0</v>
      </c>
      <c r="U671" s="536"/>
      <c r="V671" s="229">
        <v>113</v>
      </c>
      <c r="W671" s="222" t="s">
        <v>212</v>
      </c>
      <c r="X671" s="530">
        <v>532.70000000000005</v>
      </c>
      <c r="Y671" s="530"/>
      <c r="Z671" s="222" t="s">
        <v>212</v>
      </c>
      <c r="AA671" s="232">
        <v>3830000</v>
      </c>
      <c r="AB671" s="233">
        <v>115132</v>
      </c>
      <c r="AC671" s="215"/>
    </row>
    <row r="672" spans="1:29" ht="2.25" customHeight="1">
      <c r="A672" s="215"/>
      <c r="B672" s="529" t="s">
        <v>212</v>
      </c>
      <c r="C672" s="529"/>
      <c r="D672" s="219" t="s">
        <v>212</v>
      </c>
      <c r="E672" s="222" t="s">
        <v>212</v>
      </c>
      <c r="F672" s="531" t="s">
        <v>212</v>
      </c>
      <c r="G672" s="531"/>
      <c r="H672" s="222" t="s">
        <v>212</v>
      </c>
      <c r="I672" s="531" t="s">
        <v>212</v>
      </c>
      <c r="J672" s="531"/>
      <c r="K672" s="222" t="s">
        <v>212</v>
      </c>
      <c r="L672" s="222" t="s">
        <v>212</v>
      </c>
      <c r="M672" s="222" t="s">
        <v>212</v>
      </c>
      <c r="N672" s="222" t="s">
        <v>212</v>
      </c>
      <c r="O672" s="222" t="s">
        <v>212</v>
      </c>
      <c r="P672" s="222" t="s">
        <v>212</v>
      </c>
      <c r="Q672" s="222" t="s">
        <v>212</v>
      </c>
      <c r="R672" s="222" t="s">
        <v>212</v>
      </c>
      <c r="S672" s="222" t="s">
        <v>212</v>
      </c>
      <c r="T672" s="531" t="s">
        <v>212</v>
      </c>
      <c r="U672" s="531"/>
      <c r="V672" s="222" t="s">
        <v>212</v>
      </c>
      <c r="W672" s="222" t="s">
        <v>212</v>
      </c>
      <c r="X672" s="531" t="s">
        <v>212</v>
      </c>
      <c r="Y672" s="531"/>
      <c r="Z672" s="222" t="s">
        <v>212</v>
      </c>
      <c r="AA672" s="222" t="s">
        <v>212</v>
      </c>
      <c r="AB672" s="222" t="s">
        <v>212</v>
      </c>
      <c r="AC672" s="215"/>
    </row>
    <row r="673" spans="1:29" ht="13.5" customHeight="1">
      <c r="A673" s="215"/>
      <c r="B673" s="532">
        <v>39047</v>
      </c>
      <c r="C673" s="532"/>
      <c r="D673" s="219" t="s">
        <v>212</v>
      </c>
      <c r="E673" s="224">
        <v>256.2</v>
      </c>
      <c r="F673" s="533">
        <v>24</v>
      </c>
      <c r="G673" s="533"/>
      <c r="H673" s="224">
        <v>0</v>
      </c>
      <c r="I673" s="533">
        <v>0</v>
      </c>
      <c r="J673" s="533"/>
      <c r="K673" s="224">
        <v>201.1</v>
      </c>
      <c r="L673" s="225">
        <v>24</v>
      </c>
      <c r="M673" s="224">
        <v>0</v>
      </c>
      <c r="N673" s="225">
        <v>0</v>
      </c>
      <c r="O673" s="226">
        <v>457.3</v>
      </c>
      <c r="P673" s="222" t="s">
        <v>212</v>
      </c>
      <c r="Q673" s="224">
        <v>83</v>
      </c>
      <c r="R673" s="225">
        <v>24</v>
      </c>
      <c r="S673" s="224">
        <v>0</v>
      </c>
      <c r="T673" s="533">
        <v>0</v>
      </c>
      <c r="U673" s="533"/>
      <c r="V673" s="224">
        <v>83</v>
      </c>
      <c r="W673" s="222" t="s">
        <v>212</v>
      </c>
      <c r="X673" s="534">
        <v>540.29999999999995</v>
      </c>
      <c r="Y673" s="534"/>
      <c r="Z673" s="222" t="s">
        <v>212</v>
      </c>
      <c r="AA673" s="227">
        <v>3726500</v>
      </c>
      <c r="AB673" s="228">
        <v>121900</v>
      </c>
      <c r="AC673" s="215"/>
    </row>
    <row r="674" spans="1:29" ht="2.25" customHeight="1">
      <c r="A674" s="215"/>
      <c r="B674" s="529" t="s">
        <v>212</v>
      </c>
      <c r="C674" s="529"/>
      <c r="D674" s="219" t="s">
        <v>212</v>
      </c>
      <c r="E674" s="222" t="s">
        <v>212</v>
      </c>
      <c r="F674" s="531" t="s">
        <v>212</v>
      </c>
      <c r="G674" s="531"/>
      <c r="H674" s="222" t="s">
        <v>212</v>
      </c>
      <c r="I674" s="531" t="s">
        <v>212</v>
      </c>
      <c r="J674" s="531"/>
      <c r="K674" s="222" t="s">
        <v>212</v>
      </c>
      <c r="L674" s="222" t="s">
        <v>212</v>
      </c>
      <c r="M674" s="222" t="s">
        <v>212</v>
      </c>
      <c r="N674" s="222" t="s">
        <v>212</v>
      </c>
      <c r="O674" s="222" t="s">
        <v>212</v>
      </c>
      <c r="P674" s="222" t="s">
        <v>212</v>
      </c>
      <c r="Q674" s="222" t="s">
        <v>212</v>
      </c>
      <c r="R674" s="222" t="s">
        <v>212</v>
      </c>
      <c r="S674" s="222" t="s">
        <v>212</v>
      </c>
      <c r="T674" s="531" t="s">
        <v>212</v>
      </c>
      <c r="U674" s="531"/>
      <c r="V674" s="222" t="s">
        <v>212</v>
      </c>
      <c r="W674" s="222" t="s">
        <v>212</v>
      </c>
      <c r="X674" s="531" t="s">
        <v>212</v>
      </c>
      <c r="Y674" s="531"/>
      <c r="Z674" s="222" t="s">
        <v>212</v>
      </c>
      <c r="AA674" s="222" t="s">
        <v>212</v>
      </c>
      <c r="AB674" s="222" t="s">
        <v>212</v>
      </c>
      <c r="AC674" s="215"/>
    </row>
    <row r="675" spans="1:29" ht="13.5" customHeight="1">
      <c r="A675" s="215"/>
      <c r="B675" s="535">
        <v>39048</v>
      </c>
      <c r="C675" s="535"/>
      <c r="D675" s="219" t="s">
        <v>212</v>
      </c>
      <c r="E675" s="229">
        <v>279.89999999999998</v>
      </c>
      <c r="F675" s="536">
        <v>24</v>
      </c>
      <c r="G675" s="536"/>
      <c r="H675" s="229">
        <v>0</v>
      </c>
      <c r="I675" s="536">
        <v>0</v>
      </c>
      <c r="J675" s="536"/>
      <c r="K675" s="229">
        <v>217.6</v>
      </c>
      <c r="L675" s="230">
        <v>24</v>
      </c>
      <c r="M675" s="229">
        <v>0</v>
      </c>
      <c r="N675" s="230">
        <v>0</v>
      </c>
      <c r="O675" s="231">
        <v>497.5</v>
      </c>
      <c r="P675" s="222" t="s">
        <v>212</v>
      </c>
      <c r="Q675" s="229">
        <v>91</v>
      </c>
      <c r="R675" s="230">
        <v>24</v>
      </c>
      <c r="S675" s="229">
        <v>0</v>
      </c>
      <c r="T675" s="536">
        <v>0</v>
      </c>
      <c r="U675" s="536"/>
      <c r="V675" s="229">
        <v>91</v>
      </c>
      <c r="W675" s="222" t="s">
        <v>212</v>
      </c>
      <c r="X675" s="530">
        <v>588.5</v>
      </c>
      <c r="Y675" s="530"/>
      <c r="Z675" s="222" t="s">
        <v>212</v>
      </c>
      <c r="AA675" s="232">
        <v>3927000</v>
      </c>
      <c r="AB675" s="233">
        <v>124987</v>
      </c>
      <c r="AC675" s="215"/>
    </row>
    <row r="676" spans="1:29" ht="2.25" customHeight="1">
      <c r="A676" s="215"/>
      <c r="B676" s="529" t="s">
        <v>212</v>
      </c>
      <c r="C676" s="529"/>
      <c r="D676" s="219" t="s">
        <v>212</v>
      </c>
      <c r="E676" s="222" t="s">
        <v>212</v>
      </c>
      <c r="F676" s="531" t="s">
        <v>212</v>
      </c>
      <c r="G676" s="531"/>
      <c r="H676" s="222" t="s">
        <v>212</v>
      </c>
      <c r="I676" s="531" t="s">
        <v>212</v>
      </c>
      <c r="J676" s="531"/>
      <c r="K676" s="222" t="s">
        <v>212</v>
      </c>
      <c r="L676" s="222" t="s">
        <v>212</v>
      </c>
      <c r="M676" s="222" t="s">
        <v>212</v>
      </c>
      <c r="N676" s="222" t="s">
        <v>212</v>
      </c>
      <c r="O676" s="222" t="s">
        <v>212</v>
      </c>
      <c r="P676" s="222" t="s">
        <v>212</v>
      </c>
      <c r="Q676" s="222" t="s">
        <v>212</v>
      </c>
      <c r="R676" s="222" t="s">
        <v>212</v>
      </c>
      <c r="S676" s="222" t="s">
        <v>212</v>
      </c>
      <c r="T676" s="531" t="s">
        <v>212</v>
      </c>
      <c r="U676" s="531"/>
      <c r="V676" s="222" t="s">
        <v>212</v>
      </c>
      <c r="W676" s="222" t="s">
        <v>212</v>
      </c>
      <c r="X676" s="531" t="s">
        <v>212</v>
      </c>
      <c r="Y676" s="531"/>
      <c r="Z676" s="222" t="s">
        <v>212</v>
      </c>
      <c r="AA676" s="222" t="s">
        <v>212</v>
      </c>
      <c r="AB676" s="222" t="s">
        <v>212</v>
      </c>
      <c r="AC676" s="215"/>
    </row>
    <row r="677" spans="1:29" ht="13.5" customHeight="1">
      <c r="A677" s="215"/>
      <c r="B677" s="532">
        <v>39049</v>
      </c>
      <c r="C677" s="532"/>
      <c r="D677" s="219" t="s">
        <v>212</v>
      </c>
      <c r="E677" s="224">
        <v>278.89999999999998</v>
      </c>
      <c r="F677" s="533">
        <v>24</v>
      </c>
      <c r="G677" s="533"/>
      <c r="H677" s="224">
        <v>0</v>
      </c>
      <c r="I677" s="533">
        <v>0</v>
      </c>
      <c r="J677" s="533"/>
      <c r="K677" s="224">
        <v>194.9</v>
      </c>
      <c r="L677" s="225">
        <v>24</v>
      </c>
      <c r="M677" s="224">
        <v>0</v>
      </c>
      <c r="N677" s="225">
        <v>0</v>
      </c>
      <c r="O677" s="226">
        <v>473.8</v>
      </c>
      <c r="P677" s="222" t="s">
        <v>212</v>
      </c>
      <c r="Q677" s="224">
        <v>95</v>
      </c>
      <c r="R677" s="225">
        <v>24</v>
      </c>
      <c r="S677" s="224">
        <v>0</v>
      </c>
      <c r="T677" s="533">
        <v>0</v>
      </c>
      <c r="U677" s="533"/>
      <c r="V677" s="224">
        <v>95</v>
      </c>
      <c r="W677" s="222" t="s">
        <v>212</v>
      </c>
      <c r="X677" s="534">
        <v>568.79999999999995</v>
      </c>
      <c r="Y677" s="534"/>
      <c r="Z677" s="222" t="s">
        <v>212</v>
      </c>
      <c r="AA677" s="227">
        <v>3939800</v>
      </c>
      <c r="AB677" s="228">
        <v>121310</v>
      </c>
      <c r="AC677" s="215"/>
    </row>
    <row r="678" spans="1:29" ht="2.25" customHeight="1">
      <c r="A678" s="215"/>
      <c r="B678" s="529" t="s">
        <v>212</v>
      </c>
      <c r="C678" s="529"/>
      <c r="D678" s="219" t="s">
        <v>212</v>
      </c>
      <c r="E678" s="222" t="s">
        <v>212</v>
      </c>
      <c r="F678" s="531" t="s">
        <v>212</v>
      </c>
      <c r="G678" s="531"/>
      <c r="H678" s="222" t="s">
        <v>212</v>
      </c>
      <c r="I678" s="531" t="s">
        <v>212</v>
      </c>
      <c r="J678" s="531"/>
      <c r="K678" s="222" t="s">
        <v>212</v>
      </c>
      <c r="L678" s="222" t="s">
        <v>212</v>
      </c>
      <c r="M678" s="222" t="s">
        <v>212</v>
      </c>
      <c r="N678" s="222" t="s">
        <v>212</v>
      </c>
      <c r="O678" s="222" t="s">
        <v>212</v>
      </c>
      <c r="P678" s="222" t="s">
        <v>212</v>
      </c>
      <c r="Q678" s="222" t="s">
        <v>212</v>
      </c>
      <c r="R678" s="222" t="s">
        <v>212</v>
      </c>
      <c r="S678" s="222" t="s">
        <v>212</v>
      </c>
      <c r="T678" s="531" t="s">
        <v>212</v>
      </c>
      <c r="U678" s="531"/>
      <c r="V678" s="222" t="s">
        <v>212</v>
      </c>
      <c r="W678" s="222" t="s">
        <v>212</v>
      </c>
      <c r="X678" s="531" t="s">
        <v>212</v>
      </c>
      <c r="Y678" s="531"/>
      <c r="Z678" s="222" t="s">
        <v>212</v>
      </c>
      <c r="AA678" s="222" t="s">
        <v>212</v>
      </c>
      <c r="AB678" s="222" t="s">
        <v>212</v>
      </c>
      <c r="AC678" s="215"/>
    </row>
    <row r="679" spans="1:29" ht="13.5" customHeight="1">
      <c r="A679" s="215"/>
      <c r="B679" s="535">
        <v>39050</v>
      </c>
      <c r="C679" s="535"/>
      <c r="D679" s="219" t="s">
        <v>212</v>
      </c>
      <c r="E679" s="229">
        <v>279.60000000000002</v>
      </c>
      <c r="F679" s="536">
        <v>24</v>
      </c>
      <c r="G679" s="536"/>
      <c r="H679" s="229">
        <v>0</v>
      </c>
      <c r="I679" s="536">
        <v>0</v>
      </c>
      <c r="J679" s="536"/>
      <c r="K679" s="229">
        <v>187</v>
      </c>
      <c r="L679" s="230">
        <v>24</v>
      </c>
      <c r="M679" s="229">
        <v>0</v>
      </c>
      <c r="N679" s="230">
        <v>0</v>
      </c>
      <c r="O679" s="231">
        <v>466.6</v>
      </c>
      <c r="P679" s="222" t="s">
        <v>212</v>
      </c>
      <c r="Q679" s="229">
        <v>61</v>
      </c>
      <c r="R679" s="230">
        <v>24</v>
      </c>
      <c r="S679" s="229">
        <v>0</v>
      </c>
      <c r="T679" s="536">
        <v>0</v>
      </c>
      <c r="U679" s="536"/>
      <c r="V679" s="229">
        <v>61</v>
      </c>
      <c r="W679" s="222" t="s">
        <v>212</v>
      </c>
      <c r="X679" s="530">
        <v>527.6</v>
      </c>
      <c r="Y679" s="530"/>
      <c r="Z679" s="222" t="s">
        <v>212</v>
      </c>
      <c r="AA679" s="232">
        <v>3921800</v>
      </c>
      <c r="AB679" s="233">
        <v>118147</v>
      </c>
      <c r="AC679" s="215"/>
    </row>
    <row r="680" spans="1:29" ht="2.25" customHeight="1">
      <c r="A680" s="215"/>
      <c r="B680" s="529" t="s">
        <v>212</v>
      </c>
      <c r="C680" s="529"/>
      <c r="D680" s="219" t="s">
        <v>212</v>
      </c>
      <c r="E680" s="222" t="s">
        <v>212</v>
      </c>
      <c r="F680" s="531" t="s">
        <v>212</v>
      </c>
      <c r="G680" s="531"/>
      <c r="H680" s="222" t="s">
        <v>212</v>
      </c>
      <c r="I680" s="531" t="s">
        <v>212</v>
      </c>
      <c r="J680" s="531"/>
      <c r="K680" s="222" t="s">
        <v>212</v>
      </c>
      <c r="L680" s="222" t="s">
        <v>212</v>
      </c>
      <c r="M680" s="222" t="s">
        <v>212</v>
      </c>
      <c r="N680" s="222" t="s">
        <v>212</v>
      </c>
      <c r="O680" s="222" t="s">
        <v>212</v>
      </c>
      <c r="P680" s="222" t="s">
        <v>212</v>
      </c>
      <c r="Q680" s="222" t="s">
        <v>212</v>
      </c>
      <c r="R680" s="222" t="s">
        <v>212</v>
      </c>
      <c r="S680" s="222" t="s">
        <v>212</v>
      </c>
      <c r="T680" s="531" t="s">
        <v>212</v>
      </c>
      <c r="U680" s="531"/>
      <c r="V680" s="222" t="s">
        <v>212</v>
      </c>
      <c r="W680" s="222" t="s">
        <v>212</v>
      </c>
      <c r="X680" s="531" t="s">
        <v>212</v>
      </c>
      <c r="Y680" s="531"/>
      <c r="Z680" s="222" t="s">
        <v>212</v>
      </c>
      <c r="AA680" s="222" t="s">
        <v>212</v>
      </c>
      <c r="AB680" s="222" t="s">
        <v>212</v>
      </c>
      <c r="AC680" s="215"/>
    </row>
    <row r="681" spans="1:29" ht="13.5" customHeight="1">
      <c r="A681" s="215"/>
      <c r="B681" s="532">
        <v>39051</v>
      </c>
      <c r="C681" s="532"/>
      <c r="D681" s="219" t="s">
        <v>212</v>
      </c>
      <c r="E681" s="224">
        <v>225.6</v>
      </c>
      <c r="F681" s="533">
        <v>24</v>
      </c>
      <c r="G681" s="533"/>
      <c r="H681" s="224">
        <v>87.3</v>
      </c>
      <c r="I681" s="533">
        <v>12</v>
      </c>
      <c r="J681" s="533"/>
      <c r="K681" s="224">
        <v>122.6</v>
      </c>
      <c r="L681" s="225">
        <v>19</v>
      </c>
      <c r="M681" s="224">
        <v>0</v>
      </c>
      <c r="N681" s="225">
        <v>0</v>
      </c>
      <c r="O681" s="226">
        <v>435.5</v>
      </c>
      <c r="P681" s="222" t="s">
        <v>212</v>
      </c>
      <c r="Q681" s="224">
        <v>82</v>
      </c>
      <c r="R681" s="225">
        <v>24</v>
      </c>
      <c r="S681" s="224">
        <v>0</v>
      </c>
      <c r="T681" s="533">
        <v>0</v>
      </c>
      <c r="U681" s="533"/>
      <c r="V681" s="224">
        <v>82</v>
      </c>
      <c r="W681" s="222" t="s">
        <v>212</v>
      </c>
      <c r="X681" s="534">
        <v>517.5</v>
      </c>
      <c r="Y681" s="534"/>
      <c r="Z681" s="222" t="s">
        <v>212</v>
      </c>
      <c r="AA681" s="227">
        <v>3933642</v>
      </c>
      <c r="AB681" s="228">
        <v>124736</v>
      </c>
      <c r="AC681" s="215"/>
    </row>
    <row r="682" spans="1:29" ht="2.25" customHeight="1">
      <c r="A682" s="215"/>
      <c r="B682" s="529" t="s">
        <v>212</v>
      </c>
      <c r="C682" s="529"/>
      <c r="D682" s="219" t="s">
        <v>212</v>
      </c>
      <c r="E682" s="222" t="s">
        <v>212</v>
      </c>
      <c r="F682" s="531" t="s">
        <v>212</v>
      </c>
      <c r="G682" s="531"/>
      <c r="H682" s="222" t="s">
        <v>212</v>
      </c>
      <c r="I682" s="531" t="s">
        <v>212</v>
      </c>
      <c r="J682" s="531"/>
      <c r="K682" s="222" t="s">
        <v>212</v>
      </c>
      <c r="L682" s="222" t="s">
        <v>212</v>
      </c>
      <c r="M682" s="222" t="s">
        <v>212</v>
      </c>
      <c r="N682" s="222" t="s">
        <v>212</v>
      </c>
      <c r="O682" s="222" t="s">
        <v>212</v>
      </c>
      <c r="P682" s="222" t="s">
        <v>212</v>
      </c>
      <c r="Q682" s="222" t="s">
        <v>212</v>
      </c>
      <c r="R682" s="222" t="s">
        <v>212</v>
      </c>
      <c r="S682" s="222" t="s">
        <v>212</v>
      </c>
      <c r="T682" s="531" t="s">
        <v>212</v>
      </c>
      <c r="U682" s="531"/>
      <c r="V682" s="222" t="s">
        <v>212</v>
      </c>
      <c r="W682" s="222" t="s">
        <v>212</v>
      </c>
      <c r="X682" s="531" t="s">
        <v>212</v>
      </c>
      <c r="Y682" s="531"/>
      <c r="Z682" s="222" t="s">
        <v>212</v>
      </c>
      <c r="AA682" s="222" t="s">
        <v>212</v>
      </c>
      <c r="AB682" s="222" t="s">
        <v>212</v>
      </c>
      <c r="AC682" s="215"/>
    </row>
    <row r="683" spans="1:29" ht="13.5" customHeight="1">
      <c r="A683" s="215"/>
      <c r="B683" s="535">
        <v>39052</v>
      </c>
      <c r="C683" s="535"/>
      <c r="D683" s="219" t="s">
        <v>212</v>
      </c>
      <c r="E683" s="229">
        <v>202.8</v>
      </c>
      <c r="F683" s="536">
        <v>24</v>
      </c>
      <c r="G683" s="536"/>
      <c r="H683" s="229">
        <v>238.4</v>
      </c>
      <c r="I683" s="536">
        <v>24</v>
      </c>
      <c r="J683" s="536"/>
      <c r="K683" s="229">
        <v>0</v>
      </c>
      <c r="L683" s="230">
        <v>0</v>
      </c>
      <c r="M683" s="229">
        <v>0</v>
      </c>
      <c r="N683" s="230">
        <v>0</v>
      </c>
      <c r="O683" s="231">
        <v>441.2</v>
      </c>
      <c r="P683" s="222" t="s">
        <v>212</v>
      </c>
      <c r="Q683" s="229">
        <v>82</v>
      </c>
      <c r="R683" s="230">
        <v>24</v>
      </c>
      <c r="S683" s="229">
        <v>0</v>
      </c>
      <c r="T683" s="536">
        <v>0</v>
      </c>
      <c r="U683" s="536"/>
      <c r="V683" s="229">
        <v>82</v>
      </c>
      <c r="W683" s="222" t="s">
        <v>212</v>
      </c>
      <c r="X683" s="530">
        <v>523.20000000000005</v>
      </c>
      <c r="Y683" s="530"/>
      <c r="Z683" s="222" t="s">
        <v>212</v>
      </c>
      <c r="AA683" s="232">
        <v>6792900</v>
      </c>
      <c r="AB683" s="233">
        <v>0</v>
      </c>
      <c r="AC683" s="215"/>
    </row>
    <row r="684" spans="1:29" ht="2.25" customHeight="1">
      <c r="A684" s="215"/>
      <c r="B684" s="529" t="s">
        <v>212</v>
      </c>
      <c r="C684" s="529"/>
      <c r="D684" s="219" t="s">
        <v>212</v>
      </c>
      <c r="E684" s="222" t="s">
        <v>212</v>
      </c>
      <c r="F684" s="531" t="s">
        <v>212</v>
      </c>
      <c r="G684" s="531"/>
      <c r="H684" s="222" t="s">
        <v>212</v>
      </c>
      <c r="I684" s="531" t="s">
        <v>212</v>
      </c>
      <c r="J684" s="531"/>
      <c r="K684" s="222" t="s">
        <v>212</v>
      </c>
      <c r="L684" s="222" t="s">
        <v>212</v>
      </c>
      <c r="M684" s="222" t="s">
        <v>212</v>
      </c>
      <c r="N684" s="222" t="s">
        <v>212</v>
      </c>
      <c r="O684" s="222" t="s">
        <v>212</v>
      </c>
      <c r="P684" s="222" t="s">
        <v>212</v>
      </c>
      <c r="Q684" s="222" t="s">
        <v>212</v>
      </c>
      <c r="R684" s="222" t="s">
        <v>212</v>
      </c>
      <c r="S684" s="222" t="s">
        <v>212</v>
      </c>
      <c r="T684" s="531" t="s">
        <v>212</v>
      </c>
      <c r="U684" s="531"/>
      <c r="V684" s="222" t="s">
        <v>212</v>
      </c>
      <c r="W684" s="222" t="s">
        <v>212</v>
      </c>
      <c r="X684" s="531" t="s">
        <v>212</v>
      </c>
      <c r="Y684" s="531"/>
      <c r="Z684" s="222" t="s">
        <v>212</v>
      </c>
      <c r="AA684" s="222" t="s">
        <v>212</v>
      </c>
      <c r="AB684" s="222" t="s">
        <v>212</v>
      </c>
      <c r="AC684" s="215"/>
    </row>
    <row r="685" spans="1:29" ht="13.5" customHeight="1">
      <c r="A685" s="215"/>
      <c r="B685" s="532">
        <v>39053</v>
      </c>
      <c r="C685" s="532"/>
      <c r="D685" s="219" t="s">
        <v>212</v>
      </c>
      <c r="E685" s="224">
        <v>193.6</v>
      </c>
      <c r="F685" s="533">
        <v>24</v>
      </c>
      <c r="G685" s="533"/>
      <c r="H685" s="224">
        <v>252</v>
      </c>
      <c r="I685" s="533">
        <v>24</v>
      </c>
      <c r="J685" s="533"/>
      <c r="K685" s="224">
        <v>0</v>
      </c>
      <c r="L685" s="225">
        <v>0</v>
      </c>
      <c r="M685" s="224">
        <v>0</v>
      </c>
      <c r="N685" s="225">
        <v>0</v>
      </c>
      <c r="O685" s="226">
        <v>445.6</v>
      </c>
      <c r="P685" s="222" t="s">
        <v>212</v>
      </c>
      <c r="Q685" s="224">
        <v>80</v>
      </c>
      <c r="R685" s="225">
        <v>24</v>
      </c>
      <c r="S685" s="224">
        <v>0</v>
      </c>
      <c r="T685" s="533">
        <v>0</v>
      </c>
      <c r="U685" s="533"/>
      <c r="V685" s="224">
        <v>80</v>
      </c>
      <c r="W685" s="222" t="s">
        <v>212</v>
      </c>
      <c r="X685" s="534">
        <v>525.6</v>
      </c>
      <c r="Y685" s="534"/>
      <c r="Z685" s="222" t="s">
        <v>212</v>
      </c>
      <c r="AA685" s="227">
        <v>6799600</v>
      </c>
      <c r="AB685" s="228">
        <v>0</v>
      </c>
      <c r="AC685" s="215"/>
    </row>
    <row r="686" spans="1:29" ht="2.25" customHeight="1">
      <c r="A686" s="215"/>
      <c r="B686" s="529" t="s">
        <v>212</v>
      </c>
      <c r="C686" s="529"/>
      <c r="D686" s="219" t="s">
        <v>212</v>
      </c>
      <c r="E686" s="222" t="s">
        <v>212</v>
      </c>
      <c r="F686" s="531" t="s">
        <v>212</v>
      </c>
      <c r="G686" s="531"/>
      <c r="H686" s="222" t="s">
        <v>212</v>
      </c>
      <c r="I686" s="531" t="s">
        <v>212</v>
      </c>
      <c r="J686" s="531"/>
      <c r="K686" s="222" t="s">
        <v>212</v>
      </c>
      <c r="L686" s="222" t="s">
        <v>212</v>
      </c>
      <c r="M686" s="222" t="s">
        <v>212</v>
      </c>
      <c r="N686" s="222" t="s">
        <v>212</v>
      </c>
      <c r="O686" s="222" t="s">
        <v>212</v>
      </c>
      <c r="P686" s="222" t="s">
        <v>212</v>
      </c>
      <c r="Q686" s="222" t="s">
        <v>212</v>
      </c>
      <c r="R686" s="222" t="s">
        <v>212</v>
      </c>
      <c r="S686" s="222" t="s">
        <v>212</v>
      </c>
      <c r="T686" s="531" t="s">
        <v>212</v>
      </c>
      <c r="U686" s="531"/>
      <c r="V686" s="222" t="s">
        <v>212</v>
      </c>
      <c r="W686" s="222" t="s">
        <v>212</v>
      </c>
      <c r="X686" s="531" t="s">
        <v>212</v>
      </c>
      <c r="Y686" s="531"/>
      <c r="Z686" s="222" t="s">
        <v>212</v>
      </c>
      <c r="AA686" s="222" t="s">
        <v>212</v>
      </c>
      <c r="AB686" s="222" t="s">
        <v>212</v>
      </c>
      <c r="AC686" s="215"/>
    </row>
    <row r="687" spans="1:29" ht="13.5" customHeight="1">
      <c r="A687" s="215"/>
      <c r="B687" s="535">
        <v>39054</v>
      </c>
      <c r="C687" s="535"/>
      <c r="D687" s="219" t="s">
        <v>212</v>
      </c>
      <c r="E687" s="229">
        <v>189</v>
      </c>
      <c r="F687" s="536">
        <v>24</v>
      </c>
      <c r="G687" s="536"/>
      <c r="H687" s="229">
        <v>230.5</v>
      </c>
      <c r="I687" s="536">
        <v>24</v>
      </c>
      <c r="J687" s="536"/>
      <c r="K687" s="229">
        <v>0</v>
      </c>
      <c r="L687" s="230">
        <v>0</v>
      </c>
      <c r="M687" s="229">
        <v>0</v>
      </c>
      <c r="N687" s="230">
        <v>0</v>
      </c>
      <c r="O687" s="231">
        <v>419.5</v>
      </c>
      <c r="P687" s="222" t="s">
        <v>212</v>
      </c>
      <c r="Q687" s="229">
        <v>83</v>
      </c>
      <c r="R687" s="230">
        <v>24</v>
      </c>
      <c r="S687" s="229">
        <v>0</v>
      </c>
      <c r="T687" s="536">
        <v>0</v>
      </c>
      <c r="U687" s="536"/>
      <c r="V687" s="229">
        <v>83</v>
      </c>
      <c r="W687" s="222" t="s">
        <v>212</v>
      </c>
      <c r="X687" s="530">
        <v>502.5</v>
      </c>
      <c r="Y687" s="530"/>
      <c r="Z687" s="222" t="s">
        <v>212</v>
      </c>
      <c r="AA687" s="232">
        <v>6023500</v>
      </c>
      <c r="AB687" s="233">
        <v>0</v>
      </c>
      <c r="AC687" s="215"/>
    </row>
    <row r="688" spans="1:29" ht="2.25" customHeight="1">
      <c r="A688" s="215"/>
      <c r="B688" s="529" t="s">
        <v>212</v>
      </c>
      <c r="C688" s="529"/>
      <c r="D688" s="219" t="s">
        <v>212</v>
      </c>
      <c r="E688" s="222" t="s">
        <v>212</v>
      </c>
      <c r="F688" s="531" t="s">
        <v>212</v>
      </c>
      <c r="G688" s="531"/>
      <c r="H688" s="222" t="s">
        <v>212</v>
      </c>
      <c r="I688" s="531" t="s">
        <v>212</v>
      </c>
      <c r="J688" s="531"/>
      <c r="K688" s="222" t="s">
        <v>212</v>
      </c>
      <c r="L688" s="222" t="s">
        <v>212</v>
      </c>
      <c r="M688" s="222" t="s">
        <v>212</v>
      </c>
      <c r="N688" s="222" t="s">
        <v>212</v>
      </c>
      <c r="O688" s="222" t="s">
        <v>212</v>
      </c>
      <c r="P688" s="222" t="s">
        <v>212</v>
      </c>
      <c r="Q688" s="222" t="s">
        <v>212</v>
      </c>
      <c r="R688" s="222" t="s">
        <v>212</v>
      </c>
      <c r="S688" s="222" t="s">
        <v>212</v>
      </c>
      <c r="T688" s="531" t="s">
        <v>212</v>
      </c>
      <c r="U688" s="531"/>
      <c r="V688" s="222" t="s">
        <v>212</v>
      </c>
      <c r="W688" s="222" t="s">
        <v>212</v>
      </c>
      <c r="X688" s="531" t="s">
        <v>212</v>
      </c>
      <c r="Y688" s="531"/>
      <c r="Z688" s="222" t="s">
        <v>212</v>
      </c>
      <c r="AA688" s="222" t="s">
        <v>212</v>
      </c>
      <c r="AB688" s="222" t="s">
        <v>212</v>
      </c>
      <c r="AC688" s="215"/>
    </row>
    <row r="689" spans="1:29" ht="13.5" customHeight="1">
      <c r="A689" s="215"/>
      <c r="B689" s="532">
        <v>39055</v>
      </c>
      <c r="C689" s="532"/>
      <c r="D689" s="219" t="s">
        <v>212</v>
      </c>
      <c r="E689" s="224">
        <v>192</v>
      </c>
      <c r="F689" s="533">
        <v>24</v>
      </c>
      <c r="G689" s="533"/>
      <c r="H689" s="224">
        <v>247.8</v>
      </c>
      <c r="I689" s="533">
        <v>24</v>
      </c>
      <c r="J689" s="533"/>
      <c r="K689" s="224">
        <v>0</v>
      </c>
      <c r="L689" s="225">
        <v>0</v>
      </c>
      <c r="M689" s="224">
        <v>0</v>
      </c>
      <c r="N689" s="225">
        <v>0</v>
      </c>
      <c r="O689" s="226">
        <v>439.8</v>
      </c>
      <c r="P689" s="222" t="s">
        <v>212</v>
      </c>
      <c r="Q689" s="224">
        <v>82</v>
      </c>
      <c r="R689" s="225">
        <v>24</v>
      </c>
      <c r="S689" s="224">
        <v>0</v>
      </c>
      <c r="T689" s="533">
        <v>0</v>
      </c>
      <c r="U689" s="533"/>
      <c r="V689" s="224">
        <v>82</v>
      </c>
      <c r="W689" s="222" t="s">
        <v>212</v>
      </c>
      <c r="X689" s="534">
        <v>521.79999999999995</v>
      </c>
      <c r="Y689" s="534"/>
      <c r="Z689" s="222" t="s">
        <v>212</v>
      </c>
      <c r="AA689" s="227">
        <v>6439600</v>
      </c>
      <c r="AB689" s="228">
        <v>0</v>
      </c>
      <c r="AC689" s="215"/>
    </row>
    <row r="690" spans="1:29" ht="2.25" customHeight="1">
      <c r="A690" s="215"/>
      <c r="B690" s="529" t="s">
        <v>212</v>
      </c>
      <c r="C690" s="529"/>
      <c r="D690" s="219" t="s">
        <v>212</v>
      </c>
      <c r="E690" s="222" t="s">
        <v>212</v>
      </c>
      <c r="F690" s="531" t="s">
        <v>212</v>
      </c>
      <c r="G690" s="531"/>
      <c r="H690" s="222" t="s">
        <v>212</v>
      </c>
      <c r="I690" s="531" t="s">
        <v>212</v>
      </c>
      <c r="J690" s="531"/>
      <c r="K690" s="222" t="s">
        <v>212</v>
      </c>
      <c r="L690" s="222" t="s">
        <v>212</v>
      </c>
      <c r="M690" s="222" t="s">
        <v>212</v>
      </c>
      <c r="N690" s="222" t="s">
        <v>212</v>
      </c>
      <c r="O690" s="222" t="s">
        <v>212</v>
      </c>
      <c r="P690" s="222" t="s">
        <v>212</v>
      </c>
      <c r="Q690" s="222" t="s">
        <v>212</v>
      </c>
      <c r="R690" s="222" t="s">
        <v>212</v>
      </c>
      <c r="S690" s="222" t="s">
        <v>212</v>
      </c>
      <c r="T690" s="531" t="s">
        <v>212</v>
      </c>
      <c r="U690" s="531"/>
      <c r="V690" s="222" t="s">
        <v>212</v>
      </c>
      <c r="W690" s="222" t="s">
        <v>212</v>
      </c>
      <c r="X690" s="531" t="s">
        <v>212</v>
      </c>
      <c r="Y690" s="531"/>
      <c r="Z690" s="222" t="s">
        <v>212</v>
      </c>
      <c r="AA690" s="222" t="s">
        <v>212</v>
      </c>
      <c r="AB690" s="222" t="s">
        <v>212</v>
      </c>
      <c r="AC690" s="215"/>
    </row>
    <row r="691" spans="1:29" ht="13.5" customHeight="1">
      <c r="A691" s="215"/>
      <c r="B691" s="535">
        <v>39056</v>
      </c>
      <c r="C691" s="535"/>
      <c r="D691" s="219" t="s">
        <v>212</v>
      </c>
      <c r="E691" s="229">
        <v>226.5</v>
      </c>
      <c r="F691" s="536">
        <v>24</v>
      </c>
      <c r="G691" s="536"/>
      <c r="H691" s="229">
        <v>270.2</v>
      </c>
      <c r="I691" s="536">
        <v>24</v>
      </c>
      <c r="J691" s="536"/>
      <c r="K691" s="229">
        <v>0</v>
      </c>
      <c r="L691" s="230">
        <v>0</v>
      </c>
      <c r="M691" s="229">
        <v>0</v>
      </c>
      <c r="N691" s="230">
        <v>0</v>
      </c>
      <c r="O691" s="231">
        <v>496.7</v>
      </c>
      <c r="P691" s="222" t="s">
        <v>212</v>
      </c>
      <c r="Q691" s="229">
        <v>84</v>
      </c>
      <c r="R691" s="230">
        <v>24</v>
      </c>
      <c r="S691" s="229">
        <v>0</v>
      </c>
      <c r="T691" s="536">
        <v>0</v>
      </c>
      <c r="U691" s="536"/>
      <c r="V691" s="229">
        <v>84</v>
      </c>
      <c r="W691" s="222" t="s">
        <v>212</v>
      </c>
      <c r="X691" s="530">
        <v>580.70000000000005</v>
      </c>
      <c r="Y691" s="530"/>
      <c r="Z691" s="222" t="s">
        <v>212</v>
      </c>
      <c r="AA691" s="232">
        <v>6946100</v>
      </c>
      <c r="AB691" s="233">
        <v>0</v>
      </c>
      <c r="AC691" s="215"/>
    </row>
    <row r="692" spans="1:29" ht="2.25" customHeight="1">
      <c r="A692" s="215"/>
      <c r="B692" s="529" t="s">
        <v>212</v>
      </c>
      <c r="C692" s="529"/>
      <c r="D692" s="219" t="s">
        <v>212</v>
      </c>
      <c r="E692" s="222" t="s">
        <v>212</v>
      </c>
      <c r="F692" s="531" t="s">
        <v>212</v>
      </c>
      <c r="G692" s="531"/>
      <c r="H692" s="222" t="s">
        <v>212</v>
      </c>
      <c r="I692" s="531" t="s">
        <v>212</v>
      </c>
      <c r="J692" s="531"/>
      <c r="K692" s="222" t="s">
        <v>212</v>
      </c>
      <c r="L692" s="222" t="s">
        <v>212</v>
      </c>
      <c r="M692" s="222" t="s">
        <v>212</v>
      </c>
      <c r="N692" s="222" t="s">
        <v>212</v>
      </c>
      <c r="O692" s="222" t="s">
        <v>212</v>
      </c>
      <c r="P692" s="222" t="s">
        <v>212</v>
      </c>
      <c r="Q692" s="222" t="s">
        <v>212</v>
      </c>
      <c r="R692" s="222" t="s">
        <v>212</v>
      </c>
      <c r="S692" s="222" t="s">
        <v>212</v>
      </c>
      <c r="T692" s="531" t="s">
        <v>212</v>
      </c>
      <c r="U692" s="531"/>
      <c r="V692" s="222" t="s">
        <v>212</v>
      </c>
      <c r="W692" s="222" t="s">
        <v>212</v>
      </c>
      <c r="X692" s="531" t="s">
        <v>212</v>
      </c>
      <c r="Y692" s="531"/>
      <c r="Z692" s="222" t="s">
        <v>212</v>
      </c>
      <c r="AA692" s="222" t="s">
        <v>212</v>
      </c>
      <c r="AB692" s="222" t="s">
        <v>212</v>
      </c>
      <c r="AC692" s="215"/>
    </row>
    <row r="693" spans="1:29" ht="13.5" customHeight="1">
      <c r="A693" s="215"/>
      <c r="B693" s="532">
        <v>39057</v>
      </c>
      <c r="C693" s="532"/>
      <c r="D693" s="219" t="s">
        <v>212</v>
      </c>
      <c r="E693" s="224">
        <v>212.1</v>
      </c>
      <c r="F693" s="533">
        <v>24</v>
      </c>
      <c r="G693" s="533"/>
      <c r="H693" s="224">
        <v>261.8</v>
      </c>
      <c r="I693" s="533">
        <v>24</v>
      </c>
      <c r="J693" s="533"/>
      <c r="K693" s="224">
        <v>0</v>
      </c>
      <c r="L693" s="225">
        <v>0</v>
      </c>
      <c r="M693" s="224">
        <v>0</v>
      </c>
      <c r="N693" s="225">
        <v>0</v>
      </c>
      <c r="O693" s="226">
        <v>473.9</v>
      </c>
      <c r="P693" s="222" t="s">
        <v>212</v>
      </c>
      <c r="Q693" s="224">
        <v>87</v>
      </c>
      <c r="R693" s="225">
        <v>24</v>
      </c>
      <c r="S693" s="224">
        <v>0</v>
      </c>
      <c r="T693" s="533">
        <v>0</v>
      </c>
      <c r="U693" s="533"/>
      <c r="V693" s="224">
        <v>87</v>
      </c>
      <c r="W693" s="222" t="s">
        <v>212</v>
      </c>
      <c r="X693" s="534">
        <v>560.9</v>
      </c>
      <c r="Y693" s="534"/>
      <c r="Z693" s="222" t="s">
        <v>212</v>
      </c>
      <c r="AA693" s="227">
        <v>7066100</v>
      </c>
      <c r="AB693" s="228">
        <v>0</v>
      </c>
      <c r="AC693" s="215"/>
    </row>
    <row r="694" spans="1:29" ht="2.25" customHeight="1">
      <c r="A694" s="215"/>
      <c r="B694" s="529" t="s">
        <v>212</v>
      </c>
      <c r="C694" s="529"/>
      <c r="D694" s="219" t="s">
        <v>212</v>
      </c>
      <c r="E694" s="222" t="s">
        <v>212</v>
      </c>
      <c r="F694" s="531" t="s">
        <v>212</v>
      </c>
      <c r="G694" s="531"/>
      <c r="H694" s="222" t="s">
        <v>212</v>
      </c>
      <c r="I694" s="531" t="s">
        <v>212</v>
      </c>
      <c r="J694" s="531"/>
      <c r="K694" s="222" t="s">
        <v>212</v>
      </c>
      <c r="L694" s="222" t="s">
        <v>212</v>
      </c>
      <c r="M694" s="222" t="s">
        <v>212</v>
      </c>
      <c r="N694" s="222" t="s">
        <v>212</v>
      </c>
      <c r="O694" s="222" t="s">
        <v>212</v>
      </c>
      <c r="P694" s="222" t="s">
        <v>212</v>
      </c>
      <c r="Q694" s="222" t="s">
        <v>212</v>
      </c>
      <c r="R694" s="222" t="s">
        <v>212</v>
      </c>
      <c r="S694" s="222" t="s">
        <v>212</v>
      </c>
      <c r="T694" s="531" t="s">
        <v>212</v>
      </c>
      <c r="U694" s="531"/>
      <c r="V694" s="222" t="s">
        <v>212</v>
      </c>
      <c r="W694" s="222" t="s">
        <v>212</v>
      </c>
      <c r="X694" s="531" t="s">
        <v>212</v>
      </c>
      <c r="Y694" s="531"/>
      <c r="Z694" s="222" t="s">
        <v>212</v>
      </c>
      <c r="AA694" s="222" t="s">
        <v>212</v>
      </c>
      <c r="AB694" s="222" t="s">
        <v>212</v>
      </c>
      <c r="AC694" s="215"/>
    </row>
    <row r="695" spans="1:29" ht="13.5" customHeight="1">
      <c r="A695" s="215"/>
      <c r="B695" s="535">
        <v>39058</v>
      </c>
      <c r="C695" s="535"/>
      <c r="D695" s="219" t="s">
        <v>212</v>
      </c>
      <c r="E695" s="229">
        <v>225.5</v>
      </c>
      <c r="F695" s="536">
        <v>24</v>
      </c>
      <c r="G695" s="536"/>
      <c r="H695" s="229">
        <v>278.60000000000002</v>
      </c>
      <c r="I695" s="536">
        <v>24</v>
      </c>
      <c r="J695" s="536"/>
      <c r="K695" s="229">
        <v>0</v>
      </c>
      <c r="L695" s="230">
        <v>0</v>
      </c>
      <c r="M695" s="229">
        <v>0</v>
      </c>
      <c r="N695" s="230">
        <v>0</v>
      </c>
      <c r="O695" s="231">
        <v>504.1</v>
      </c>
      <c r="P695" s="222" t="s">
        <v>212</v>
      </c>
      <c r="Q695" s="229">
        <v>92</v>
      </c>
      <c r="R695" s="230">
        <v>24</v>
      </c>
      <c r="S695" s="229">
        <v>0</v>
      </c>
      <c r="T695" s="536">
        <v>0</v>
      </c>
      <c r="U695" s="536"/>
      <c r="V695" s="229">
        <v>92</v>
      </c>
      <c r="W695" s="222" t="s">
        <v>212</v>
      </c>
      <c r="X695" s="530">
        <v>596.1</v>
      </c>
      <c r="Y695" s="530"/>
      <c r="Z695" s="222" t="s">
        <v>212</v>
      </c>
      <c r="AA695" s="232">
        <v>7263500</v>
      </c>
      <c r="AB695" s="233">
        <v>0</v>
      </c>
      <c r="AC695" s="215"/>
    </row>
    <row r="696" spans="1:29" ht="2.25" customHeight="1">
      <c r="A696" s="215"/>
      <c r="B696" s="529" t="s">
        <v>212</v>
      </c>
      <c r="C696" s="529"/>
      <c r="D696" s="219" t="s">
        <v>212</v>
      </c>
      <c r="E696" s="222" t="s">
        <v>212</v>
      </c>
      <c r="F696" s="531" t="s">
        <v>212</v>
      </c>
      <c r="G696" s="531"/>
      <c r="H696" s="222" t="s">
        <v>212</v>
      </c>
      <c r="I696" s="531" t="s">
        <v>212</v>
      </c>
      <c r="J696" s="531"/>
      <c r="K696" s="222" t="s">
        <v>212</v>
      </c>
      <c r="L696" s="222" t="s">
        <v>212</v>
      </c>
      <c r="M696" s="222" t="s">
        <v>212</v>
      </c>
      <c r="N696" s="222" t="s">
        <v>212</v>
      </c>
      <c r="O696" s="222" t="s">
        <v>212</v>
      </c>
      <c r="P696" s="222" t="s">
        <v>212</v>
      </c>
      <c r="Q696" s="222" t="s">
        <v>212</v>
      </c>
      <c r="R696" s="222" t="s">
        <v>212</v>
      </c>
      <c r="S696" s="222" t="s">
        <v>212</v>
      </c>
      <c r="T696" s="531" t="s">
        <v>212</v>
      </c>
      <c r="U696" s="531"/>
      <c r="V696" s="222" t="s">
        <v>212</v>
      </c>
      <c r="W696" s="222" t="s">
        <v>212</v>
      </c>
      <c r="X696" s="531" t="s">
        <v>212</v>
      </c>
      <c r="Y696" s="531"/>
      <c r="Z696" s="222" t="s">
        <v>212</v>
      </c>
      <c r="AA696" s="222" t="s">
        <v>212</v>
      </c>
      <c r="AB696" s="222" t="s">
        <v>212</v>
      </c>
      <c r="AC696" s="215"/>
    </row>
    <row r="697" spans="1:29" ht="13.5" customHeight="1">
      <c r="A697" s="215"/>
      <c r="B697" s="532">
        <v>39059</v>
      </c>
      <c r="C697" s="532"/>
      <c r="D697" s="219" t="s">
        <v>212</v>
      </c>
      <c r="E697" s="224">
        <v>243.9</v>
      </c>
      <c r="F697" s="533">
        <v>24</v>
      </c>
      <c r="G697" s="533"/>
      <c r="H697" s="224">
        <v>300.60000000000002</v>
      </c>
      <c r="I697" s="533">
        <v>24</v>
      </c>
      <c r="J697" s="533"/>
      <c r="K697" s="224">
        <v>0</v>
      </c>
      <c r="L697" s="225">
        <v>0</v>
      </c>
      <c r="M697" s="224">
        <v>0</v>
      </c>
      <c r="N697" s="225">
        <v>0</v>
      </c>
      <c r="O697" s="226">
        <v>544.5</v>
      </c>
      <c r="P697" s="222" t="s">
        <v>212</v>
      </c>
      <c r="Q697" s="224">
        <v>117</v>
      </c>
      <c r="R697" s="225">
        <v>24</v>
      </c>
      <c r="S697" s="224">
        <v>0</v>
      </c>
      <c r="T697" s="533">
        <v>0</v>
      </c>
      <c r="U697" s="533"/>
      <c r="V697" s="224">
        <v>117</v>
      </c>
      <c r="W697" s="222" t="s">
        <v>212</v>
      </c>
      <c r="X697" s="534">
        <v>661.5</v>
      </c>
      <c r="Y697" s="534"/>
      <c r="Z697" s="222" t="s">
        <v>212</v>
      </c>
      <c r="AA697" s="227">
        <v>7604600</v>
      </c>
      <c r="AB697" s="228">
        <v>0</v>
      </c>
      <c r="AC697" s="215"/>
    </row>
    <row r="698" spans="1:29" ht="2.25" customHeight="1">
      <c r="A698" s="215"/>
      <c r="B698" s="529" t="s">
        <v>212</v>
      </c>
      <c r="C698" s="529"/>
      <c r="D698" s="219" t="s">
        <v>212</v>
      </c>
      <c r="E698" s="222" t="s">
        <v>212</v>
      </c>
      <c r="F698" s="531" t="s">
        <v>212</v>
      </c>
      <c r="G698" s="531"/>
      <c r="H698" s="222" t="s">
        <v>212</v>
      </c>
      <c r="I698" s="531" t="s">
        <v>212</v>
      </c>
      <c r="J698" s="531"/>
      <c r="K698" s="222" t="s">
        <v>212</v>
      </c>
      <c r="L698" s="222" t="s">
        <v>212</v>
      </c>
      <c r="M698" s="222" t="s">
        <v>212</v>
      </c>
      <c r="N698" s="222" t="s">
        <v>212</v>
      </c>
      <c r="O698" s="222" t="s">
        <v>212</v>
      </c>
      <c r="P698" s="222" t="s">
        <v>212</v>
      </c>
      <c r="Q698" s="222" t="s">
        <v>212</v>
      </c>
      <c r="R698" s="222" t="s">
        <v>212</v>
      </c>
      <c r="S698" s="222" t="s">
        <v>212</v>
      </c>
      <c r="T698" s="531" t="s">
        <v>212</v>
      </c>
      <c r="U698" s="531"/>
      <c r="V698" s="222" t="s">
        <v>212</v>
      </c>
      <c r="W698" s="222" t="s">
        <v>212</v>
      </c>
      <c r="X698" s="531" t="s">
        <v>212</v>
      </c>
      <c r="Y698" s="531"/>
      <c r="Z698" s="222" t="s">
        <v>212</v>
      </c>
      <c r="AA698" s="222" t="s">
        <v>212</v>
      </c>
      <c r="AB698" s="222" t="s">
        <v>212</v>
      </c>
      <c r="AC698" s="215"/>
    </row>
    <row r="699" spans="1:29" ht="13.5" customHeight="1">
      <c r="A699" s="215"/>
      <c r="B699" s="535">
        <v>39060</v>
      </c>
      <c r="C699" s="535"/>
      <c r="D699" s="219" t="s">
        <v>212</v>
      </c>
      <c r="E699" s="229">
        <v>221.7</v>
      </c>
      <c r="F699" s="536">
        <v>24</v>
      </c>
      <c r="G699" s="536"/>
      <c r="H699" s="229">
        <v>266.5</v>
      </c>
      <c r="I699" s="536">
        <v>24</v>
      </c>
      <c r="J699" s="536"/>
      <c r="K699" s="229">
        <v>4.9000000000000004</v>
      </c>
      <c r="L699" s="230">
        <v>5</v>
      </c>
      <c r="M699" s="229">
        <v>0</v>
      </c>
      <c r="N699" s="230">
        <v>0</v>
      </c>
      <c r="O699" s="231">
        <v>493.1</v>
      </c>
      <c r="P699" s="222" t="s">
        <v>212</v>
      </c>
      <c r="Q699" s="229">
        <v>87</v>
      </c>
      <c r="R699" s="230">
        <v>24</v>
      </c>
      <c r="S699" s="229">
        <v>0</v>
      </c>
      <c r="T699" s="536">
        <v>0</v>
      </c>
      <c r="U699" s="536"/>
      <c r="V699" s="229">
        <v>87</v>
      </c>
      <c r="W699" s="222" t="s">
        <v>212</v>
      </c>
      <c r="X699" s="530">
        <v>580.1</v>
      </c>
      <c r="Y699" s="530"/>
      <c r="Z699" s="222" t="s">
        <v>212</v>
      </c>
      <c r="AA699" s="232">
        <v>7142400</v>
      </c>
      <c r="AB699" s="233">
        <v>13833</v>
      </c>
      <c r="AC699" s="215"/>
    </row>
    <row r="700" spans="1:29" ht="2.25" customHeight="1">
      <c r="A700" s="215"/>
      <c r="B700" s="529" t="s">
        <v>212</v>
      </c>
      <c r="C700" s="529"/>
      <c r="D700" s="219" t="s">
        <v>212</v>
      </c>
      <c r="E700" s="222" t="s">
        <v>212</v>
      </c>
      <c r="F700" s="531" t="s">
        <v>212</v>
      </c>
      <c r="G700" s="531"/>
      <c r="H700" s="222" t="s">
        <v>212</v>
      </c>
      <c r="I700" s="531" t="s">
        <v>212</v>
      </c>
      <c r="J700" s="531"/>
      <c r="K700" s="222" t="s">
        <v>212</v>
      </c>
      <c r="L700" s="222" t="s">
        <v>212</v>
      </c>
      <c r="M700" s="222" t="s">
        <v>212</v>
      </c>
      <c r="N700" s="222" t="s">
        <v>212</v>
      </c>
      <c r="O700" s="222" t="s">
        <v>212</v>
      </c>
      <c r="P700" s="222" t="s">
        <v>212</v>
      </c>
      <c r="Q700" s="222" t="s">
        <v>212</v>
      </c>
      <c r="R700" s="222" t="s">
        <v>212</v>
      </c>
      <c r="S700" s="222" t="s">
        <v>212</v>
      </c>
      <c r="T700" s="531" t="s">
        <v>212</v>
      </c>
      <c r="U700" s="531"/>
      <c r="V700" s="222" t="s">
        <v>212</v>
      </c>
      <c r="W700" s="222" t="s">
        <v>212</v>
      </c>
      <c r="X700" s="531" t="s">
        <v>212</v>
      </c>
      <c r="Y700" s="531"/>
      <c r="Z700" s="222" t="s">
        <v>212</v>
      </c>
      <c r="AA700" s="222" t="s">
        <v>212</v>
      </c>
      <c r="AB700" s="222" t="s">
        <v>212</v>
      </c>
      <c r="AC700" s="215"/>
    </row>
    <row r="701" spans="1:29" ht="13.5" customHeight="1">
      <c r="A701" s="215"/>
      <c r="B701" s="532">
        <v>39061</v>
      </c>
      <c r="C701" s="532"/>
      <c r="D701" s="219" t="s">
        <v>212</v>
      </c>
      <c r="E701" s="224">
        <v>232.3</v>
      </c>
      <c r="F701" s="533">
        <v>24</v>
      </c>
      <c r="G701" s="533"/>
      <c r="H701" s="224">
        <v>286.3</v>
      </c>
      <c r="I701" s="533">
        <v>24</v>
      </c>
      <c r="J701" s="533"/>
      <c r="K701" s="224">
        <v>0</v>
      </c>
      <c r="L701" s="225">
        <v>0</v>
      </c>
      <c r="M701" s="224">
        <v>0</v>
      </c>
      <c r="N701" s="225">
        <v>0</v>
      </c>
      <c r="O701" s="226">
        <v>518.6</v>
      </c>
      <c r="P701" s="222" t="s">
        <v>212</v>
      </c>
      <c r="Q701" s="224">
        <v>83</v>
      </c>
      <c r="R701" s="225">
        <v>24</v>
      </c>
      <c r="S701" s="224">
        <v>0</v>
      </c>
      <c r="T701" s="533">
        <v>0</v>
      </c>
      <c r="U701" s="533"/>
      <c r="V701" s="224">
        <v>83</v>
      </c>
      <c r="W701" s="222" t="s">
        <v>212</v>
      </c>
      <c r="X701" s="534">
        <v>601.6</v>
      </c>
      <c r="Y701" s="534"/>
      <c r="Z701" s="222" t="s">
        <v>212</v>
      </c>
      <c r="AA701" s="227">
        <v>7380600</v>
      </c>
      <c r="AB701" s="228">
        <v>0</v>
      </c>
      <c r="AC701" s="215"/>
    </row>
    <row r="702" spans="1:29" ht="2.25" customHeight="1">
      <c r="A702" s="215"/>
      <c r="B702" s="529" t="s">
        <v>212</v>
      </c>
      <c r="C702" s="529"/>
      <c r="D702" s="219" t="s">
        <v>212</v>
      </c>
      <c r="E702" s="222" t="s">
        <v>212</v>
      </c>
      <c r="F702" s="531" t="s">
        <v>212</v>
      </c>
      <c r="G702" s="531"/>
      <c r="H702" s="222" t="s">
        <v>212</v>
      </c>
      <c r="I702" s="531" t="s">
        <v>212</v>
      </c>
      <c r="J702" s="531"/>
      <c r="K702" s="222" t="s">
        <v>212</v>
      </c>
      <c r="L702" s="222" t="s">
        <v>212</v>
      </c>
      <c r="M702" s="222" t="s">
        <v>212</v>
      </c>
      <c r="N702" s="222" t="s">
        <v>212</v>
      </c>
      <c r="O702" s="222" t="s">
        <v>212</v>
      </c>
      <c r="P702" s="222" t="s">
        <v>212</v>
      </c>
      <c r="Q702" s="222" t="s">
        <v>212</v>
      </c>
      <c r="R702" s="222" t="s">
        <v>212</v>
      </c>
      <c r="S702" s="222" t="s">
        <v>212</v>
      </c>
      <c r="T702" s="531" t="s">
        <v>212</v>
      </c>
      <c r="U702" s="531"/>
      <c r="V702" s="222" t="s">
        <v>212</v>
      </c>
      <c r="W702" s="222" t="s">
        <v>212</v>
      </c>
      <c r="X702" s="531" t="s">
        <v>212</v>
      </c>
      <c r="Y702" s="531"/>
      <c r="Z702" s="222" t="s">
        <v>212</v>
      </c>
      <c r="AA702" s="222" t="s">
        <v>212</v>
      </c>
      <c r="AB702" s="222" t="s">
        <v>212</v>
      </c>
      <c r="AC702" s="215"/>
    </row>
    <row r="703" spans="1:29" ht="13.5" customHeight="1">
      <c r="A703" s="215"/>
      <c r="B703" s="535">
        <v>39062</v>
      </c>
      <c r="C703" s="535"/>
      <c r="D703" s="219" t="s">
        <v>212</v>
      </c>
      <c r="E703" s="229">
        <v>239.5</v>
      </c>
      <c r="F703" s="536">
        <v>24</v>
      </c>
      <c r="G703" s="536"/>
      <c r="H703" s="229">
        <v>287.7</v>
      </c>
      <c r="I703" s="536">
        <v>24</v>
      </c>
      <c r="J703" s="536"/>
      <c r="K703" s="229">
        <v>0</v>
      </c>
      <c r="L703" s="230">
        <v>0</v>
      </c>
      <c r="M703" s="229">
        <v>0</v>
      </c>
      <c r="N703" s="230">
        <v>0</v>
      </c>
      <c r="O703" s="231">
        <v>527.20000000000005</v>
      </c>
      <c r="P703" s="222" t="s">
        <v>212</v>
      </c>
      <c r="Q703" s="229">
        <v>85</v>
      </c>
      <c r="R703" s="230">
        <v>24</v>
      </c>
      <c r="S703" s="229">
        <v>0</v>
      </c>
      <c r="T703" s="536">
        <v>0</v>
      </c>
      <c r="U703" s="536"/>
      <c r="V703" s="229">
        <v>85</v>
      </c>
      <c r="W703" s="222" t="s">
        <v>212</v>
      </c>
      <c r="X703" s="530">
        <v>612.20000000000005</v>
      </c>
      <c r="Y703" s="530"/>
      <c r="Z703" s="222" t="s">
        <v>212</v>
      </c>
      <c r="AA703" s="232">
        <v>7456100</v>
      </c>
      <c r="AB703" s="233">
        <v>0</v>
      </c>
      <c r="AC703" s="215"/>
    </row>
    <row r="704" spans="1:29" ht="2.25" customHeight="1">
      <c r="A704" s="215"/>
      <c r="B704" s="529" t="s">
        <v>212</v>
      </c>
      <c r="C704" s="529"/>
      <c r="D704" s="219" t="s">
        <v>212</v>
      </c>
      <c r="E704" s="222" t="s">
        <v>212</v>
      </c>
      <c r="F704" s="531" t="s">
        <v>212</v>
      </c>
      <c r="G704" s="531"/>
      <c r="H704" s="222" t="s">
        <v>212</v>
      </c>
      <c r="I704" s="531" t="s">
        <v>212</v>
      </c>
      <c r="J704" s="531"/>
      <c r="K704" s="222" t="s">
        <v>212</v>
      </c>
      <c r="L704" s="222" t="s">
        <v>212</v>
      </c>
      <c r="M704" s="222" t="s">
        <v>212</v>
      </c>
      <c r="N704" s="222" t="s">
        <v>212</v>
      </c>
      <c r="O704" s="222" t="s">
        <v>212</v>
      </c>
      <c r="P704" s="222" t="s">
        <v>212</v>
      </c>
      <c r="Q704" s="222" t="s">
        <v>212</v>
      </c>
      <c r="R704" s="222" t="s">
        <v>212</v>
      </c>
      <c r="S704" s="222" t="s">
        <v>212</v>
      </c>
      <c r="T704" s="531" t="s">
        <v>212</v>
      </c>
      <c r="U704" s="531"/>
      <c r="V704" s="222" t="s">
        <v>212</v>
      </c>
      <c r="W704" s="222" t="s">
        <v>212</v>
      </c>
      <c r="X704" s="531" t="s">
        <v>212</v>
      </c>
      <c r="Y704" s="531"/>
      <c r="Z704" s="222" t="s">
        <v>212</v>
      </c>
      <c r="AA704" s="222" t="s">
        <v>212</v>
      </c>
      <c r="AB704" s="222" t="s">
        <v>212</v>
      </c>
      <c r="AC704" s="215"/>
    </row>
    <row r="705" spans="1:29" ht="13.5" customHeight="1">
      <c r="A705" s="215"/>
      <c r="B705" s="532">
        <v>39063</v>
      </c>
      <c r="C705" s="532"/>
      <c r="D705" s="219" t="s">
        <v>212</v>
      </c>
      <c r="E705" s="224">
        <v>254</v>
      </c>
      <c r="F705" s="533">
        <v>24</v>
      </c>
      <c r="G705" s="533"/>
      <c r="H705" s="224">
        <v>317.5</v>
      </c>
      <c r="I705" s="533">
        <v>24</v>
      </c>
      <c r="J705" s="533"/>
      <c r="K705" s="224">
        <v>0</v>
      </c>
      <c r="L705" s="225">
        <v>0</v>
      </c>
      <c r="M705" s="224">
        <v>0</v>
      </c>
      <c r="N705" s="225">
        <v>0</v>
      </c>
      <c r="O705" s="226">
        <v>571.5</v>
      </c>
      <c r="P705" s="222" t="s">
        <v>212</v>
      </c>
      <c r="Q705" s="224">
        <v>94</v>
      </c>
      <c r="R705" s="225">
        <v>24</v>
      </c>
      <c r="S705" s="224">
        <v>0</v>
      </c>
      <c r="T705" s="533">
        <v>0</v>
      </c>
      <c r="U705" s="533"/>
      <c r="V705" s="224">
        <v>94</v>
      </c>
      <c r="W705" s="222" t="s">
        <v>212</v>
      </c>
      <c r="X705" s="534">
        <v>665.5</v>
      </c>
      <c r="Y705" s="534"/>
      <c r="Z705" s="222" t="s">
        <v>212</v>
      </c>
      <c r="AA705" s="227">
        <v>7805700</v>
      </c>
      <c r="AB705" s="228">
        <v>0</v>
      </c>
      <c r="AC705" s="215"/>
    </row>
    <row r="706" spans="1:29" ht="2.25" customHeight="1">
      <c r="A706" s="215"/>
      <c r="B706" s="529" t="s">
        <v>212</v>
      </c>
      <c r="C706" s="529"/>
      <c r="D706" s="219" t="s">
        <v>212</v>
      </c>
      <c r="E706" s="222" t="s">
        <v>212</v>
      </c>
      <c r="F706" s="531" t="s">
        <v>212</v>
      </c>
      <c r="G706" s="531"/>
      <c r="H706" s="222" t="s">
        <v>212</v>
      </c>
      <c r="I706" s="531" t="s">
        <v>212</v>
      </c>
      <c r="J706" s="531"/>
      <c r="K706" s="222" t="s">
        <v>212</v>
      </c>
      <c r="L706" s="222" t="s">
        <v>212</v>
      </c>
      <c r="M706" s="222" t="s">
        <v>212</v>
      </c>
      <c r="N706" s="222" t="s">
        <v>212</v>
      </c>
      <c r="O706" s="222" t="s">
        <v>212</v>
      </c>
      <c r="P706" s="222" t="s">
        <v>212</v>
      </c>
      <c r="Q706" s="222" t="s">
        <v>212</v>
      </c>
      <c r="R706" s="222" t="s">
        <v>212</v>
      </c>
      <c r="S706" s="222" t="s">
        <v>212</v>
      </c>
      <c r="T706" s="531" t="s">
        <v>212</v>
      </c>
      <c r="U706" s="531"/>
      <c r="V706" s="222" t="s">
        <v>212</v>
      </c>
      <c r="W706" s="222" t="s">
        <v>212</v>
      </c>
      <c r="X706" s="531" t="s">
        <v>212</v>
      </c>
      <c r="Y706" s="531"/>
      <c r="Z706" s="222" t="s">
        <v>212</v>
      </c>
      <c r="AA706" s="222" t="s">
        <v>212</v>
      </c>
      <c r="AB706" s="222" t="s">
        <v>212</v>
      </c>
      <c r="AC706" s="215"/>
    </row>
    <row r="707" spans="1:29" ht="13.5" customHeight="1">
      <c r="A707" s="215"/>
      <c r="B707" s="535">
        <v>39064</v>
      </c>
      <c r="C707" s="535"/>
      <c r="D707" s="219" t="s">
        <v>212</v>
      </c>
      <c r="E707" s="229">
        <v>241.2</v>
      </c>
      <c r="F707" s="536">
        <v>24</v>
      </c>
      <c r="G707" s="536"/>
      <c r="H707" s="229">
        <v>301.5</v>
      </c>
      <c r="I707" s="536">
        <v>24</v>
      </c>
      <c r="J707" s="536"/>
      <c r="K707" s="229">
        <v>0</v>
      </c>
      <c r="L707" s="230">
        <v>0</v>
      </c>
      <c r="M707" s="229">
        <v>0</v>
      </c>
      <c r="N707" s="230">
        <v>0</v>
      </c>
      <c r="O707" s="231">
        <v>542.70000000000005</v>
      </c>
      <c r="P707" s="222" t="s">
        <v>212</v>
      </c>
      <c r="Q707" s="229">
        <v>126</v>
      </c>
      <c r="R707" s="230">
        <v>24</v>
      </c>
      <c r="S707" s="229">
        <v>0</v>
      </c>
      <c r="T707" s="536">
        <v>0</v>
      </c>
      <c r="U707" s="536"/>
      <c r="V707" s="229">
        <v>126</v>
      </c>
      <c r="W707" s="222" t="s">
        <v>212</v>
      </c>
      <c r="X707" s="530">
        <v>668.7</v>
      </c>
      <c r="Y707" s="530"/>
      <c r="Z707" s="222" t="s">
        <v>212</v>
      </c>
      <c r="AA707" s="232">
        <v>7554100</v>
      </c>
      <c r="AB707" s="233">
        <v>0</v>
      </c>
      <c r="AC707" s="215"/>
    </row>
    <row r="708" spans="1:29" ht="2.25" customHeight="1">
      <c r="A708" s="215"/>
      <c r="B708" s="529" t="s">
        <v>212</v>
      </c>
      <c r="C708" s="529"/>
      <c r="D708" s="219" t="s">
        <v>212</v>
      </c>
      <c r="E708" s="222" t="s">
        <v>212</v>
      </c>
      <c r="F708" s="531" t="s">
        <v>212</v>
      </c>
      <c r="G708" s="531"/>
      <c r="H708" s="222" t="s">
        <v>212</v>
      </c>
      <c r="I708" s="531" t="s">
        <v>212</v>
      </c>
      <c r="J708" s="531"/>
      <c r="K708" s="222" t="s">
        <v>212</v>
      </c>
      <c r="L708" s="222" t="s">
        <v>212</v>
      </c>
      <c r="M708" s="222" t="s">
        <v>212</v>
      </c>
      <c r="N708" s="222" t="s">
        <v>212</v>
      </c>
      <c r="O708" s="222" t="s">
        <v>212</v>
      </c>
      <c r="P708" s="222" t="s">
        <v>212</v>
      </c>
      <c r="Q708" s="222" t="s">
        <v>212</v>
      </c>
      <c r="R708" s="222" t="s">
        <v>212</v>
      </c>
      <c r="S708" s="222" t="s">
        <v>212</v>
      </c>
      <c r="T708" s="531" t="s">
        <v>212</v>
      </c>
      <c r="U708" s="531"/>
      <c r="V708" s="222" t="s">
        <v>212</v>
      </c>
      <c r="W708" s="222" t="s">
        <v>212</v>
      </c>
      <c r="X708" s="531" t="s">
        <v>212</v>
      </c>
      <c r="Y708" s="531"/>
      <c r="Z708" s="222" t="s">
        <v>212</v>
      </c>
      <c r="AA708" s="222" t="s">
        <v>212</v>
      </c>
      <c r="AB708" s="222" t="s">
        <v>212</v>
      </c>
      <c r="AC708" s="215"/>
    </row>
    <row r="709" spans="1:29" ht="13.5" customHeight="1">
      <c r="A709" s="215"/>
      <c r="B709" s="532">
        <v>39065</v>
      </c>
      <c r="C709" s="532"/>
      <c r="D709" s="219" t="s">
        <v>212</v>
      </c>
      <c r="E709" s="224">
        <v>237.9</v>
      </c>
      <c r="F709" s="533">
        <v>24</v>
      </c>
      <c r="G709" s="533"/>
      <c r="H709" s="224">
        <v>291.5</v>
      </c>
      <c r="I709" s="533">
        <v>24</v>
      </c>
      <c r="J709" s="533"/>
      <c r="K709" s="224">
        <v>0</v>
      </c>
      <c r="L709" s="225">
        <v>0</v>
      </c>
      <c r="M709" s="224">
        <v>0</v>
      </c>
      <c r="N709" s="225">
        <v>0</v>
      </c>
      <c r="O709" s="226">
        <v>529.4</v>
      </c>
      <c r="P709" s="222" t="s">
        <v>212</v>
      </c>
      <c r="Q709" s="224">
        <v>117</v>
      </c>
      <c r="R709" s="225">
        <v>24</v>
      </c>
      <c r="S709" s="224">
        <v>0</v>
      </c>
      <c r="T709" s="533">
        <v>0</v>
      </c>
      <c r="U709" s="533"/>
      <c r="V709" s="224">
        <v>117</v>
      </c>
      <c r="W709" s="222" t="s">
        <v>212</v>
      </c>
      <c r="X709" s="534">
        <v>646.4</v>
      </c>
      <c r="Y709" s="534"/>
      <c r="Z709" s="222" t="s">
        <v>212</v>
      </c>
      <c r="AA709" s="227">
        <v>7489400</v>
      </c>
      <c r="AB709" s="228">
        <v>0</v>
      </c>
      <c r="AC709" s="215"/>
    </row>
    <row r="710" spans="1:29" ht="2.25" customHeight="1">
      <c r="A710" s="215"/>
      <c r="B710" s="529" t="s">
        <v>212</v>
      </c>
      <c r="C710" s="529"/>
      <c r="D710" s="219" t="s">
        <v>212</v>
      </c>
      <c r="E710" s="222" t="s">
        <v>212</v>
      </c>
      <c r="F710" s="531" t="s">
        <v>212</v>
      </c>
      <c r="G710" s="531"/>
      <c r="H710" s="222" t="s">
        <v>212</v>
      </c>
      <c r="I710" s="531" t="s">
        <v>212</v>
      </c>
      <c r="J710" s="531"/>
      <c r="K710" s="222" t="s">
        <v>212</v>
      </c>
      <c r="L710" s="222" t="s">
        <v>212</v>
      </c>
      <c r="M710" s="222" t="s">
        <v>212</v>
      </c>
      <c r="N710" s="222" t="s">
        <v>212</v>
      </c>
      <c r="O710" s="222" t="s">
        <v>212</v>
      </c>
      <c r="P710" s="222" t="s">
        <v>212</v>
      </c>
      <c r="Q710" s="222" t="s">
        <v>212</v>
      </c>
      <c r="R710" s="222" t="s">
        <v>212</v>
      </c>
      <c r="S710" s="222" t="s">
        <v>212</v>
      </c>
      <c r="T710" s="531" t="s">
        <v>212</v>
      </c>
      <c r="U710" s="531"/>
      <c r="V710" s="222" t="s">
        <v>212</v>
      </c>
      <c r="W710" s="222" t="s">
        <v>212</v>
      </c>
      <c r="X710" s="531" t="s">
        <v>212</v>
      </c>
      <c r="Y710" s="531"/>
      <c r="Z710" s="222" t="s">
        <v>212</v>
      </c>
      <c r="AA710" s="222" t="s">
        <v>212</v>
      </c>
      <c r="AB710" s="222" t="s">
        <v>212</v>
      </c>
      <c r="AC710" s="215"/>
    </row>
    <row r="711" spans="1:29" ht="13.5" customHeight="1">
      <c r="A711" s="215"/>
      <c r="B711" s="535">
        <v>39066</v>
      </c>
      <c r="C711" s="535"/>
      <c r="D711" s="219" t="s">
        <v>212</v>
      </c>
      <c r="E711" s="229">
        <v>188.9</v>
      </c>
      <c r="F711" s="536">
        <v>24</v>
      </c>
      <c r="G711" s="536"/>
      <c r="H711" s="229">
        <v>241.5</v>
      </c>
      <c r="I711" s="536">
        <v>24</v>
      </c>
      <c r="J711" s="536"/>
      <c r="K711" s="229">
        <v>0</v>
      </c>
      <c r="L711" s="230">
        <v>0</v>
      </c>
      <c r="M711" s="229">
        <v>0</v>
      </c>
      <c r="N711" s="230">
        <v>0</v>
      </c>
      <c r="O711" s="231">
        <v>430.4</v>
      </c>
      <c r="P711" s="222" t="s">
        <v>212</v>
      </c>
      <c r="Q711" s="229">
        <v>105</v>
      </c>
      <c r="R711" s="230">
        <v>24</v>
      </c>
      <c r="S711" s="229">
        <v>0</v>
      </c>
      <c r="T711" s="536">
        <v>0</v>
      </c>
      <c r="U711" s="536"/>
      <c r="V711" s="229">
        <v>105</v>
      </c>
      <c r="W711" s="222" t="s">
        <v>212</v>
      </c>
      <c r="X711" s="530">
        <v>535.4</v>
      </c>
      <c r="Y711" s="530"/>
      <c r="Z711" s="222" t="s">
        <v>212</v>
      </c>
      <c r="AA711" s="232">
        <v>6715800</v>
      </c>
      <c r="AB711" s="233">
        <v>0</v>
      </c>
      <c r="AC711" s="215"/>
    </row>
    <row r="712" spans="1:29" ht="2.25" customHeight="1">
      <c r="A712" s="215"/>
      <c r="B712" s="529" t="s">
        <v>212</v>
      </c>
      <c r="C712" s="529"/>
      <c r="D712" s="219" t="s">
        <v>212</v>
      </c>
      <c r="E712" s="222" t="s">
        <v>212</v>
      </c>
      <c r="F712" s="531" t="s">
        <v>212</v>
      </c>
      <c r="G712" s="531"/>
      <c r="H712" s="222" t="s">
        <v>212</v>
      </c>
      <c r="I712" s="531" t="s">
        <v>212</v>
      </c>
      <c r="J712" s="531"/>
      <c r="K712" s="222" t="s">
        <v>212</v>
      </c>
      <c r="L712" s="222" t="s">
        <v>212</v>
      </c>
      <c r="M712" s="222" t="s">
        <v>212</v>
      </c>
      <c r="N712" s="222" t="s">
        <v>212</v>
      </c>
      <c r="O712" s="222" t="s">
        <v>212</v>
      </c>
      <c r="P712" s="222" t="s">
        <v>212</v>
      </c>
      <c r="Q712" s="222" t="s">
        <v>212</v>
      </c>
      <c r="R712" s="222" t="s">
        <v>212</v>
      </c>
      <c r="S712" s="222" t="s">
        <v>212</v>
      </c>
      <c r="T712" s="531" t="s">
        <v>212</v>
      </c>
      <c r="U712" s="531"/>
      <c r="V712" s="222" t="s">
        <v>212</v>
      </c>
      <c r="W712" s="222" t="s">
        <v>212</v>
      </c>
      <c r="X712" s="531" t="s">
        <v>212</v>
      </c>
      <c r="Y712" s="531"/>
      <c r="Z712" s="222" t="s">
        <v>212</v>
      </c>
      <c r="AA712" s="222" t="s">
        <v>212</v>
      </c>
      <c r="AB712" s="222" t="s">
        <v>212</v>
      </c>
      <c r="AC712" s="215"/>
    </row>
    <row r="713" spans="1:29" ht="13.5" customHeight="1">
      <c r="A713" s="215"/>
      <c r="B713" s="532">
        <v>39067</v>
      </c>
      <c r="C713" s="532"/>
      <c r="D713" s="219" t="s">
        <v>212</v>
      </c>
      <c r="E713" s="224">
        <v>218</v>
      </c>
      <c r="F713" s="533">
        <v>24</v>
      </c>
      <c r="G713" s="533"/>
      <c r="H713" s="224">
        <v>231.1</v>
      </c>
      <c r="I713" s="533">
        <v>24</v>
      </c>
      <c r="J713" s="533"/>
      <c r="K713" s="224">
        <v>0</v>
      </c>
      <c r="L713" s="225">
        <v>0</v>
      </c>
      <c r="M713" s="224">
        <v>0</v>
      </c>
      <c r="N713" s="225">
        <v>0</v>
      </c>
      <c r="O713" s="226">
        <v>449.1</v>
      </c>
      <c r="P713" s="222" t="s">
        <v>212</v>
      </c>
      <c r="Q713" s="224">
        <v>109</v>
      </c>
      <c r="R713" s="225">
        <v>24</v>
      </c>
      <c r="S713" s="224">
        <v>0</v>
      </c>
      <c r="T713" s="533">
        <v>0</v>
      </c>
      <c r="U713" s="533"/>
      <c r="V713" s="224">
        <v>109</v>
      </c>
      <c r="W713" s="222" t="s">
        <v>212</v>
      </c>
      <c r="X713" s="534">
        <v>558.1</v>
      </c>
      <c r="Y713" s="534"/>
      <c r="Z713" s="222" t="s">
        <v>212</v>
      </c>
      <c r="AA713" s="227">
        <v>6817600</v>
      </c>
      <c r="AB713" s="228">
        <v>0</v>
      </c>
      <c r="AC713" s="215"/>
    </row>
    <row r="714" spans="1:29" ht="2.25" customHeight="1">
      <c r="A714" s="215"/>
      <c r="B714" s="529" t="s">
        <v>212</v>
      </c>
      <c r="C714" s="529"/>
      <c r="D714" s="219" t="s">
        <v>212</v>
      </c>
      <c r="E714" s="222" t="s">
        <v>212</v>
      </c>
      <c r="F714" s="531" t="s">
        <v>212</v>
      </c>
      <c r="G714" s="531"/>
      <c r="H714" s="222" t="s">
        <v>212</v>
      </c>
      <c r="I714" s="531" t="s">
        <v>212</v>
      </c>
      <c r="J714" s="531"/>
      <c r="K714" s="222" t="s">
        <v>212</v>
      </c>
      <c r="L714" s="222" t="s">
        <v>212</v>
      </c>
      <c r="M714" s="222" t="s">
        <v>212</v>
      </c>
      <c r="N714" s="222" t="s">
        <v>212</v>
      </c>
      <c r="O714" s="222" t="s">
        <v>212</v>
      </c>
      <c r="P714" s="222" t="s">
        <v>212</v>
      </c>
      <c r="Q714" s="222" t="s">
        <v>212</v>
      </c>
      <c r="R714" s="222" t="s">
        <v>212</v>
      </c>
      <c r="S714" s="222" t="s">
        <v>212</v>
      </c>
      <c r="T714" s="531" t="s">
        <v>212</v>
      </c>
      <c r="U714" s="531"/>
      <c r="V714" s="222" t="s">
        <v>212</v>
      </c>
      <c r="W714" s="222" t="s">
        <v>212</v>
      </c>
      <c r="X714" s="531" t="s">
        <v>212</v>
      </c>
      <c r="Y714" s="531"/>
      <c r="Z714" s="222" t="s">
        <v>212</v>
      </c>
      <c r="AA714" s="222" t="s">
        <v>212</v>
      </c>
      <c r="AB714" s="222" t="s">
        <v>212</v>
      </c>
      <c r="AC714" s="215"/>
    </row>
    <row r="715" spans="1:29" ht="13.5" customHeight="1">
      <c r="A715" s="215"/>
      <c r="B715" s="535">
        <v>39068</v>
      </c>
      <c r="C715" s="535"/>
      <c r="D715" s="219" t="s">
        <v>212</v>
      </c>
      <c r="E715" s="229">
        <v>218.9</v>
      </c>
      <c r="F715" s="536">
        <v>24</v>
      </c>
      <c r="G715" s="536"/>
      <c r="H715" s="229">
        <v>230.5</v>
      </c>
      <c r="I715" s="536">
        <v>24</v>
      </c>
      <c r="J715" s="536"/>
      <c r="K715" s="229">
        <v>0</v>
      </c>
      <c r="L715" s="230">
        <v>0</v>
      </c>
      <c r="M715" s="229">
        <v>0</v>
      </c>
      <c r="N715" s="230">
        <v>0</v>
      </c>
      <c r="O715" s="231">
        <v>449.4</v>
      </c>
      <c r="P715" s="222" t="s">
        <v>212</v>
      </c>
      <c r="Q715" s="229">
        <v>91</v>
      </c>
      <c r="R715" s="230">
        <v>24</v>
      </c>
      <c r="S715" s="229">
        <v>0</v>
      </c>
      <c r="T715" s="536">
        <v>0</v>
      </c>
      <c r="U715" s="536"/>
      <c r="V715" s="229">
        <v>91</v>
      </c>
      <c r="W715" s="222" t="s">
        <v>212</v>
      </c>
      <c r="X715" s="530">
        <v>540.4</v>
      </c>
      <c r="Y715" s="530"/>
      <c r="Z715" s="222" t="s">
        <v>212</v>
      </c>
      <c r="AA715" s="232">
        <v>6289787</v>
      </c>
      <c r="AB715" s="233">
        <v>0</v>
      </c>
      <c r="AC715" s="215"/>
    </row>
    <row r="716" spans="1:29" ht="2.25" customHeight="1">
      <c r="A716" s="215"/>
      <c r="B716" s="529" t="s">
        <v>212</v>
      </c>
      <c r="C716" s="529"/>
      <c r="D716" s="219" t="s">
        <v>212</v>
      </c>
      <c r="E716" s="222" t="s">
        <v>212</v>
      </c>
      <c r="F716" s="531" t="s">
        <v>212</v>
      </c>
      <c r="G716" s="531"/>
      <c r="H716" s="222" t="s">
        <v>212</v>
      </c>
      <c r="I716" s="531" t="s">
        <v>212</v>
      </c>
      <c r="J716" s="531"/>
      <c r="K716" s="222" t="s">
        <v>212</v>
      </c>
      <c r="L716" s="222" t="s">
        <v>212</v>
      </c>
      <c r="M716" s="222" t="s">
        <v>212</v>
      </c>
      <c r="N716" s="222" t="s">
        <v>212</v>
      </c>
      <c r="O716" s="222" t="s">
        <v>212</v>
      </c>
      <c r="P716" s="222" t="s">
        <v>212</v>
      </c>
      <c r="Q716" s="222" t="s">
        <v>212</v>
      </c>
      <c r="R716" s="222" t="s">
        <v>212</v>
      </c>
      <c r="S716" s="222" t="s">
        <v>212</v>
      </c>
      <c r="T716" s="531" t="s">
        <v>212</v>
      </c>
      <c r="U716" s="531"/>
      <c r="V716" s="222" t="s">
        <v>212</v>
      </c>
      <c r="W716" s="222" t="s">
        <v>212</v>
      </c>
      <c r="X716" s="531" t="s">
        <v>212</v>
      </c>
      <c r="Y716" s="531"/>
      <c r="Z716" s="222" t="s">
        <v>212</v>
      </c>
      <c r="AA716" s="222" t="s">
        <v>212</v>
      </c>
      <c r="AB716" s="222" t="s">
        <v>212</v>
      </c>
      <c r="AC716" s="215"/>
    </row>
    <row r="717" spans="1:29" ht="13.5" customHeight="1">
      <c r="A717" s="215"/>
      <c r="B717" s="532">
        <v>39069</v>
      </c>
      <c r="C717" s="532"/>
      <c r="D717" s="219" t="s">
        <v>212</v>
      </c>
      <c r="E717" s="224">
        <v>223.6</v>
      </c>
      <c r="F717" s="533">
        <v>24</v>
      </c>
      <c r="G717" s="533"/>
      <c r="H717" s="224">
        <v>230.3</v>
      </c>
      <c r="I717" s="533">
        <v>24</v>
      </c>
      <c r="J717" s="533"/>
      <c r="K717" s="224">
        <v>0</v>
      </c>
      <c r="L717" s="225">
        <v>0</v>
      </c>
      <c r="M717" s="224">
        <v>0</v>
      </c>
      <c r="N717" s="225">
        <v>0</v>
      </c>
      <c r="O717" s="226">
        <v>453.9</v>
      </c>
      <c r="P717" s="222" t="s">
        <v>212</v>
      </c>
      <c r="Q717" s="224">
        <v>83</v>
      </c>
      <c r="R717" s="225">
        <v>24</v>
      </c>
      <c r="S717" s="224">
        <v>0</v>
      </c>
      <c r="T717" s="533">
        <v>0</v>
      </c>
      <c r="U717" s="533"/>
      <c r="V717" s="224">
        <v>83</v>
      </c>
      <c r="W717" s="222" t="s">
        <v>212</v>
      </c>
      <c r="X717" s="534">
        <v>536.9</v>
      </c>
      <c r="Y717" s="534"/>
      <c r="Z717" s="222" t="s">
        <v>212</v>
      </c>
      <c r="AA717" s="227">
        <v>6363200</v>
      </c>
      <c r="AB717" s="228">
        <v>0</v>
      </c>
      <c r="AC717" s="215"/>
    </row>
    <row r="718" spans="1:29" ht="2.25" customHeight="1">
      <c r="A718" s="215"/>
      <c r="B718" s="529" t="s">
        <v>212</v>
      </c>
      <c r="C718" s="529"/>
      <c r="D718" s="219" t="s">
        <v>212</v>
      </c>
      <c r="E718" s="222" t="s">
        <v>212</v>
      </c>
      <c r="F718" s="531" t="s">
        <v>212</v>
      </c>
      <c r="G718" s="531"/>
      <c r="H718" s="222" t="s">
        <v>212</v>
      </c>
      <c r="I718" s="531" t="s">
        <v>212</v>
      </c>
      <c r="J718" s="531"/>
      <c r="K718" s="222" t="s">
        <v>212</v>
      </c>
      <c r="L718" s="222" t="s">
        <v>212</v>
      </c>
      <c r="M718" s="222" t="s">
        <v>212</v>
      </c>
      <c r="N718" s="222" t="s">
        <v>212</v>
      </c>
      <c r="O718" s="222" t="s">
        <v>212</v>
      </c>
      <c r="P718" s="222" t="s">
        <v>212</v>
      </c>
      <c r="Q718" s="222" t="s">
        <v>212</v>
      </c>
      <c r="R718" s="222" t="s">
        <v>212</v>
      </c>
      <c r="S718" s="222" t="s">
        <v>212</v>
      </c>
      <c r="T718" s="531" t="s">
        <v>212</v>
      </c>
      <c r="U718" s="531"/>
      <c r="V718" s="222" t="s">
        <v>212</v>
      </c>
      <c r="W718" s="222" t="s">
        <v>212</v>
      </c>
      <c r="X718" s="531" t="s">
        <v>212</v>
      </c>
      <c r="Y718" s="531"/>
      <c r="Z718" s="222" t="s">
        <v>212</v>
      </c>
      <c r="AA718" s="222" t="s">
        <v>212</v>
      </c>
      <c r="AB718" s="222" t="s">
        <v>212</v>
      </c>
      <c r="AC718" s="215"/>
    </row>
    <row r="719" spans="1:29" ht="13.5" customHeight="1">
      <c r="A719" s="215"/>
      <c r="B719" s="535">
        <v>39070</v>
      </c>
      <c r="C719" s="535"/>
      <c r="D719" s="219" t="s">
        <v>212</v>
      </c>
      <c r="E719" s="229">
        <v>226.5</v>
      </c>
      <c r="F719" s="536">
        <v>24</v>
      </c>
      <c r="G719" s="536"/>
      <c r="H719" s="229">
        <v>253.1</v>
      </c>
      <c r="I719" s="536">
        <v>24</v>
      </c>
      <c r="J719" s="536"/>
      <c r="K719" s="229">
        <v>0</v>
      </c>
      <c r="L719" s="230">
        <v>0</v>
      </c>
      <c r="M719" s="229">
        <v>0</v>
      </c>
      <c r="N719" s="230">
        <v>0</v>
      </c>
      <c r="O719" s="231">
        <v>479.6</v>
      </c>
      <c r="P719" s="222" t="s">
        <v>212</v>
      </c>
      <c r="Q719" s="229">
        <v>85</v>
      </c>
      <c r="R719" s="230">
        <v>24</v>
      </c>
      <c r="S719" s="229">
        <v>0</v>
      </c>
      <c r="T719" s="536">
        <v>0</v>
      </c>
      <c r="U719" s="536"/>
      <c r="V719" s="229">
        <v>85</v>
      </c>
      <c r="W719" s="222" t="s">
        <v>212</v>
      </c>
      <c r="X719" s="530">
        <v>564.6</v>
      </c>
      <c r="Y719" s="530"/>
      <c r="Z719" s="222" t="s">
        <v>212</v>
      </c>
      <c r="AA719" s="232">
        <v>6549400</v>
      </c>
      <c r="AB719" s="233">
        <v>0</v>
      </c>
      <c r="AC719" s="215"/>
    </row>
    <row r="720" spans="1:29" ht="2.25" customHeight="1">
      <c r="A720" s="215"/>
      <c r="B720" s="529" t="s">
        <v>212</v>
      </c>
      <c r="C720" s="529"/>
      <c r="D720" s="219" t="s">
        <v>212</v>
      </c>
      <c r="E720" s="222" t="s">
        <v>212</v>
      </c>
      <c r="F720" s="531" t="s">
        <v>212</v>
      </c>
      <c r="G720" s="531"/>
      <c r="H720" s="222" t="s">
        <v>212</v>
      </c>
      <c r="I720" s="531" t="s">
        <v>212</v>
      </c>
      <c r="J720" s="531"/>
      <c r="K720" s="222" t="s">
        <v>212</v>
      </c>
      <c r="L720" s="222" t="s">
        <v>212</v>
      </c>
      <c r="M720" s="222" t="s">
        <v>212</v>
      </c>
      <c r="N720" s="222" t="s">
        <v>212</v>
      </c>
      <c r="O720" s="222" t="s">
        <v>212</v>
      </c>
      <c r="P720" s="222" t="s">
        <v>212</v>
      </c>
      <c r="Q720" s="222" t="s">
        <v>212</v>
      </c>
      <c r="R720" s="222" t="s">
        <v>212</v>
      </c>
      <c r="S720" s="222" t="s">
        <v>212</v>
      </c>
      <c r="T720" s="531" t="s">
        <v>212</v>
      </c>
      <c r="U720" s="531"/>
      <c r="V720" s="222" t="s">
        <v>212</v>
      </c>
      <c r="W720" s="222" t="s">
        <v>212</v>
      </c>
      <c r="X720" s="531" t="s">
        <v>212</v>
      </c>
      <c r="Y720" s="531"/>
      <c r="Z720" s="222" t="s">
        <v>212</v>
      </c>
      <c r="AA720" s="222" t="s">
        <v>212</v>
      </c>
      <c r="AB720" s="222" t="s">
        <v>212</v>
      </c>
      <c r="AC720" s="215"/>
    </row>
    <row r="721" spans="1:29" ht="13.5" customHeight="1">
      <c r="A721" s="215"/>
      <c r="B721" s="532">
        <v>39071</v>
      </c>
      <c r="C721" s="532"/>
      <c r="D721" s="219" t="s">
        <v>212</v>
      </c>
      <c r="E721" s="224">
        <v>91.9</v>
      </c>
      <c r="F721" s="533">
        <v>9</v>
      </c>
      <c r="G721" s="533"/>
      <c r="H721" s="224">
        <v>271.60000000000002</v>
      </c>
      <c r="I721" s="533">
        <v>24</v>
      </c>
      <c r="J721" s="533"/>
      <c r="K721" s="224">
        <v>151</v>
      </c>
      <c r="L721" s="225">
        <v>16</v>
      </c>
      <c r="M721" s="224">
        <v>0</v>
      </c>
      <c r="N721" s="225">
        <v>0</v>
      </c>
      <c r="O721" s="226">
        <v>514.5</v>
      </c>
      <c r="P721" s="222" t="s">
        <v>212</v>
      </c>
      <c r="Q721" s="224">
        <v>83</v>
      </c>
      <c r="R721" s="225">
        <v>24</v>
      </c>
      <c r="S721" s="224">
        <v>0</v>
      </c>
      <c r="T721" s="533">
        <v>0</v>
      </c>
      <c r="U721" s="533"/>
      <c r="V721" s="224">
        <v>83</v>
      </c>
      <c r="W721" s="222" t="s">
        <v>212</v>
      </c>
      <c r="X721" s="534">
        <v>597.5</v>
      </c>
      <c r="Y721" s="534"/>
      <c r="Z721" s="222" t="s">
        <v>212</v>
      </c>
      <c r="AA721" s="227">
        <v>2778800</v>
      </c>
      <c r="AB721" s="228">
        <v>168645</v>
      </c>
      <c r="AC721" s="215"/>
    </row>
    <row r="722" spans="1:29" ht="2.25" customHeight="1">
      <c r="A722" s="215"/>
      <c r="B722" s="529" t="s">
        <v>212</v>
      </c>
      <c r="C722" s="529"/>
      <c r="D722" s="219" t="s">
        <v>212</v>
      </c>
      <c r="E722" s="222" t="s">
        <v>212</v>
      </c>
      <c r="F722" s="531" t="s">
        <v>212</v>
      </c>
      <c r="G722" s="531"/>
      <c r="H722" s="222" t="s">
        <v>212</v>
      </c>
      <c r="I722" s="531" t="s">
        <v>212</v>
      </c>
      <c r="J722" s="531"/>
      <c r="K722" s="222" t="s">
        <v>212</v>
      </c>
      <c r="L722" s="222" t="s">
        <v>212</v>
      </c>
      <c r="M722" s="222" t="s">
        <v>212</v>
      </c>
      <c r="N722" s="222" t="s">
        <v>212</v>
      </c>
      <c r="O722" s="222" t="s">
        <v>212</v>
      </c>
      <c r="P722" s="222" t="s">
        <v>212</v>
      </c>
      <c r="Q722" s="222" t="s">
        <v>212</v>
      </c>
      <c r="R722" s="222" t="s">
        <v>212</v>
      </c>
      <c r="S722" s="222" t="s">
        <v>212</v>
      </c>
      <c r="T722" s="531" t="s">
        <v>212</v>
      </c>
      <c r="U722" s="531"/>
      <c r="V722" s="222" t="s">
        <v>212</v>
      </c>
      <c r="W722" s="222" t="s">
        <v>212</v>
      </c>
      <c r="X722" s="531" t="s">
        <v>212</v>
      </c>
      <c r="Y722" s="531"/>
      <c r="Z722" s="222" t="s">
        <v>212</v>
      </c>
      <c r="AA722" s="222" t="s">
        <v>212</v>
      </c>
      <c r="AB722" s="222" t="s">
        <v>212</v>
      </c>
      <c r="AC722" s="215"/>
    </row>
    <row r="723" spans="1:29" ht="13.5" customHeight="1">
      <c r="A723" s="215"/>
      <c r="B723" s="535">
        <v>39072</v>
      </c>
      <c r="C723" s="535"/>
      <c r="D723" s="219" t="s">
        <v>212</v>
      </c>
      <c r="E723" s="229">
        <v>0</v>
      </c>
      <c r="F723" s="536">
        <v>0</v>
      </c>
      <c r="G723" s="536"/>
      <c r="H723" s="229">
        <v>293.89999999999998</v>
      </c>
      <c r="I723" s="536">
        <v>24</v>
      </c>
      <c r="J723" s="536"/>
      <c r="K723" s="229">
        <v>255</v>
      </c>
      <c r="L723" s="230">
        <v>24</v>
      </c>
      <c r="M723" s="229">
        <v>0</v>
      </c>
      <c r="N723" s="230">
        <v>0</v>
      </c>
      <c r="O723" s="231">
        <v>548.9</v>
      </c>
      <c r="P723" s="222" t="s">
        <v>212</v>
      </c>
      <c r="Q723" s="229">
        <v>84</v>
      </c>
      <c r="R723" s="230">
        <v>24</v>
      </c>
      <c r="S723" s="229">
        <v>0</v>
      </c>
      <c r="T723" s="536">
        <v>0</v>
      </c>
      <c r="U723" s="536"/>
      <c r="V723" s="229">
        <v>84</v>
      </c>
      <c r="W723" s="222" t="s">
        <v>212</v>
      </c>
      <c r="X723" s="530">
        <v>632.9</v>
      </c>
      <c r="Y723" s="530"/>
      <c r="Z723" s="222" t="s">
        <v>212</v>
      </c>
      <c r="AA723" s="232">
        <v>0</v>
      </c>
      <c r="AB723" s="233">
        <v>281628</v>
      </c>
      <c r="AC723" s="215"/>
    </row>
    <row r="724" spans="1:29" ht="2.25" customHeight="1">
      <c r="A724" s="215"/>
      <c r="B724" s="529" t="s">
        <v>212</v>
      </c>
      <c r="C724" s="529"/>
      <c r="D724" s="219" t="s">
        <v>212</v>
      </c>
      <c r="E724" s="222" t="s">
        <v>212</v>
      </c>
      <c r="F724" s="531" t="s">
        <v>212</v>
      </c>
      <c r="G724" s="531"/>
      <c r="H724" s="222" t="s">
        <v>212</v>
      </c>
      <c r="I724" s="531" t="s">
        <v>212</v>
      </c>
      <c r="J724" s="531"/>
      <c r="K724" s="222" t="s">
        <v>212</v>
      </c>
      <c r="L724" s="222" t="s">
        <v>212</v>
      </c>
      <c r="M724" s="222" t="s">
        <v>212</v>
      </c>
      <c r="N724" s="222" t="s">
        <v>212</v>
      </c>
      <c r="O724" s="222" t="s">
        <v>212</v>
      </c>
      <c r="P724" s="222" t="s">
        <v>212</v>
      </c>
      <c r="Q724" s="222" t="s">
        <v>212</v>
      </c>
      <c r="R724" s="222" t="s">
        <v>212</v>
      </c>
      <c r="S724" s="222" t="s">
        <v>212</v>
      </c>
      <c r="T724" s="531" t="s">
        <v>212</v>
      </c>
      <c r="U724" s="531"/>
      <c r="V724" s="222" t="s">
        <v>212</v>
      </c>
      <c r="W724" s="222" t="s">
        <v>212</v>
      </c>
      <c r="X724" s="531" t="s">
        <v>212</v>
      </c>
      <c r="Y724" s="531"/>
      <c r="Z724" s="222" t="s">
        <v>212</v>
      </c>
      <c r="AA724" s="222" t="s">
        <v>212</v>
      </c>
      <c r="AB724" s="222" t="s">
        <v>212</v>
      </c>
      <c r="AC724" s="215"/>
    </row>
    <row r="725" spans="1:29" ht="13.5" customHeight="1">
      <c r="A725" s="215"/>
      <c r="B725" s="532">
        <v>39073</v>
      </c>
      <c r="C725" s="532"/>
      <c r="D725" s="219" t="s">
        <v>212</v>
      </c>
      <c r="E725" s="224">
        <v>0</v>
      </c>
      <c r="F725" s="533">
        <v>0</v>
      </c>
      <c r="G725" s="533"/>
      <c r="H725" s="224">
        <v>314</v>
      </c>
      <c r="I725" s="533">
        <v>24</v>
      </c>
      <c r="J725" s="533"/>
      <c r="K725" s="224">
        <v>277.2</v>
      </c>
      <c r="L725" s="225">
        <v>24</v>
      </c>
      <c r="M725" s="224">
        <v>0</v>
      </c>
      <c r="N725" s="225">
        <v>0</v>
      </c>
      <c r="O725" s="226">
        <v>591.20000000000005</v>
      </c>
      <c r="P725" s="222" t="s">
        <v>212</v>
      </c>
      <c r="Q725" s="224">
        <v>83</v>
      </c>
      <c r="R725" s="225">
        <v>24</v>
      </c>
      <c r="S725" s="224">
        <v>0</v>
      </c>
      <c r="T725" s="533">
        <v>0</v>
      </c>
      <c r="U725" s="533"/>
      <c r="V725" s="224">
        <v>83</v>
      </c>
      <c r="W725" s="222" t="s">
        <v>212</v>
      </c>
      <c r="X725" s="534">
        <v>674.2</v>
      </c>
      <c r="Y725" s="534"/>
      <c r="Z725" s="222" t="s">
        <v>212</v>
      </c>
      <c r="AA725" s="227">
        <v>0</v>
      </c>
      <c r="AB725" s="228">
        <v>289998</v>
      </c>
      <c r="AC725" s="215"/>
    </row>
    <row r="726" spans="1:29" ht="2.25" customHeight="1">
      <c r="A726" s="215"/>
      <c r="B726" s="529" t="s">
        <v>212</v>
      </c>
      <c r="C726" s="529"/>
      <c r="D726" s="219" t="s">
        <v>212</v>
      </c>
      <c r="E726" s="222" t="s">
        <v>212</v>
      </c>
      <c r="F726" s="531" t="s">
        <v>212</v>
      </c>
      <c r="G726" s="531"/>
      <c r="H726" s="222" t="s">
        <v>212</v>
      </c>
      <c r="I726" s="531" t="s">
        <v>212</v>
      </c>
      <c r="J726" s="531"/>
      <c r="K726" s="222" t="s">
        <v>212</v>
      </c>
      <c r="L726" s="222" t="s">
        <v>212</v>
      </c>
      <c r="M726" s="222" t="s">
        <v>212</v>
      </c>
      <c r="N726" s="222" t="s">
        <v>212</v>
      </c>
      <c r="O726" s="222" t="s">
        <v>212</v>
      </c>
      <c r="P726" s="222" t="s">
        <v>212</v>
      </c>
      <c r="Q726" s="222" t="s">
        <v>212</v>
      </c>
      <c r="R726" s="222" t="s">
        <v>212</v>
      </c>
      <c r="S726" s="222" t="s">
        <v>212</v>
      </c>
      <c r="T726" s="531" t="s">
        <v>212</v>
      </c>
      <c r="U726" s="531"/>
      <c r="V726" s="222" t="s">
        <v>212</v>
      </c>
      <c r="W726" s="222" t="s">
        <v>212</v>
      </c>
      <c r="X726" s="531" t="s">
        <v>212</v>
      </c>
      <c r="Y726" s="531"/>
      <c r="Z726" s="222" t="s">
        <v>212</v>
      </c>
      <c r="AA726" s="222" t="s">
        <v>212</v>
      </c>
      <c r="AB726" s="222" t="s">
        <v>212</v>
      </c>
      <c r="AC726" s="215"/>
    </row>
    <row r="727" spans="1:29" ht="13.5" customHeight="1">
      <c r="A727" s="215"/>
      <c r="B727" s="535">
        <v>39074</v>
      </c>
      <c r="C727" s="535"/>
      <c r="D727" s="219" t="s">
        <v>212</v>
      </c>
      <c r="E727" s="229">
        <v>154.30000000000001</v>
      </c>
      <c r="F727" s="536">
        <v>15</v>
      </c>
      <c r="G727" s="536"/>
      <c r="H727" s="229">
        <v>329</v>
      </c>
      <c r="I727" s="536">
        <v>24</v>
      </c>
      <c r="J727" s="536"/>
      <c r="K727" s="229">
        <v>114</v>
      </c>
      <c r="L727" s="230">
        <v>10</v>
      </c>
      <c r="M727" s="229">
        <v>0</v>
      </c>
      <c r="N727" s="230">
        <v>0</v>
      </c>
      <c r="O727" s="231">
        <v>597.29999999999995</v>
      </c>
      <c r="P727" s="222" t="s">
        <v>212</v>
      </c>
      <c r="Q727" s="229">
        <v>89</v>
      </c>
      <c r="R727" s="230">
        <v>24</v>
      </c>
      <c r="S727" s="229">
        <v>0</v>
      </c>
      <c r="T727" s="536">
        <v>0</v>
      </c>
      <c r="U727" s="536"/>
      <c r="V727" s="229">
        <v>89</v>
      </c>
      <c r="W727" s="222" t="s">
        <v>212</v>
      </c>
      <c r="X727" s="530">
        <v>686.3</v>
      </c>
      <c r="Y727" s="530"/>
      <c r="Z727" s="222" t="s">
        <v>212</v>
      </c>
      <c r="AA727" s="232">
        <v>4628300</v>
      </c>
      <c r="AB727" s="233">
        <v>120033</v>
      </c>
      <c r="AC727" s="215"/>
    </row>
    <row r="728" spans="1:29" ht="2.25" customHeight="1">
      <c r="A728" s="215"/>
      <c r="B728" s="529" t="s">
        <v>212</v>
      </c>
      <c r="C728" s="529"/>
      <c r="D728" s="219" t="s">
        <v>212</v>
      </c>
      <c r="E728" s="222" t="s">
        <v>212</v>
      </c>
      <c r="F728" s="531" t="s">
        <v>212</v>
      </c>
      <c r="G728" s="531"/>
      <c r="H728" s="222" t="s">
        <v>212</v>
      </c>
      <c r="I728" s="531" t="s">
        <v>212</v>
      </c>
      <c r="J728" s="531"/>
      <c r="K728" s="222" t="s">
        <v>212</v>
      </c>
      <c r="L728" s="222" t="s">
        <v>212</v>
      </c>
      <c r="M728" s="222" t="s">
        <v>212</v>
      </c>
      <c r="N728" s="222" t="s">
        <v>212</v>
      </c>
      <c r="O728" s="222" t="s">
        <v>212</v>
      </c>
      <c r="P728" s="222" t="s">
        <v>212</v>
      </c>
      <c r="Q728" s="222" t="s">
        <v>212</v>
      </c>
      <c r="R728" s="222" t="s">
        <v>212</v>
      </c>
      <c r="S728" s="222" t="s">
        <v>212</v>
      </c>
      <c r="T728" s="531" t="s">
        <v>212</v>
      </c>
      <c r="U728" s="531"/>
      <c r="V728" s="222" t="s">
        <v>212</v>
      </c>
      <c r="W728" s="222" t="s">
        <v>212</v>
      </c>
      <c r="X728" s="531" t="s">
        <v>212</v>
      </c>
      <c r="Y728" s="531"/>
      <c r="Z728" s="222" t="s">
        <v>212</v>
      </c>
      <c r="AA728" s="222" t="s">
        <v>212</v>
      </c>
      <c r="AB728" s="222" t="s">
        <v>212</v>
      </c>
      <c r="AC728" s="215"/>
    </row>
    <row r="729" spans="1:29" ht="13.5" customHeight="1">
      <c r="A729" s="215"/>
      <c r="B729" s="532">
        <v>39075</v>
      </c>
      <c r="C729" s="532"/>
      <c r="D729" s="219" t="s">
        <v>212</v>
      </c>
      <c r="E729" s="224">
        <v>229.6</v>
      </c>
      <c r="F729" s="533">
        <v>23</v>
      </c>
      <c r="G729" s="533"/>
      <c r="H729" s="224">
        <v>149.69999999999999</v>
      </c>
      <c r="I729" s="533">
        <v>21</v>
      </c>
      <c r="J729" s="533"/>
      <c r="K729" s="224">
        <v>47</v>
      </c>
      <c r="L729" s="225">
        <v>7</v>
      </c>
      <c r="M729" s="224">
        <v>0</v>
      </c>
      <c r="N729" s="225">
        <v>0</v>
      </c>
      <c r="O729" s="226">
        <v>426.3</v>
      </c>
      <c r="P729" s="222" t="s">
        <v>212</v>
      </c>
      <c r="Q729" s="224">
        <v>80</v>
      </c>
      <c r="R729" s="225">
        <v>24</v>
      </c>
      <c r="S729" s="224">
        <v>0</v>
      </c>
      <c r="T729" s="533">
        <v>0</v>
      </c>
      <c r="U729" s="533"/>
      <c r="V729" s="224">
        <v>80</v>
      </c>
      <c r="W729" s="222" t="s">
        <v>212</v>
      </c>
      <c r="X729" s="534">
        <v>506.3</v>
      </c>
      <c r="Y729" s="534"/>
      <c r="Z729" s="222" t="s">
        <v>212</v>
      </c>
      <c r="AA729" s="227">
        <v>6877400</v>
      </c>
      <c r="AB729" s="228">
        <v>28496</v>
      </c>
      <c r="AC729" s="215"/>
    </row>
    <row r="730" spans="1:29" ht="2.25" customHeight="1">
      <c r="A730" s="215"/>
      <c r="B730" s="529" t="s">
        <v>212</v>
      </c>
      <c r="C730" s="529"/>
      <c r="D730" s="219" t="s">
        <v>212</v>
      </c>
      <c r="E730" s="222" t="s">
        <v>212</v>
      </c>
      <c r="F730" s="531" t="s">
        <v>212</v>
      </c>
      <c r="G730" s="531"/>
      <c r="H730" s="222" t="s">
        <v>212</v>
      </c>
      <c r="I730" s="531" t="s">
        <v>212</v>
      </c>
      <c r="J730" s="531"/>
      <c r="K730" s="222" t="s">
        <v>212</v>
      </c>
      <c r="L730" s="222" t="s">
        <v>212</v>
      </c>
      <c r="M730" s="222" t="s">
        <v>212</v>
      </c>
      <c r="N730" s="222" t="s">
        <v>212</v>
      </c>
      <c r="O730" s="222" t="s">
        <v>212</v>
      </c>
      <c r="P730" s="222" t="s">
        <v>212</v>
      </c>
      <c r="Q730" s="222" t="s">
        <v>212</v>
      </c>
      <c r="R730" s="222" t="s">
        <v>212</v>
      </c>
      <c r="S730" s="222" t="s">
        <v>212</v>
      </c>
      <c r="T730" s="531" t="s">
        <v>212</v>
      </c>
      <c r="U730" s="531"/>
      <c r="V730" s="222" t="s">
        <v>212</v>
      </c>
      <c r="W730" s="222" t="s">
        <v>212</v>
      </c>
      <c r="X730" s="531" t="s">
        <v>212</v>
      </c>
      <c r="Y730" s="531"/>
      <c r="Z730" s="222" t="s">
        <v>212</v>
      </c>
      <c r="AA730" s="222" t="s">
        <v>212</v>
      </c>
      <c r="AB730" s="222" t="s">
        <v>212</v>
      </c>
      <c r="AC730" s="215"/>
    </row>
    <row r="731" spans="1:29" ht="13.5" customHeight="1">
      <c r="A731" s="215"/>
      <c r="B731" s="535">
        <v>39076</v>
      </c>
      <c r="C731" s="535"/>
      <c r="D731" s="219" t="s">
        <v>212</v>
      </c>
      <c r="E731" s="229">
        <v>202.2</v>
      </c>
      <c r="F731" s="536">
        <v>24</v>
      </c>
      <c r="G731" s="536"/>
      <c r="H731" s="229">
        <v>87.8</v>
      </c>
      <c r="I731" s="536">
        <v>12</v>
      </c>
      <c r="J731" s="536"/>
      <c r="K731" s="229">
        <v>178</v>
      </c>
      <c r="L731" s="230">
        <v>24</v>
      </c>
      <c r="M731" s="229">
        <v>0</v>
      </c>
      <c r="N731" s="230">
        <v>0</v>
      </c>
      <c r="O731" s="231">
        <v>468</v>
      </c>
      <c r="P731" s="222" t="s">
        <v>212</v>
      </c>
      <c r="Q731" s="229">
        <v>86</v>
      </c>
      <c r="R731" s="230">
        <v>24</v>
      </c>
      <c r="S731" s="229">
        <v>0</v>
      </c>
      <c r="T731" s="536">
        <v>0</v>
      </c>
      <c r="U731" s="536"/>
      <c r="V731" s="229">
        <v>86</v>
      </c>
      <c r="W731" s="222" t="s">
        <v>212</v>
      </c>
      <c r="X731" s="530">
        <v>554</v>
      </c>
      <c r="Y731" s="530"/>
      <c r="Z731" s="222" t="s">
        <v>212</v>
      </c>
      <c r="AA731" s="232">
        <v>4880100</v>
      </c>
      <c r="AB731" s="233">
        <v>115600</v>
      </c>
      <c r="AC731" s="215"/>
    </row>
    <row r="732" spans="1:29" ht="2.25" customHeight="1">
      <c r="A732" s="215"/>
      <c r="B732" s="529" t="s">
        <v>212</v>
      </c>
      <c r="C732" s="529"/>
      <c r="D732" s="219" t="s">
        <v>212</v>
      </c>
      <c r="E732" s="222" t="s">
        <v>212</v>
      </c>
      <c r="F732" s="531" t="s">
        <v>212</v>
      </c>
      <c r="G732" s="531"/>
      <c r="H732" s="222" t="s">
        <v>212</v>
      </c>
      <c r="I732" s="531" t="s">
        <v>212</v>
      </c>
      <c r="J732" s="531"/>
      <c r="K732" s="222" t="s">
        <v>212</v>
      </c>
      <c r="L732" s="222" t="s">
        <v>212</v>
      </c>
      <c r="M732" s="222" t="s">
        <v>212</v>
      </c>
      <c r="N732" s="222" t="s">
        <v>212</v>
      </c>
      <c r="O732" s="222" t="s">
        <v>212</v>
      </c>
      <c r="P732" s="222" t="s">
        <v>212</v>
      </c>
      <c r="Q732" s="222" t="s">
        <v>212</v>
      </c>
      <c r="R732" s="222" t="s">
        <v>212</v>
      </c>
      <c r="S732" s="222" t="s">
        <v>212</v>
      </c>
      <c r="T732" s="531" t="s">
        <v>212</v>
      </c>
      <c r="U732" s="531"/>
      <c r="V732" s="222" t="s">
        <v>212</v>
      </c>
      <c r="W732" s="222" t="s">
        <v>212</v>
      </c>
      <c r="X732" s="531" t="s">
        <v>212</v>
      </c>
      <c r="Y732" s="531"/>
      <c r="Z732" s="222" t="s">
        <v>212</v>
      </c>
      <c r="AA732" s="222" t="s">
        <v>212</v>
      </c>
      <c r="AB732" s="222" t="s">
        <v>212</v>
      </c>
      <c r="AC732" s="215"/>
    </row>
    <row r="733" spans="1:29" ht="13.5" customHeight="1">
      <c r="A733" s="215"/>
      <c r="B733" s="532">
        <v>39077</v>
      </c>
      <c r="C733" s="532"/>
      <c r="D733" s="219" t="s">
        <v>212</v>
      </c>
      <c r="E733" s="224">
        <v>261</v>
      </c>
      <c r="F733" s="533">
        <v>24</v>
      </c>
      <c r="G733" s="533"/>
      <c r="H733" s="224">
        <v>36</v>
      </c>
      <c r="I733" s="533">
        <v>4</v>
      </c>
      <c r="J733" s="533"/>
      <c r="K733" s="224">
        <v>183.5</v>
      </c>
      <c r="L733" s="225">
        <v>24</v>
      </c>
      <c r="M733" s="224">
        <v>0</v>
      </c>
      <c r="N733" s="225">
        <v>0</v>
      </c>
      <c r="O733" s="226">
        <v>480.5</v>
      </c>
      <c r="P733" s="222" t="s">
        <v>212</v>
      </c>
      <c r="Q733" s="224">
        <v>85</v>
      </c>
      <c r="R733" s="225">
        <v>24</v>
      </c>
      <c r="S733" s="224">
        <v>0</v>
      </c>
      <c r="T733" s="533">
        <v>0</v>
      </c>
      <c r="U733" s="533"/>
      <c r="V733" s="224">
        <v>85</v>
      </c>
      <c r="W733" s="222" t="s">
        <v>212</v>
      </c>
      <c r="X733" s="534">
        <v>565.5</v>
      </c>
      <c r="Y733" s="534"/>
      <c r="Z733" s="222" t="s">
        <v>212</v>
      </c>
      <c r="AA733" s="227">
        <v>4364400</v>
      </c>
      <c r="AB733" s="228">
        <v>117157</v>
      </c>
      <c r="AC733" s="215"/>
    </row>
    <row r="734" spans="1:29" ht="2.25" customHeight="1">
      <c r="A734" s="215"/>
      <c r="B734" s="529" t="s">
        <v>212</v>
      </c>
      <c r="C734" s="529"/>
      <c r="D734" s="219" t="s">
        <v>212</v>
      </c>
      <c r="E734" s="222" t="s">
        <v>212</v>
      </c>
      <c r="F734" s="531" t="s">
        <v>212</v>
      </c>
      <c r="G734" s="531"/>
      <c r="H734" s="222" t="s">
        <v>212</v>
      </c>
      <c r="I734" s="531" t="s">
        <v>212</v>
      </c>
      <c r="J734" s="531"/>
      <c r="K734" s="222" t="s">
        <v>212</v>
      </c>
      <c r="L734" s="222" t="s">
        <v>212</v>
      </c>
      <c r="M734" s="222" t="s">
        <v>212</v>
      </c>
      <c r="N734" s="222" t="s">
        <v>212</v>
      </c>
      <c r="O734" s="222" t="s">
        <v>212</v>
      </c>
      <c r="P734" s="222" t="s">
        <v>212</v>
      </c>
      <c r="Q734" s="222" t="s">
        <v>212</v>
      </c>
      <c r="R734" s="222" t="s">
        <v>212</v>
      </c>
      <c r="S734" s="222" t="s">
        <v>212</v>
      </c>
      <c r="T734" s="531" t="s">
        <v>212</v>
      </c>
      <c r="U734" s="531"/>
      <c r="V734" s="222" t="s">
        <v>212</v>
      </c>
      <c r="W734" s="222" t="s">
        <v>212</v>
      </c>
      <c r="X734" s="531" t="s">
        <v>212</v>
      </c>
      <c r="Y734" s="531"/>
      <c r="Z734" s="222" t="s">
        <v>212</v>
      </c>
      <c r="AA734" s="222" t="s">
        <v>212</v>
      </c>
      <c r="AB734" s="222" t="s">
        <v>212</v>
      </c>
      <c r="AC734" s="215"/>
    </row>
    <row r="735" spans="1:29" ht="13.5" customHeight="1">
      <c r="A735" s="215"/>
      <c r="B735" s="535">
        <v>39078</v>
      </c>
      <c r="C735" s="535"/>
      <c r="D735" s="219" t="s">
        <v>212</v>
      </c>
      <c r="E735" s="229">
        <v>274.2</v>
      </c>
      <c r="F735" s="536">
        <v>24</v>
      </c>
      <c r="G735" s="536"/>
      <c r="H735" s="229">
        <v>0</v>
      </c>
      <c r="I735" s="536">
        <v>5</v>
      </c>
      <c r="J735" s="536"/>
      <c r="K735" s="229">
        <v>126</v>
      </c>
      <c r="L735" s="230">
        <v>16</v>
      </c>
      <c r="M735" s="229">
        <v>0</v>
      </c>
      <c r="N735" s="230">
        <v>0</v>
      </c>
      <c r="O735" s="231">
        <v>400.2</v>
      </c>
      <c r="P735" s="222" t="s">
        <v>212</v>
      </c>
      <c r="Q735" s="229">
        <v>176</v>
      </c>
      <c r="R735" s="230">
        <v>24</v>
      </c>
      <c r="S735" s="229">
        <v>0</v>
      </c>
      <c r="T735" s="536">
        <v>0</v>
      </c>
      <c r="U735" s="536"/>
      <c r="V735" s="229">
        <v>176</v>
      </c>
      <c r="W735" s="222" t="s">
        <v>212</v>
      </c>
      <c r="X735" s="530">
        <v>576.20000000000005</v>
      </c>
      <c r="Y735" s="530"/>
      <c r="Z735" s="222" t="s">
        <v>212</v>
      </c>
      <c r="AA735" s="232">
        <v>4346600</v>
      </c>
      <c r="AB735" s="233">
        <v>79304</v>
      </c>
      <c r="AC735" s="215"/>
    </row>
    <row r="736" spans="1:29" ht="2.25" customHeight="1">
      <c r="A736" s="215"/>
      <c r="B736" s="529" t="s">
        <v>212</v>
      </c>
      <c r="C736" s="529"/>
      <c r="D736" s="219" t="s">
        <v>212</v>
      </c>
      <c r="E736" s="222" t="s">
        <v>212</v>
      </c>
      <c r="F736" s="531" t="s">
        <v>212</v>
      </c>
      <c r="G736" s="531"/>
      <c r="H736" s="222" t="s">
        <v>212</v>
      </c>
      <c r="I736" s="531" t="s">
        <v>212</v>
      </c>
      <c r="J736" s="531"/>
      <c r="K736" s="222" t="s">
        <v>212</v>
      </c>
      <c r="L736" s="222" t="s">
        <v>212</v>
      </c>
      <c r="M736" s="222" t="s">
        <v>212</v>
      </c>
      <c r="N736" s="222" t="s">
        <v>212</v>
      </c>
      <c r="O736" s="222" t="s">
        <v>212</v>
      </c>
      <c r="P736" s="222" t="s">
        <v>212</v>
      </c>
      <c r="Q736" s="222" t="s">
        <v>212</v>
      </c>
      <c r="R736" s="222" t="s">
        <v>212</v>
      </c>
      <c r="S736" s="222" t="s">
        <v>212</v>
      </c>
      <c r="T736" s="531" t="s">
        <v>212</v>
      </c>
      <c r="U736" s="531"/>
      <c r="V736" s="222" t="s">
        <v>212</v>
      </c>
      <c r="W736" s="222" t="s">
        <v>212</v>
      </c>
      <c r="X736" s="531" t="s">
        <v>212</v>
      </c>
      <c r="Y736" s="531"/>
      <c r="Z736" s="222" t="s">
        <v>212</v>
      </c>
      <c r="AA736" s="222" t="s">
        <v>212</v>
      </c>
      <c r="AB736" s="222" t="s">
        <v>212</v>
      </c>
      <c r="AC736" s="215"/>
    </row>
    <row r="737" spans="1:31" ht="13.5" customHeight="1">
      <c r="A737" s="215"/>
      <c r="B737" s="532">
        <v>39079</v>
      </c>
      <c r="C737" s="532"/>
      <c r="D737" s="219" t="s">
        <v>212</v>
      </c>
      <c r="E737" s="224">
        <v>261.39999999999998</v>
      </c>
      <c r="F737" s="533">
        <v>24</v>
      </c>
      <c r="G737" s="533"/>
      <c r="H737" s="224">
        <v>0</v>
      </c>
      <c r="I737" s="533">
        <v>0</v>
      </c>
      <c r="J737" s="533"/>
      <c r="K737" s="224">
        <v>192</v>
      </c>
      <c r="L737" s="225">
        <v>24</v>
      </c>
      <c r="M737" s="224">
        <v>0</v>
      </c>
      <c r="N737" s="225">
        <v>0</v>
      </c>
      <c r="O737" s="226">
        <v>453.4</v>
      </c>
      <c r="P737" s="222" t="s">
        <v>212</v>
      </c>
      <c r="Q737" s="224">
        <v>89</v>
      </c>
      <c r="R737" s="225">
        <v>24</v>
      </c>
      <c r="S737" s="224">
        <v>0</v>
      </c>
      <c r="T737" s="533">
        <v>0</v>
      </c>
      <c r="U737" s="533"/>
      <c r="V737" s="224">
        <v>89</v>
      </c>
      <c r="W737" s="222" t="s">
        <v>212</v>
      </c>
      <c r="X737" s="534">
        <v>542.4</v>
      </c>
      <c r="Y737" s="534"/>
      <c r="Z737" s="222" t="s">
        <v>212</v>
      </c>
      <c r="AA737" s="227">
        <v>3801300</v>
      </c>
      <c r="AB737" s="228">
        <v>114078</v>
      </c>
      <c r="AC737" s="215"/>
    </row>
    <row r="738" spans="1:31" ht="2.25" customHeight="1">
      <c r="A738" s="215"/>
      <c r="B738" s="529" t="s">
        <v>212</v>
      </c>
      <c r="C738" s="529"/>
      <c r="D738" s="219" t="s">
        <v>212</v>
      </c>
      <c r="E738" s="222" t="s">
        <v>212</v>
      </c>
      <c r="F738" s="531" t="s">
        <v>212</v>
      </c>
      <c r="G738" s="531"/>
      <c r="H738" s="222" t="s">
        <v>212</v>
      </c>
      <c r="I738" s="531" t="s">
        <v>212</v>
      </c>
      <c r="J738" s="531"/>
      <c r="K738" s="222" t="s">
        <v>212</v>
      </c>
      <c r="L738" s="222" t="s">
        <v>212</v>
      </c>
      <c r="M738" s="222" t="s">
        <v>212</v>
      </c>
      <c r="N738" s="222" t="s">
        <v>212</v>
      </c>
      <c r="O738" s="222" t="s">
        <v>212</v>
      </c>
      <c r="P738" s="222" t="s">
        <v>212</v>
      </c>
      <c r="Q738" s="222" t="s">
        <v>212</v>
      </c>
      <c r="R738" s="222" t="s">
        <v>212</v>
      </c>
      <c r="S738" s="222" t="s">
        <v>212</v>
      </c>
      <c r="T738" s="531" t="s">
        <v>212</v>
      </c>
      <c r="U738" s="531"/>
      <c r="V738" s="222" t="s">
        <v>212</v>
      </c>
      <c r="W738" s="222" t="s">
        <v>212</v>
      </c>
      <c r="X738" s="531" t="s">
        <v>212</v>
      </c>
      <c r="Y738" s="531"/>
      <c r="Z738" s="222" t="s">
        <v>212</v>
      </c>
      <c r="AA738" s="222" t="s">
        <v>212</v>
      </c>
      <c r="AB738" s="222" t="s">
        <v>212</v>
      </c>
      <c r="AC738" s="215"/>
    </row>
    <row r="739" spans="1:31" ht="13.5" customHeight="1">
      <c r="A739" s="215"/>
      <c r="B739" s="535">
        <v>39080</v>
      </c>
      <c r="C739" s="535"/>
      <c r="D739" s="219" t="s">
        <v>212</v>
      </c>
      <c r="E739" s="229">
        <v>322.39999999999998</v>
      </c>
      <c r="F739" s="536">
        <v>24</v>
      </c>
      <c r="G739" s="536"/>
      <c r="H739" s="229">
        <v>0</v>
      </c>
      <c r="I739" s="536">
        <v>0</v>
      </c>
      <c r="J739" s="536"/>
      <c r="K739" s="229">
        <v>287.5</v>
      </c>
      <c r="L739" s="230">
        <v>24</v>
      </c>
      <c r="M739" s="229">
        <v>0</v>
      </c>
      <c r="N739" s="230">
        <v>0</v>
      </c>
      <c r="O739" s="231">
        <v>609.9</v>
      </c>
      <c r="P739" s="222" t="s">
        <v>212</v>
      </c>
      <c r="Q739" s="229">
        <v>97</v>
      </c>
      <c r="R739" s="230">
        <v>24</v>
      </c>
      <c r="S739" s="229">
        <v>0</v>
      </c>
      <c r="T739" s="536">
        <v>0</v>
      </c>
      <c r="U739" s="536"/>
      <c r="V739" s="229">
        <v>97</v>
      </c>
      <c r="W739" s="222" t="s">
        <v>212</v>
      </c>
      <c r="X739" s="530">
        <v>706.9</v>
      </c>
      <c r="Y739" s="530"/>
      <c r="Z739" s="222" t="s">
        <v>212</v>
      </c>
      <c r="AA739" s="232">
        <v>4257500</v>
      </c>
      <c r="AB739" s="233">
        <v>142286</v>
      </c>
      <c r="AC739" s="215"/>
    </row>
    <row r="740" spans="1:31" ht="2.25" customHeight="1">
      <c r="A740" s="215"/>
      <c r="B740" s="529" t="s">
        <v>212</v>
      </c>
      <c r="C740" s="529"/>
      <c r="D740" s="219" t="s">
        <v>212</v>
      </c>
      <c r="E740" s="222" t="s">
        <v>212</v>
      </c>
      <c r="F740" s="531" t="s">
        <v>212</v>
      </c>
      <c r="G740" s="531"/>
      <c r="H740" s="222" t="s">
        <v>212</v>
      </c>
      <c r="I740" s="531" t="s">
        <v>212</v>
      </c>
      <c r="J740" s="531"/>
      <c r="K740" s="222" t="s">
        <v>212</v>
      </c>
      <c r="L740" s="222" t="s">
        <v>212</v>
      </c>
      <c r="M740" s="222" t="s">
        <v>212</v>
      </c>
      <c r="N740" s="222" t="s">
        <v>212</v>
      </c>
      <c r="O740" s="222" t="s">
        <v>212</v>
      </c>
      <c r="P740" s="222" t="s">
        <v>212</v>
      </c>
      <c r="Q740" s="222" t="s">
        <v>212</v>
      </c>
      <c r="R740" s="222" t="s">
        <v>212</v>
      </c>
      <c r="S740" s="222" t="s">
        <v>212</v>
      </c>
      <c r="T740" s="531" t="s">
        <v>212</v>
      </c>
      <c r="U740" s="531"/>
      <c r="V740" s="222" t="s">
        <v>212</v>
      </c>
      <c r="W740" s="222" t="s">
        <v>212</v>
      </c>
      <c r="X740" s="531" t="s">
        <v>212</v>
      </c>
      <c r="Y740" s="531"/>
      <c r="Z740" s="222" t="s">
        <v>212</v>
      </c>
      <c r="AA740" s="222" t="s">
        <v>212</v>
      </c>
      <c r="AB740" s="222" t="s">
        <v>212</v>
      </c>
      <c r="AC740" s="215"/>
    </row>
    <row r="741" spans="1:31" ht="13.5" customHeight="1">
      <c r="A741" s="215"/>
      <c r="B741" s="532">
        <v>39081</v>
      </c>
      <c r="C741" s="532"/>
      <c r="D741" s="219" t="s">
        <v>212</v>
      </c>
      <c r="E741" s="224">
        <v>340.8</v>
      </c>
      <c r="F741" s="533">
        <v>24</v>
      </c>
      <c r="G741" s="533"/>
      <c r="H741" s="224">
        <v>0</v>
      </c>
      <c r="I741" s="533">
        <v>0</v>
      </c>
      <c r="J741" s="533"/>
      <c r="K741" s="224">
        <v>334.8</v>
      </c>
      <c r="L741" s="225">
        <v>24</v>
      </c>
      <c r="M741" s="224">
        <v>0</v>
      </c>
      <c r="N741" s="225">
        <v>0</v>
      </c>
      <c r="O741" s="226">
        <v>675.6</v>
      </c>
      <c r="P741" s="222" t="s">
        <v>212</v>
      </c>
      <c r="Q741" s="224">
        <v>103</v>
      </c>
      <c r="R741" s="225">
        <v>24</v>
      </c>
      <c r="S741" s="224">
        <v>0</v>
      </c>
      <c r="T741" s="533">
        <v>0</v>
      </c>
      <c r="U741" s="533"/>
      <c r="V741" s="224">
        <v>103</v>
      </c>
      <c r="W741" s="222" t="s">
        <v>212</v>
      </c>
      <c r="X741" s="534">
        <v>778.6</v>
      </c>
      <c r="Y741" s="534"/>
      <c r="Z741" s="222" t="s">
        <v>212</v>
      </c>
      <c r="AA741" s="227">
        <v>4395500</v>
      </c>
      <c r="AB741" s="228">
        <v>155595</v>
      </c>
      <c r="AC741" s="215"/>
    </row>
    <row r="742" spans="1:31" ht="2.25" customHeight="1">
      <c r="A742" s="215"/>
      <c r="B742" s="529" t="s">
        <v>212</v>
      </c>
      <c r="C742" s="529"/>
      <c r="D742" s="219" t="s">
        <v>212</v>
      </c>
      <c r="E742" s="222" t="s">
        <v>212</v>
      </c>
      <c r="F742" s="531" t="s">
        <v>212</v>
      </c>
      <c r="G742" s="531"/>
      <c r="H742" s="222" t="s">
        <v>212</v>
      </c>
      <c r="I742" s="531" t="s">
        <v>212</v>
      </c>
      <c r="J742" s="531"/>
      <c r="K742" s="222" t="s">
        <v>212</v>
      </c>
      <c r="L742" s="222" t="s">
        <v>212</v>
      </c>
      <c r="M742" s="222" t="s">
        <v>212</v>
      </c>
      <c r="N742" s="222" t="s">
        <v>212</v>
      </c>
      <c r="O742" s="222" t="s">
        <v>212</v>
      </c>
      <c r="P742" s="222" t="s">
        <v>212</v>
      </c>
      <c r="Q742" s="222" t="s">
        <v>212</v>
      </c>
      <c r="R742" s="222" t="s">
        <v>212</v>
      </c>
      <c r="S742" s="222" t="s">
        <v>212</v>
      </c>
      <c r="T742" s="531" t="s">
        <v>212</v>
      </c>
      <c r="U742" s="531"/>
      <c r="V742" s="222" t="s">
        <v>212</v>
      </c>
      <c r="W742" s="222" t="s">
        <v>212</v>
      </c>
      <c r="X742" s="531" t="s">
        <v>212</v>
      </c>
      <c r="Y742" s="531"/>
      <c r="Z742" s="222" t="s">
        <v>212</v>
      </c>
      <c r="AA742" s="222" t="s">
        <v>212</v>
      </c>
      <c r="AB742" s="222" t="s">
        <v>212</v>
      </c>
      <c r="AC742" s="215"/>
    </row>
    <row r="743" spans="1:31" ht="13.5" customHeight="1">
      <c r="A743" s="215"/>
      <c r="B743" s="535">
        <v>39082</v>
      </c>
      <c r="C743" s="535"/>
      <c r="D743" s="219" t="s">
        <v>212</v>
      </c>
      <c r="E743" s="229">
        <v>263.2</v>
      </c>
      <c r="F743" s="536">
        <v>24</v>
      </c>
      <c r="G743" s="536"/>
      <c r="H743" s="229">
        <v>59.4</v>
      </c>
      <c r="I743" s="536">
        <v>10</v>
      </c>
      <c r="J743" s="536"/>
      <c r="K743" s="229">
        <v>238.9</v>
      </c>
      <c r="L743" s="230">
        <v>24</v>
      </c>
      <c r="M743" s="229">
        <v>0</v>
      </c>
      <c r="N743" s="230">
        <v>0</v>
      </c>
      <c r="O743" s="231">
        <v>561.5</v>
      </c>
      <c r="P743" s="222" t="s">
        <v>212</v>
      </c>
      <c r="Q743" s="229">
        <v>87</v>
      </c>
      <c r="R743" s="230">
        <v>19</v>
      </c>
      <c r="S743" s="229">
        <v>0</v>
      </c>
      <c r="T743" s="536">
        <v>0</v>
      </c>
      <c r="U743" s="536"/>
      <c r="V743" s="229">
        <v>87</v>
      </c>
      <c r="W743" s="222" t="s">
        <v>212</v>
      </c>
      <c r="X743" s="530">
        <v>648.5</v>
      </c>
      <c r="Y743" s="530"/>
      <c r="Z743" s="222" t="s">
        <v>212</v>
      </c>
      <c r="AA743" s="232">
        <v>4947500</v>
      </c>
      <c r="AB743" s="233">
        <v>127386</v>
      </c>
      <c r="AC743" s="215"/>
    </row>
    <row r="744" spans="1:31" ht="2.25" customHeight="1">
      <c r="A744" s="215"/>
      <c r="B744" s="529" t="s">
        <v>212</v>
      </c>
      <c r="C744" s="529"/>
      <c r="D744" s="219" t="s">
        <v>212</v>
      </c>
      <c r="E744" s="219" t="s">
        <v>212</v>
      </c>
      <c r="F744" s="529" t="s">
        <v>212</v>
      </c>
      <c r="G744" s="529"/>
      <c r="H744" s="219" t="s">
        <v>212</v>
      </c>
      <c r="I744" s="529" t="s">
        <v>212</v>
      </c>
      <c r="J744" s="529"/>
      <c r="K744" s="219" t="s">
        <v>212</v>
      </c>
      <c r="L744" s="219" t="s">
        <v>212</v>
      </c>
      <c r="M744" s="219" t="s">
        <v>212</v>
      </c>
      <c r="N744" s="219" t="s">
        <v>212</v>
      </c>
      <c r="O744" s="219" t="s">
        <v>212</v>
      </c>
      <c r="P744" s="219" t="s">
        <v>212</v>
      </c>
      <c r="Q744" s="219" t="s">
        <v>212</v>
      </c>
      <c r="R744" s="219" t="s">
        <v>212</v>
      </c>
      <c r="S744" s="219" t="s">
        <v>212</v>
      </c>
      <c r="T744" s="529" t="s">
        <v>212</v>
      </c>
      <c r="U744" s="529"/>
      <c r="V744" s="219" t="s">
        <v>212</v>
      </c>
      <c r="W744" s="219" t="s">
        <v>212</v>
      </c>
      <c r="X744" s="529" t="s">
        <v>212</v>
      </c>
      <c r="Y744" s="529"/>
      <c r="Z744" s="219" t="s">
        <v>212</v>
      </c>
      <c r="AA744" s="219" t="s">
        <v>212</v>
      </c>
      <c r="AB744" s="219" t="s">
        <v>212</v>
      </c>
      <c r="AC744" s="215"/>
    </row>
    <row r="745" spans="1:31" ht="13.5" customHeight="1">
      <c r="A745" s="215"/>
      <c r="B745" s="522" t="s">
        <v>396</v>
      </c>
      <c r="C745" s="523"/>
      <c r="D745" s="219" t="s">
        <v>212</v>
      </c>
      <c r="E745" s="234">
        <v>65854.5</v>
      </c>
      <c r="F745" s="524">
        <v>6256</v>
      </c>
      <c r="G745" s="524"/>
      <c r="H745" s="234">
        <v>93574.8</v>
      </c>
      <c r="I745" s="524">
        <v>7600</v>
      </c>
      <c r="J745" s="524"/>
      <c r="K745" s="234">
        <v>42855</v>
      </c>
      <c r="L745" s="235">
        <v>4293</v>
      </c>
      <c r="M745" s="234">
        <v>0</v>
      </c>
      <c r="N745" s="235">
        <v>0</v>
      </c>
      <c r="O745" s="236">
        <v>202284.3</v>
      </c>
      <c r="P745" s="219" t="s">
        <v>212</v>
      </c>
      <c r="Q745" s="234">
        <v>5042</v>
      </c>
      <c r="R745" s="235">
        <v>2031</v>
      </c>
      <c r="S745" s="234">
        <v>0</v>
      </c>
      <c r="T745" s="524">
        <v>0</v>
      </c>
      <c r="U745" s="524"/>
      <c r="V745" s="234">
        <v>5042</v>
      </c>
      <c r="W745" s="219" t="s">
        <v>212</v>
      </c>
      <c r="X745" s="527">
        <v>207326.3</v>
      </c>
      <c r="Y745" s="527"/>
      <c r="Z745" s="219" t="s">
        <v>212</v>
      </c>
      <c r="AA745" s="237">
        <v>2250048624</v>
      </c>
      <c r="AB745" s="238">
        <v>25601458</v>
      </c>
      <c r="AC745" s="215"/>
      <c r="AE745" s="216">
        <f>AVERAGE(O745,'Elec Gene 2007'!O745,('Elec Gene jan-jun 2008'!O329+'Elec Gene jul-dec 2008'!O445))</f>
        <v>208287.69999999998</v>
      </c>
    </row>
    <row r="746" spans="1:31" ht="13.5" customHeight="1">
      <c r="A746" s="215"/>
      <c r="B746" s="522" t="s">
        <v>397</v>
      </c>
      <c r="C746" s="523"/>
      <c r="D746" s="219" t="s">
        <v>212</v>
      </c>
      <c r="E746" s="234">
        <v>180.91895604395606</v>
      </c>
      <c r="F746" s="524">
        <v>17.186813186813186</v>
      </c>
      <c r="G746" s="524"/>
      <c r="H746" s="234">
        <v>257.07362637362638</v>
      </c>
      <c r="I746" s="524">
        <v>20.87912087912088</v>
      </c>
      <c r="J746" s="524"/>
      <c r="K746" s="234">
        <v>117.73351648351648</v>
      </c>
      <c r="L746" s="235">
        <v>11.793956043956044</v>
      </c>
      <c r="M746" s="234">
        <v>0</v>
      </c>
      <c r="N746" s="235">
        <v>0</v>
      </c>
      <c r="O746" s="239">
        <v>555.72609890109891</v>
      </c>
      <c r="P746" s="219" t="s">
        <v>212</v>
      </c>
      <c r="Q746" s="234">
        <v>13.851648351648352</v>
      </c>
      <c r="R746" s="235">
        <v>5.5796703296703294</v>
      </c>
      <c r="S746" s="234">
        <v>0</v>
      </c>
      <c r="T746" s="524">
        <v>0</v>
      </c>
      <c r="U746" s="524"/>
      <c r="V746" s="234">
        <v>13.851648351648352</v>
      </c>
      <c r="W746" s="219" t="s">
        <v>212</v>
      </c>
      <c r="X746" s="527">
        <v>569.57774725274726</v>
      </c>
      <c r="Y746" s="527"/>
      <c r="Z746" s="219" t="s">
        <v>212</v>
      </c>
      <c r="AA746" s="237">
        <v>6181452.2637362638</v>
      </c>
      <c r="AB746" s="238">
        <v>70333.675824175822</v>
      </c>
      <c r="AC746" s="215"/>
    </row>
    <row r="747" spans="1:31" ht="13.5" customHeight="1">
      <c r="A747" s="215"/>
      <c r="B747" s="522" t="s">
        <v>398</v>
      </c>
      <c r="C747" s="523"/>
      <c r="D747" s="219" t="s">
        <v>212</v>
      </c>
      <c r="E747" s="234">
        <v>340.8</v>
      </c>
      <c r="F747" s="524">
        <v>24</v>
      </c>
      <c r="G747" s="524"/>
      <c r="H747" s="234">
        <v>401.5</v>
      </c>
      <c r="I747" s="524">
        <v>24</v>
      </c>
      <c r="J747" s="524"/>
      <c r="K747" s="234">
        <v>334.8</v>
      </c>
      <c r="L747" s="235">
        <v>24</v>
      </c>
      <c r="M747" s="234">
        <v>0</v>
      </c>
      <c r="N747" s="235">
        <v>0</v>
      </c>
      <c r="O747" s="236">
        <v>742.5</v>
      </c>
      <c r="P747" s="219" t="s">
        <v>212</v>
      </c>
      <c r="Q747" s="234">
        <v>176</v>
      </c>
      <c r="R747" s="235">
        <v>24</v>
      </c>
      <c r="S747" s="234">
        <v>0</v>
      </c>
      <c r="T747" s="524">
        <v>0</v>
      </c>
      <c r="U747" s="524"/>
      <c r="V747" s="234">
        <v>176</v>
      </c>
      <c r="W747" s="219" t="s">
        <v>212</v>
      </c>
      <c r="X747" s="527">
        <v>778.6</v>
      </c>
      <c r="Y747" s="527"/>
      <c r="Z747" s="219" t="s">
        <v>212</v>
      </c>
      <c r="AA747" s="237">
        <v>10639300</v>
      </c>
      <c r="AB747" s="238">
        <v>3875500</v>
      </c>
      <c r="AC747" s="215"/>
    </row>
    <row r="748" spans="1:31" ht="11.25" customHeight="1">
      <c r="A748" s="215"/>
      <c r="B748" s="522" t="s">
        <v>399</v>
      </c>
      <c r="C748" s="523"/>
      <c r="D748" s="219" t="s">
        <v>212</v>
      </c>
      <c r="E748" s="234">
        <v>0</v>
      </c>
      <c r="F748" s="524">
        <v>0</v>
      </c>
      <c r="G748" s="524"/>
      <c r="H748" s="234">
        <v>0</v>
      </c>
      <c r="I748" s="524">
        <v>0</v>
      </c>
      <c r="J748" s="524"/>
      <c r="K748" s="234">
        <v>0</v>
      </c>
      <c r="L748" s="235">
        <v>0</v>
      </c>
      <c r="M748" s="234">
        <v>0</v>
      </c>
      <c r="N748" s="235">
        <v>0</v>
      </c>
      <c r="O748" s="236">
        <v>396.8</v>
      </c>
      <c r="P748" s="219" t="s">
        <v>212</v>
      </c>
      <c r="Q748" s="234">
        <v>0</v>
      </c>
      <c r="R748" s="235">
        <v>0</v>
      </c>
      <c r="S748" s="234">
        <v>0</v>
      </c>
      <c r="T748" s="524">
        <v>0</v>
      </c>
      <c r="U748" s="524"/>
      <c r="V748" s="234">
        <v>0</v>
      </c>
      <c r="W748" s="219" t="s">
        <v>212</v>
      </c>
      <c r="X748" s="527">
        <v>405</v>
      </c>
      <c r="Y748" s="527"/>
      <c r="Z748" s="219" t="s">
        <v>212</v>
      </c>
      <c r="AA748" s="237">
        <v>0</v>
      </c>
      <c r="AB748" s="238">
        <v>0</v>
      </c>
      <c r="AC748" s="215"/>
    </row>
    <row r="749" spans="1:31" ht="2.25" customHeight="1">
      <c r="A749" s="215"/>
      <c r="B749" s="528" t="s">
        <v>212</v>
      </c>
      <c r="C749" s="528"/>
      <c r="D749" s="219" t="s">
        <v>212</v>
      </c>
      <c r="E749" s="240" t="s">
        <v>212</v>
      </c>
      <c r="F749" s="521" t="s">
        <v>212</v>
      </c>
      <c r="G749" s="521"/>
      <c r="H749" s="240" t="s">
        <v>212</v>
      </c>
      <c r="I749" s="521" t="s">
        <v>212</v>
      </c>
      <c r="J749" s="521"/>
      <c r="K749" s="240" t="s">
        <v>212</v>
      </c>
      <c r="L749" s="240" t="s">
        <v>212</v>
      </c>
      <c r="M749" s="240" t="s">
        <v>212</v>
      </c>
      <c r="N749" s="240" t="s">
        <v>212</v>
      </c>
      <c r="O749" s="240" t="s">
        <v>212</v>
      </c>
      <c r="P749" s="219" t="s">
        <v>212</v>
      </c>
      <c r="Q749" s="240" t="s">
        <v>212</v>
      </c>
      <c r="R749" s="240" t="s">
        <v>212</v>
      </c>
      <c r="S749" s="240" t="s">
        <v>212</v>
      </c>
      <c r="T749" s="521" t="s">
        <v>212</v>
      </c>
      <c r="U749" s="521"/>
      <c r="V749" s="240" t="s">
        <v>212</v>
      </c>
      <c r="W749" s="219" t="s">
        <v>212</v>
      </c>
      <c r="X749" s="521" t="s">
        <v>212</v>
      </c>
      <c r="Y749" s="521"/>
      <c r="Z749" s="219" t="s">
        <v>212</v>
      </c>
      <c r="AA749" s="240" t="s">
        <v>212</v>
      </c>
      <c r="AB749" s="240" t="s">
        <v>212</v>
      </c>
      <c r="AC749" s="215"/>
    </row>
    <row r="750" spans="1:31" ht="15" customHeight="1">
      <c r="A750" s="215"/>
      <c r="B750" s="528" t="s">
        <v>212</v>
      </c>
      <c r="C750" s="528"/>
      <c r="D750" s="219" t="s">
        <v>212</v>
      </c>
      <c r="E750" s="240" t="s">
        <v>212</v>
      </c>
      <c r="F750" s="521" t="s">
        <v>212</v>
      </c>
      <c r="G750" s="521"/>
      <c r="H750" s="240" t="s">
        <v>212</v>
      </c>
      <c r="I750" s="521" t="s">
        <v>212</v>
      </c>
      <c r="J750" s="521"/>
      <c r="K750" s="240" t="s">
        <v>212</v>
      </c>
      <c r="L750" s="240" t="s">
        <v>212</v>
      </c>
      <c r="M750" s="240" t="s">
        <v>212</v>
      </c>
      <c r="N750" s="240" t="s">
        <v>212</v>
      </c>
      <c r="O750" s="240" t="s">
        <v>212</v>
      </c>
      <c r="P750" s="219" t="s">
        <v>212</v>
      </c>
      <c r="Q750" s="222" t="s">
        <v>212</v>
      </c>
      <c r="R750" s="240" t="s">
        <v>212</v>
      </c>
      <c r="S750" s="240" t="s">
        <v>212</v>
      </c>
      <c r="T750" s="521" t="s">
        <v>212</v>
      </c>
      <c r="U750" s="521"/>
      <c r="V750" s="525" t="s">
        <v>400</v>
      </c>
      <c r="W750" s="526"/>
      <c r="X750" s="526"/>
      <c r="Y750" s="526"/>
      <c r="Z750" s="526"/>
      <c r="AA750" s="526"/>
      <c r="AB750" s="241">
        <v>161048.884359647</v>
      </c>
      <c r="AC750" s="215"/>
    </row>
    <row r="751" spans="1:31" ht="13.5" customHeight="1">
      <c r="A751" s="215"/>
      <c r="B751" s="215"/>
      <c r="C751" s="215"/>
      <c r="D751" s="215"/>
      <c r="E751" s="215"/>
      <c r="F751" s="215"/>
      <c r="G751" s="215"/>
      <c r="H751" s="215"/>
      <c r="I751" s="215"/>
      <c r="J751" s="215"/>
      <c r="K751" s="215"/>
      <c r="L751" s="215"/>
      <c r="M751" s="215"/>
      <c r="N751" s="215"/>
      <c r="O751" s="215"/>
      <c r="P751" s="215"/>
      <c r="Q751" s="215"/>
      <c r="R751" s="215"/>
      <c r="S751" s="215"/>
      <c r="T751" s="215"/>
      <c r="U751" s="215"/>
      <c r="V751" s="215"/>
      <c r="W751" s="215"/>
      <c r="X751" s="215"/>
      <c r="Y751" s="215"/>
      <c r="Z751" s="215"/>
      <c r="AA751" s="215"/>
      <c r="AB751" s="215"/>
      <c r="AC751" s="215"/>
    </row>
  </sheetData>
  <mergeCells count="3699">
    <mergeCell ref="B19:C19"/>
    <mergeCell ref="F19:G19"/>
    <mergeCell ref="M14:N14"/>
    <mergeCell ref="F15:G15"/>
    <mergeCell ref="I15:J15"/>
    <mergeCell ref="X17:Y17"/>
    <mergeCell ref="Q14:R14"/>
    <mergeCell ref="B20:C20"/>
    <mergeCell ref="F20:G20"/>
    <mergeCell ref="I20:J20"/>
    <mergeCell ref="T20:U20"/>
    <mergeCell ref="A10:AB10"/>
    <mergeCell ref="B16:C16"/>
    <mergeCell ref="F16:G16"/>
    <mergeCell ref="I16:J16"/>
    <mergeCell ref="T16:U16"/>
    <mergeCell ref="K14:L14"/>
    <mergeCell ref="C2:F7"/>
    <mergeCell ref="Y3:AB8"/>
    <mergeCell ref="J4:T4"/>
    <mergeCell ref="J5:T5"/>
    <mergeCell ref="J6:T6"/>
    <mergeCell ref="X20:Y20"/>
    <mergeCell ref="Q13:V13"/>
    <mergeCell ref="X13:Y13"/>
    <mergeCell ref="E14:G14"/>
    <mergeCell ref="H14:J14"/>
    <mergeCell ref="X16:Y16"/>
    <mergeCell ref="B13:C13"/>
    <mergeCell ref="B15:C15"/>
    <mergeCell ref="AA13:AB13"/>
    <mergeCell ref="B14:C14"/>
    <mergeCell ref="E13:O13"/>
    <mergeCell ref="S14:U14"/>
    <mergeCell ref="X14:Y14"/>
    <mergeCell ref="T15:U15"/>
    <mergeCell ref="B17:C17"/>
    <mergeCell ref="F17:G17"/>
    <mergeCell ref="I17:J17"/>
    <mergeCell ref="T17:U17"/>
    <mergeCell ref="X15:Y15"/>
    <mergeCell ref="I19:J19"/>
    <mergeCell ref="T19:U19"/>
    <mergeCell ref="X19:Y19"/>
    <mergeCell ref="B18:C18"/>
    <mergeCell ref="F18:G18"/>
    <mergeCell ref="I18:J18"/>
    <mergeCell ref="T18:U18"/>
    <mergeCell ref="X18:Y18"/>
    <mergeCell ref="X21:Y21"/>
    <mergeCell ref="B24:C24"/>
    <mergeCell ref="F24:G24"/>
    <mergeCell ref="I24:J24"/>
    <mergeCell ref="T24:U24"/>
    <mergeCell ref="B22:C22"/>
    <mergeCell ref="F22:G22"/>
    <mergeCell ref="I22:J22"/>
    <mergeCell ref="T22:U22"/>
    <mergeCell ref="X24:Y24"/>
    <mergeCell ref="B21:C21"/>
    <mergeCell ref="F21:G21"/>
    <mergeCell ref="I21:J21"/>
    <mergeCell ref="T21:U21"/>
    <mergeCell ref="X22:Y22"/>
    <mergeCell ref="B23:C23"/>
    <mergeCell ref="F23:G23"/>
    <mergeCell ref="I23:J23"/>
    <mergeCell ref="T23:U23"/>
    <mergeCell ref="X23:Y23"/>
    <mergeCell ref="X25:Y25"/>
    <mergeCell ref="B28:C28"/>
    <mergeCell ref="F28:G28"/>
    <mergeCell ref="I28:J28"/>
    <mergeCell ref="T28:U28"/>
    <mergeCell ref="B26:C26"/>
    <mergeCell ref="F26:G26"/>
    <mergeCell ref="I26:J26"/>
    <mergeCell ref="T26:U26"/>
    <mergeCell ref="X28:Y28"/>
    <mergeCell ref="B25:C25"/>
    <mergeCell ref="F25:G25"/>
    <mergeCell ref="I25:J25"/>
    <mergeCell ref="T25:U25"/>
    <mergeCell ref="X26:Y26"/>
    <mergeCell ref="B27:C27"/>
    <mergeCell ref="F27:G27"/>
    <mergeCell ref="I27:J27"/>
    <mergeCell ref="T27:U27"/>
    <mergeCell ref="X27:Y27"/>
    <mergeCell ref="X29:Y29"/>
    <mergeCell ref="B32:C32"/>
    <mergeCell ref="F32:G32"/>
    <mergeCell ref="I32:J32"/>
    <mergeCell ref="T32:U32"/>
    <mergeCell ref="B30:C30"/>
    <mergeCell ref="F30:G30"/>
    <mergeCell ref="I30:J30"/>
    <mergeCell ref="T30:U30"/>
    <mergeCell ref="X32:Y32"/>
    <mergeCell ref="B29:C29"/>
    <mergeCell ref="F29:G29"/>
    <mergeCell ref="I29:J29"/>
    <mergeCell ref="T29:U29"/>
    <mergeCell ref="X30:Y30"/>
    <mergeCell ref="B31:C31"/>
    <mergeCell ref="F31:G31"/>
    <mergeCell ref="I31:J31"/>
    <mergeCell ref="T31:U31"/>
    <mergeCell ref="X31:Y31"/>
    <mergeCell ref="X33:Y33"/>
    <mergeCell ref="B36:C36"/>
    <mergeCell ref="F36:G36"/>
    <mergeCell ref="I36:J36"/>
    <mergeCell ref="T36:U36"/>
    <mergeCell ref="B34:C34"/>
    <mergeCell ref="F34:G34"/>
    <mergeCell ref="I34:J34"/>
    <mergeCell ref="T34:U34"/>
    <mergeCell ref="X36:Y36"/>
    <mergeCell ref="B33:C33"/>
    <mergeCell ref="F33:G33"/>
    <mergeCell ref="I33:J33"/>
    <mergeCell ref="T33:U33"/>
    <mergeCell ref="X34:Y34"/>
    <mergeCell ref="B35:C35"/>
    <mergeCell ref="F35:G35"/>
    <mergeCell ref="I35:J35"/>
    <mergeCell ref="T35:U35"/>
    <mergeCell ref="X35:Y35"/>
    <mergeCell ref="X37:Y37"/>
    <mergeCell ref="B40:C40"/>
    <mergeCell ref="F40:G40"/>
    <mergeCell ref="I40:J40"/>
    <mergeCell ref="T40:U40"/>
    <mergeCell ref="B38:C38"/>
    <mergeCell ref="F38:G38"/>
    <mergeCell ref="I38:J38"/>
    <mergeCell ref="T38:U38"/>
    <mergeCell ref="X40:Y40"/>
    <mergeCell ref="B37:C37"/>
    <mergeCell ref="F37:G37"/>
    <mergeCell ref="I37:J37"/>
    <mergeCell ref="T37:U37"/>
    <mergeCell ref="X38:Y38"/>
    <mergeCell ref="B39:C39"/>
    <mergeCell ref="F39:G39"/>
    <mergeCell ref="I39:J39"/>
    <mergeCell ref="T39:U39"/>
    <mergeCell ref="X39:Y39"/>
    <mergeCell ref="X41:Y41"/>
    <mergeCell ref="B44:C44"/>
    <mergeCell ref="F44:G44"/>
    <mergeCell ref="I44:J44"/>
    <mergeCell ref="T44:U44"/>
    <mergeCell ref="B42:C42"/>
    <mergeCell ref="F42:G42"/>
    <mergeCell ref="I42:J42"/>
    <mergeCell ref="T42:U42"/>
    <mergeCell ref="X44:Y44"/>
    <mergeCell ref="B41:C41"/>
    <mergeCell ref="F41:G41"/>
    <mergeCell ref="I41:J41"/>
    <mergeCell ref="T41:U41"/>
    <mergeCell ref="X42:Y42"/>
    <mergeCell ref="B43:C43"/>
    <mergeCell ref="F43:G43"/>
    <mergeCell ref="I43:J43"/>
    <mergeCell ref="T43:U43"/>
    <mergeCell ref="X43:Y43"/>
    <mergeCell ref="X45:Y45"/>
    <mergeCell ref="B48:C48"/>
    <mergeCell ref="F48:G48"/>
    <mergeCell ref="I48:J48"/>
    <mergeCell ref="T48:U48"/>
    <mergeCell ref="B46:C46"/>
    <mergeCell ref="F46:G46"/>
    <mergeCell ref="I46:J46"/>
    <mergeCell ref="T46:U46"/>
    <mergeCell ref="X48:Y48"/>
    <mergeCell ref="B45:C45"/>
    <mergeCell ref="F45:G45"/>
    <mergeCell ref="I45:J45"/>
    <mergeCell ref="T45:U45"/>
    <mergeCell ref="X46:Y46"/>
    <mergeCell ref="B47:C47"/>
    <mergeCell ref="F47:G47"/>
    <mergeCell ref="I47:J47"/>
    <mergeCell ref="T47:U47"/>
    <mergeCell ref="X47:Y47"/>
    <mergeCell ref="X49:Y49"/>
    <mergeCell ref="B52:C52"/>
    <mergeCell ref="F52:G52"/>
    <mergeCell ref="I52:J52"/>
    <mergeCell ref="T52:U52"/>
    <mergeCell ref="B50:C50"/>
    <mergeCell ref="F50:G50"/>
    <mergeCell ref="I50:J50"/>
    <mergeCell ref="T50:U50"/>
    <mergeCell ref="X52:Y52"/>
    <mergeCell ref="B49:C49"/>
    <mergeCell ref="F49:G49"/>
    <mergeCell ref="I49:J49"/>
    <mergeCell ref="T49:U49"/>
    <mergeCell ref="X50:Y50"/>
    <mergeCell ref="B51:C51"/>
    <mergeCell ref="F51:G51"/>
    <mergeCell ref="I51:J51"/>
    <mergeCell ref="T51:U51"/>
    <mergeCell ref="X51:Y51"/>
    <mergeCell ref="X53:Y53"/>
    <mergeCell ref="B56:C56"/>
    <mergeCell ref="F56:G56"/>
    <mergeCell ref="I56:J56"/>
    <mergeCell ref="T56:U56"/>
    <mergeCell ref="B54:C54"/>
    <mergeCell ref="F54:G54"/>
    <mergeCell ref="I54:J54"/>
    <mergeCell ref="T54:U54"/>
    <mergeCell ref="X56:Y56"/>
    <mergeCell ref="B53:C53"/>
    <mergeCell ref="F53:G53"/>
    <mergeCell ref="I53:J53"/>
    <mergeCell ref="T53:U53"/>
    <mergeCell ref="X54:Y54"/>
    <mergeCell ref="B55:C55"/>
    <mergeCell ref="F55:G55"/>
    <mergeCell ref="I55:J55"/>
    <mergeCell ref="T55:U55"/>
    <mergeCell ref="X55:Y55"/>
    <mergeCell ref="X57:Y57"/>
    <mergeCell ref="B60:C60"/>
    <mergeCell ref="F60:G60"/>
    <mergeCell ref="I60:J60"/>
    <mergeCell ref="T60:U60"/>
    <mergeCell ref="B58:C58"/>
    <mergeCell ref="F58:G58"/>
    <mergeCell ref="I58:J58"/>
    <mergeCell ref="T58:U58"/>
    <mergeCell ref="X60:Y60"/>
    <mergeCell ref="B57:C57"/>
    <mergeCell ref="F57:G57"/>
    <mergeCell ref="I57:J57"/>
    <mergeCell ref="T57:U57"/>
    <mergeCell ref="X58:Y58"/>
    <mergeCell ref="B59:C59"/>
    <mergeCell ref="F59:G59"/>
    <mergeCell ref="I59:J59"/>
    <mergeCell ref="T59:U59"/>
    <mergeCell ref="X59:Y59"/>
    <mergeCell ref="X61:Y61"/>
    <mergeCell ref="B64:C64"/>
    <mergeCell ref="F64:G64"/>
    <mergeCell ref="I64:J64"/>
    <mergeCell ref="T64:U64"/>
    <mergeCell ref="B62:C62"/>
    <mergeCell ref="F62:G62"/>
    <mergeCell ref="I62:J62"/>
    <mergeCell ref="T62:U62"/>
    <mergeCell ref="X64:Y64"/>
    <mergeCell ref="B61:C61"/>
    <mergeCell ref="F61:G61"/>
    <mergeCell ref="I61:J61"/>
    <mergeCell ref="T61:U61"/>
    <mergeCell ref="X62:Y62"/>
    <mergeCell ref="B63:C63"/>
    <mergeCell ref="F63:G63"/>
    <mergeCell ref="I63:J63"/>
    <mergeCell ref="T63:U63"/>
    <mergeCell ref="X63:Y63"/>
    <mergeCell ref="X65:Y65"/>
    <mergeCell ref="B68:C68"/>
    <mergeCell ref="F68:G68"/>
    <mergeCell ref="I68:J68"/>
    <mergeCell ref="T68:U68"/>
    <mergeCell ref="B66:C66"/>
    <mergeCell ref="F66:G66"/>
    <mergeCell ref="I66:J66"/>
    <mergeCell ref="T66:U66"/>
    <mergeCell ref="X68:Y68"/>
    <mergeCell ref="B65:C65"/>
    <mergeCell ref="F65:G65"/>
    <mergeCell ref="I65:J65"/>
    <mergeCell ref="T65:U65"/>
    <mergeCell ref="X66:Y66"/>
    <mergeCell ref="B67:C67"/>
    <mergeCell ref="F67:G67"/>
    <mergeCell ref="I67:J67"/>
    <mergeCell ref="T67:U67"/>
    <mergeCell ref="X67:Y67"/>
    <mergeCell ref="X69:Y69"/>
    <mergeCell ref="B72:C72"/>
    <mergeCell ref="F72:G72"/>
    <mergeCell ref="I72:J72"/>
    <mergeCell ref="T72:U72"/>
    <mergeCell ref="B70:C70"/>
    <mergeCell ref="F70:G70"/>
    <mergeCell ref="I70:J70"/>
    <mergeCell ref="T70:U70"/>
    <mergeCell ref="X72:Y72"/>
    <mergeCell ref="B69:C69"/>
    <mergeCell ref="F69:G69"/>
    <mergeCell ref="I69:J69"/>
    <mergeCell ref="T69:U69"/>
    <mergeCell ref="X70:Y70"/>
    <mergeCell ref="B71:C71"/>
    <mergeCell ref="F71:G71"/>
    <mergeCell ref="I71:J71"/>
    <mergeCell ref="T71:U71"/>
    <mergeCell ref="X71:Y71"/>
    <mergeCell ref="X73:Y73"/>
    <mergeCell ref="B76:C76"/>
    <mergeCell ref="F76:G76"/>
    <mergeCell ref="I76:J76"/>
    <mergeCell ref="T76:U76"/>
    <mergeCell ref="B74:C74"/>
    <mergeCell ref="F74:G74"/>
    <mergeCell ref="I74:J74"/>
    <mergeCell ref="T74:U74"/>
    <mergeCell ref="X76:Y76"/>
    <mergeCell ref="B73:C73"/>
    <mergeCell ref="F73:G73"/>
    <mergeCell ref="I73:J73"/>
    <mergeCell ref="T73:U73"/>
    <mergeCell ref="X74:Y74"/>
    <mergeCell ref="B75:C75"/>
    <mergeCell ref="F75:G75"/>
    <mergeCell ref="I75:J75"/>
    <mergeCell ref="T75:U75"/>
    <mergeCell ref="X75:Y75"/>
    <mergeCell ref="X77:Y77"/>
    <mergeCell ref="B80:C80"/>
    <mergeCell ref="F80:G80"/>
    <mergeCell ref="I80:J80"/>
    <mergeCell ref="T80:U80"/>
    <mergeCell ref="B78:C78"/>
    <mergeCell ref="F78:G78"/>
    <mergeCell ref="I78:J78"/>
    <mergeCell ref="T78:U78"/>
    <mergeCell ref="X80:Y80"/>
    <mergeCell ref="B77:C77"/>
    <mergeCell ref="F77:G77"/>
    <mergeCell ref="I77:J77"/>
    <mergeCell ref="T77:U77"/>
    <mergeCell ref="X78:Y78"/>
    <mergeCell ref="B79:C79"/>
    <mergeCell ref="F79:G79"/>
    <mergeCell ref="I79:J79"/>
    <mergeCell ref="T79:U79"/>
    <mergeCell ref="X79:Y79"/>
    <mergeCell ref="X81:Y81"/>
    <mergeCell ref="B84:C84"/>
    <mergeCell ref="F84:G84"/>
    <mergeCell ref="I84:J84"/>
    <mergeCell ref="T84:U84"/>
    <mergeCell ref="B82:C82"/>
    <mergeCell ref="F82:G82"/>
    <mergeCell ref="I82:J82"/>
    <mergeCell ref="T82:U82"/>
    <mergeCell ref="X84:Y84"/>
    <mergeCell ref="B81:C81"/>
    <mergeCell ref="F81:G81"/>
    <mergeCell ref="I81:J81"/>
    <mergeCell ref="T81:U81"/>
    <mergeCell ref="X82:Y82"/>
    <mergeCell ref="B83:C83"/>
    <mergeCell ref="F83:G83"/>
    <mergeCell ref="I83:J83"/>
    <mergeCell ref="T83:U83"/>
    <mergeCell ref="X83:Y83"/>
    <mergeCell ref="X85:Y85"/>
    <mergeCell ref="B88:C88"/>
    <mergeCell ref="F88:G88"/>
    <mergeCell ref="I88:J88"/>
    <mergeCell ref="T88:U88"/>
    <mergeCell ref="B86:C86"/>
    <mergeCell ref="F86:G86"/>
    <mergeCell ref="I86:J86"/>
    <mergeCell ref="T86:U86"/>
    <mergeCell ref="X88:Y88"/>
    <mergeCell ref="B85:C85"/>
    <mergeCell ref="F85:G85"/>
    <mergeCell ref="I85:J85"/>
    <mergeCell ref="T85:U85"/>
    <mergeCell ref="X86:Y86"/>
    <mergeCell ref="B87:C87"/>
    <mergeCell ref="F87:G87"/>
    <mergeCell ref="I87:J87"/>
    <mergeCell ref="T87:U87"/>
    <mergeCell ref="X87:Y87"/>
    <mergeCell ref="X89:Y89"/>
    <mergeCell ref="B92:C92"/>
    <mergeCell ref="F92:G92"/>
    <mergeCell ref="I92:J92"/>
    <mergeCell ref="T92:U92"/>
    <mergeCell ref="B90:C90"/>
    <mergeCell ref="F90:G90"/>
    <mergeCell ref="I90:J90"/>
    <mergeCell ref="T90:U90"/>
    <mergeCell ref="X92:Y92"/>
    <mergeCell ref="B89:C89"/>
    <mergeCell ref="F89:G89"/>
    <mergeCell ref="I89:J89"/>
    <mergeCell ref="T89:U89"/>
    <mergeCell ref="X90:Y90"/>
    <mergeCell ref="B91:C91"/>
    <mergeCell ref="F91:G91"/>
    <mergeCell ref="I91:J91"/>
    <mergeCell ref="T91:U91"/>
    <mergeCell ref="X91:Y91"/>
    <mergeCell ref="X93:Y93"/>
    <mergeCell ref="B96:C96"/>
    <mergeCell ref="F96:G96"/>
    <mergeCell ref="I96:J96"/>
    <mergeCell ref="T96:U96"/>
    <mergeCell ref="B94:C94"/>
    <mergeCell ref="F94:G94"/>
    <mergeCell ref="I94:J94"/>
    <mergeCell ref="T94:U94"/>
    <mergeCell ref="X96:Y96"/>
    <mergeCell ref="B93:C93"/>
    <mergeCell ref="F93:G93"/>
    <mergeCell ref="I93:J93"/>
    <mergeCell ref="T93:U93"/>
    <mergeCell ref="X94:Y94"/>
    <mergeCell ref="B95:C95"/>
    <mergeCell ref="F95:G95"/>
    <mergeCell ref="I95:J95"/>
    <mergeCell ref="T95:U95"/>
    <mergeCell ref="X95:Y95"/>
    <mergeCell ref="X97:Y97"/>
    <mergeCell ref="B100:C100"/>
    <mergeCell ref="F100:G100"/>
    <mergeCell ref="I100:J100"/>
    <mergeCell ref="T100:U100"/>
    <mergeCell ref="B98:C98"/>
    <mergeCell ref="F98:G98"/>
    <mergeCell ref="I98:J98"/>
    <mergeCell ref="T98:U98"/>
    <mergeCell ref="X100:Y100"/>
    <mergeCell ref="B97:C97"/>
    <mergeCell ref="F97:G97"/>
    <mergeCell ref="I97:J97"/>
    <mergeCell ref="T97:U97"/>
    <mergeCell ref="X98:Y98"/>
    <mergeCell ref="B99:C99"/>
    <mergeCell ref="F99:G99"/>
    <mergeCell ref="I99:J99"/>
    <mergeCell ref="T99:U99"/>
    <mergeCell ref="X99:Y99"/>
    <mergeCell ref="X101:Y101"/>
    <mergeCell ref="B104:C104"/>
    <mergeCell ref="F104:G104"/>
    <mergeCell ref="I104:J104"/>
    <mergeCell ref="T104:U104"/>
    <mergeCell ref="B102:C102"/>
    <mergeCell ref="F102:G102"/>
    <mergeCell ref="I102:J102"/>
    <mergeCell ref="T102:U102"/>
    <mergeCell ref="X104:Y104"/>
    <mergeCell ref="B101:C101"/>
    <mergeCell ref="F101:G101"/>
    <mergeCell ref="I101:J101"/>
    <mergeCell ref="T101:U101"/>
    <mergeCell ref="X102:Y102"/>
    <mergeCell ref="B103:C103"/>
    <mergeCell ref="F103:G103"/>
    <mergeCell ref="I103:J103"/>
    <mergeCell ref="T103:U103"/>
    <mergeCell ref="X103:Y103"/>
    <mergeCell ref="X105:Y105"/>
    <mergeCell ref="B108:C108"/>
    <mergeCell ref="F108:G108"/>
    <mergeCell ref="I108:J108"/>
    <mergeCell ref="T108:U108"/>
    <mergeCell ref="B106:C106"/>
    <mergeCell ref="F106:G106"/>
    <mergeCell ref="I106:J106"/>
    <mergeCell ref="T106:U106"/>
    <mergeCell ref="X108:Y108"/>
    <mergeCell ref="B105:C105"/>
    <mergeCell ref="F105:G105"/>
    <mergeCell ref="I105:J105"/>
    <mergeCell ref="T105:U105"/>
    <mergeCell ref="X106:Y106"/>
    <mergeCell ref="B107:C107"/>
    <mergeCell ref="F107:G107"/>
    <mergeCell ref="I107:J107"/>
    <mergeCell ref="T107:U107"/>
    <mergeCell ref="X107:Y107"/>
    <mergeCell ref="X109:Y109"/>
    <mergeCell ref="B112:C112"/>
    <mergeCell ref="F112:G112"/>
    <mergeCell ref="I112:J112"/>
    <mergeCell ref="T112:U112"/>
    <mergeCell ref="B110:C110"/>
    <mergeCell ref="F110:G110"/>
    <mergeCell ref="I110:J110"/>
    <mergeCell ref="T110:U110"/>
    <mergeCell ref="X112:Y112"/>
    <mergeCell ref="B109:C109"/>
    <mergeCell ref="F109:G109"/>
    <mergeCell ref="I109:J109"/>
    <mergeCell ref="T109:U109"/>
    <mergeCell ref="X110:Y110"/>
    <mergeCell ref="B111:C111"/>
    <mergeCell ref="F111:G111"/>
    <mergeCell ref="I111:J111"/>
    <mergeCell ref="T111:U111"/>
    <mergeCell ref="X111:Y111"/>
    <mergeCell ref="X113:Y113"/>
    <mergeCell ref="B116:C116"/>
    <mergeCell ref="F116:G116"/>
    <mergeCell ref="I116:J116"/>
    <mergeCell ref="T116:U116"/>
    <mergeCell ref="B114:C114"/>
    <mergeCell ref="F114:G114"/>
    <mergeCell ref="I114:J114"/>
    <mergeCell ref="T114:U114"/>
    <mergeCell ref="X116:Y116"/>
    <mergeCell ref="B113:C113"/>
    <mergeCell ref="F113:G113"/>
    <mergeCell ref="I113:J113"/>
    <mergeCell ref="T113:U113"/>
    <mergeCell ref="X114:Y114"/>
    <mergeCell ref="B115:C115"/>
    <mergeCell ref="F115:G115"/>
    <mergeCell ref="I115:J115"/>
    <mergeCell ref="T115:U115"/>
    <mergeCell ref="X115:Y115"/>
    <mergeCell ref="X117:Y117"/>
    <mergeCell ref="B120:C120"/>
    <mergeCell ref="F120:G120"/>
    <mergeCell ref="I120:J120"/>
    <mergeCell ref="T120:U120"/>
    <mergeCell ref="B118:C118"/>
    <mergeCell ref="F118:G118"/>
    <mergeCell ref="I118:J118"/>
    <mergeCell ref="T118:U118"/>
    <mergeCell ref="X120:Y120"/>
    <mergeCell ref="B117:C117"/>
    <mergeCell ref="F117:G117"/>
    <mergeCell ref="I117:J117"/>
    <mergeCell ref="T117:U117"/>
    <mergeCell ref="X118:Y118"/>
    <mergeCell ref="B119:C119"/>
    <mergeCell ref="F119:G119"/>
    <mergeCell ref="I119:J119"/>
    <mergeCell ref="T119:U119"/>
    <mergeCell ref="X119:Y119"/>
    <mergeCell ref="X121:Y121"/>
    <mergeCell ref="B124:C124"/>
    <mergeCell ref="F124:G124"/>
    <mergeCell ref="I124:J124"/>
    <mergeCell ref="T124:U124"/>
    <mergeCell ref="B122:C122"/>
    <mergeCell ref="F122:G122"/>
    <mergeCell ref="I122:J122"/>
    <mergeCell ref="T122:U122"/>
    <mergeCell ref="X124:Y124"/>
    <mergeCell ref="B121:C121"/>
    <mergeCell ref="F121:G121"/>
    <mergeCell ref="I121:J121"/>
    <mergeCell ref="T121:U121"/>
    <mergeCell ref="X122:Y122"/>
    <mergeCell ref="B123:C123"/>
    <mergeCell ref="F123:G123"/>
    <mergeCell ref="I123:J123"/>
    <mergeCell ref="T123:U123"/>
    <mergeCell ref="X123:Y123"/>
    <mergeCell ref="X125:Y125"/>
    <mergeCell ref="B128:C128"/>
    <mergeCell ref="F128:G128"/>
    <mergeCell ref="I128:J128"/>
    <mergeCell ref="T128:U128"/>
    <mergeCell ref="B126:C126"/>
    <mergeCell ref="F126:G126"/>
    <mergeCell ref="I126:J126"/>
    <mergeCell ref="T126:U126"/>
    <mergeCell ref="X128:Y128"/>
    <mergeCell ref="B125:C125"/>
    <mergeCell ref="F125:G125"/>
    <mergeCell ref="I125:J125"/>
    <mergeCell ref="T125:U125"/>
    <mergeCell ref="X126:Y126"/>
    <mergeCell ref="B127:C127"/>
    <mergeCell ref="F127:G127"/>
    <mergeCell ref="I127:J127"/>
    <mergeCell ref="T127:U127"/>
    <mergeCell ref="X127:Y127"/>
    <mergeCell ref="X129:Y129"/>
    <mergeCell ref="B132:C132"/>
    <mergeCell ref="F132:G132"/>
    <mergeCell ref="I132:J132"/>
    <mergeCell ref="T132:U132"/>
    <mergeCell ref="B130:C130"/>
    <mergeCell ref="F130:G130"/>
    <mergeCell ref="I130:J130"/>
    <mergeCell ref="T130:U130"/>
    <mergeCell ref="X132:Y132"/>
    <mergeCell ref="B129:C129"/>
    <mergeCell ref="F129:G129"/>
    <mergeCell ref="I129:J129"/>
    <mergeCell ref="T129:U129"/>
    <mergeCell ref="X130:Y130"/>
    <mergeCell ref="B131:C131"/>
    <mergeCell ref="F131:G131"/>
    <mergeCell ref="I131:J131"/>
    <mergeCell ref="T131:U131"/>
    <mergeCell ref="X131:Y131"/>
    <mergeCell ref="X133:Y133"/>
    <mergeCell ref="B136:C136"/>
    <mergeCell ref="F136:G136"/>
    <mergeCell ref="I136:J136"/>
    <mergeCell ref="T136:U136"/>
    <mergeCell ref="B134:C134"/>
    <mergeCell ref="F134:G134"/>
    <mergeCell ref="I134:J134"/>
    <mergeCell ref="T134:U134"/>
    <mergeCell ref="X136:Y136"/>
    <mergeCell ref="B133:C133"/>
    <mergeCell ref="F133:G133"/>
    <mergeCell ref="I133:J133"/>
    <mergeCell ref="T133:U133"/>
    <mergeCell ref="X134:Y134"/>
    <mergeCell ref="B135:C135"/>
    <mergeCell ref="F135:G135"/>
    <mergeCell ref="I135:J135"/>
    <mergeCell ref="T135:U135"/>
    <mergeCell ref="X135:Y135"/>
    <mergeCell ref="X137:Y137"/>
    <mergeCell ref="B140:C140"/>
    <mergeCell ref="F140:G140"/>
    <mergeCell ref="I140:J140"/>
    <mergeCell ref="T140:U140"/>
    <mergeCell ref="B138:C138"/>
    <mergeCell ref="F138:G138"/>
    <mergeCell ref="I138:J138"/>
    <mergeCell ref="T138:U138"/>
    <mergeCell ref="X140:Y140"/>
    <mergeCell ref="B137:C137"/>
    <mergeCell ref="F137:G137"/>
    <mergeCell ref="I137:J137"/>
    <mergeCell ref="T137:U137"/>
    <mergeCell ref="X138:Y138"/>
    <mergeCell ref="B139:C139"/>
    <mergeCell ref="F139:G139"/>
    <mergeCell ref="I139:J139"/>
    <mergeCell ref="T139:U139"/>
    <mergeCell ref="X139:Y139"/>
    <mergeCell ref="X141:Y141"/>
    <mergeCell ref="B144:C144"/>
    <mergeCell ref="F144:G144"/>
    <mergeCell ref="I144:J144"/>
    <mergeCell ref="T144:U144"/>
    <mergeCell ref="B142:C142"/>
    <mergeCell ref="F142:G142"/>
    <mergeCell ref="I142:J142"/>
    <mergeCell ref="T142:U142"/>
    <mergeCell ref="X144:Y144"/>
    <mergeCell ref="B141:C141"/>
    <mergeCell ref="F141:G141"/>
    <mergeCell ref="I141:J141"/>
    <mergeCell ref="T141:U141"/>
    <mergeCell ref="X142:Y142"/>
    <mergeCell ref="B143:C143"/>
    <mergeCell ref="F143:G143"/>
    <mergeCell ref="I143:J143"/>
    <mergeCell ref="T143:U143"/>
    <mergeCell ref="X143:Y143"/>
    <mergeCell ref="X145:Y145"/>
    <mergeCell ref="B148:C148"/>
    <mergeCell ref="F148:G148"/>
    <mergeCell ref="I148:J148"/>
    <mergeCell ref="T148:U148"/>
    <mergeCell ref="B146:C146"/>
    <mergeCell ref="F146:G146"/>
    <mergeCell ref="I146:J146"/>
    <mergeCell ref="T146:U146"/>
    <mergeCell ref="X148:Y148"/>
    <mergeCell ref="B145:C145"/>
    <mergeCell ref="F145:G145"/>
    <mergeCell ref="I145:J145"/>
    <mergeCell ref="T145:U145"/>
    <mergeCell ref="X146:Y146"/>
    <mergeCell ref="B147:C147"/>
    <mergeCell ref="F147:G147"/>
    <mergeCell ref="I147:J147"/>
    <mergeCell ref="T147:U147"/>
    <mergeCell ref="X147:Y147"/>
    <mergeCell ref="X149:Y149"/>
    <mergeCell ref="B152:C152"/>
    <mergeCell ref="F152:G152"/>
    <mergeCell ref="I152:J152"/>
    <mergeCell ref="T152:U152"/>
    <mergeCell ref="B150:C150"/>
    <mergeCell ref="F150:G150"/>
    <mergeCell ref="I150:J150"/>
    <mergeCell ref="T150:U150"/>
    <mergeCell ref="X152:Y152"/>
    <mergeCell ref="B149:C149"/>
    <mergeCell ref="F149:G149"/>
    <mergeCell ref="I149:J149"/>
    <mergeCell ref="T149:U149"/>
    <mergeCell ref="X150:Y150"/>
    <mergeCell ref="B151:C151"/>
    <mergeCell ref="F151:G151"/>
    <mergeCell ref="I151:J151"/>
    <mergeCell ref="T151:U151"/>
    <mergeCell ref="X151:Y151"/>
    <mergeCell ref="X153:Y153"/>
    <mergeCell ref="B156:C156"/>
    <mergeCell ref="F156:G156"/>
    <mergeCell ref="I156:J156"/>
    <mergeCell ref="T156:U156"/>
    <mergeCell ref="B154:C154"/>
    <mergeCell ref="F154:G154"/>
    <mergeCell ref="I154:J154"/>
    <mergeCell ref="T154:U154"/>
    <mergeCell ref="X156:Y156"/>
    <mergeCell ref="B153:C153"/>
    <mergeCell ref="F153:G153"/>
    <mergeCell ref="I153:J153"/>
    <mergeCell ref="T153:U153"/>
    <mergeCell ref="X154:Y154"/>
    <mergeCell ref="B155:C155"/>
    <mergeCell ref="F155:G155"/>
    <mergeCell ref="I155:J155"/>
    <mergeCell ref="T155:U155"/>
    <mergeCell ref="X155:Y155"/>
    <mergeCell ref="X157:Y157"/>
    <mergeCell ref="B160:C160"/>
    <mergeCell ref="F160:G160"/>
    <mergeCell ref="I160:J160"/>
    <mergeCell ref="T160:U160"/>
    <mergeCell ref="B158:C158"/>
    <mergeCell ref="F158:G158"/>
    <mergeCell ref="I158:J158"/>
    <mergeCell ref="T158:U158"/>
    <mergeCell ref="X160:Y160"/>
    <mergeCell ref="B157:C157"/>
    <mergeCell ref="F157:G157"/>
    <mergeCell ref="I157:J157"/>
    <mergeCell ref="T157:U157"/>
    <mergeCell ref="X158:Y158"/>
    <mergeCell ref="B159:C159"/>
    <mergeCell ref="F159:G159"/>
    <mergeCell ref="I159:J159"/>
    <mergeCell ref="T159:U159"/>
    <mergeCell ref="X159:Y159"/>
    <mergeCell ref="X161:Y161"/>
    <mergeCell ref="B164:C164"/>
    <mergeCell ref="F164:G164"/>
    <mergeCell ref="I164:J164"/>
    <mergeCell ref="T164:U164"/>
    <mergeCell ref="B162:C162"/>
    <mergeCell ref="F162:G162"/>
    <mergeCell ref="I162:J162"/>
    <mergeCell ref="T162:U162"/>
    <mergeCell ref="X164:Y164"/>
    <mergeCell ref="B161:C161"/>
    <mergeCell ref="F161:G161"/>
    <mergeCell ref="I161:J161"/>
    <mergeCell ref="T161:U161"/>
    <mergeCell ref="X162:Y162"/>
    <mergeCell ref="B163:C163"/>
    <mergeCell ref="F163:G163"/>
    <mergeCell ref="I163:J163"/>
    <mergeCell ref="T163:U163"/>
    <mergeCell ref="X163:Y163"/>
    <mergeCell ref="X165:Y165"/>
    <mergeCell ref="B168:C168"/>
    <mergeCell ref="F168:G168"/>
    <mergeCell ref="I168:J168"/>
    <mergeCell ref="T168:U168"/>
    <mergeCell ref="B166:C166"/>
    <mergeCell ref="F166:G166"/>
    <mergeCell ref="I166:J166"/>
    <mergeCell ref="T166:U166"/>
    <mergeCell ref="X168:Y168"/>
    <mergeCell ref="B165:C165"/>
    <mergeCell ref="F165:G165"/>
    <mergeCell ref="I165:J165"/>
    <mergeCell ref="T165:U165"/>
    <mergeCell ref="X166:Y166"/>
    <mergeCell ref="B167:C167"/>
    <mergeCell ref="F167:G167"/>
    <mergeCell ref="I167:J167"/>
    <mergeCell ref="T167:U167"/>
    <mergeCell ref="X167:Y167"/>
    <mergeCell ref="X169:Y169"/>
    <mergeCell ref="B172:C172"/>
    <mergeCell ref="F172:G172"/>
    <mergeCell ref="I172:J172"/>
    <mergeCell ref="T172:U172"/>
    <mergeCell ref="B170:C170"/>
    <mergeCell ref="F170:G170"/>
    <mergeCell ref="I170:J170"/>
    <mergeCell ref="T170:U170"/>
    <mergeCell ref="X172:Y172"/>
    <mergeCell ref="B169:C169"/>
    <mergeCell ref="F169:G169"/>
    <mergeCell ref="I169:J169"/>
    <mergeCell ref="T169:U169"/>
    <mergeCell ref="X170:Y170"/>
    <mergeCell ref="B171:C171"/>
    <mergeCell ref="F171:G171"/>
    <mergeCell ref="I171:J171"/>
    <mergeCell ref="T171:U171"/>
    <mergeCell ref="X171:Y171"/>
    <mergeCell ref="X173:Y173"/>
    <mergeCell ref="B176:C176"/>
    <mergeCell ref="F176:G176"/>
    <mergeCell ref="I176:J176"/>
    <mergeCell ref="T176:U176"/>
    <mergeCell ref="B174:C174"/>
    <mergeCell ref="F174:G174"/>
    <mergeCell ref="I174:J174"/>
    <mergeCell ref="T174:U174"/>
    <mergeCell ref="X176:Y176"/>
    <mergeCell ref="B173:C173"/>
    <mergeCell ref="F173:G173"/>
    <mergeCell ref="I173:J173"/>
    <mergeCell ref="T173:U173"/>
    <mergeCell ref="X174:Y174"/>
    <mergeCell ref="B175:C175"/>
    <mergeCell ref="F175:G175"/>
    <mergeCell ref="I175:J175"/>
    <mergeCell ref="T175:U175"/>
    <mergeCell ref="X175:Y175"/>
    <mergeCell ref="X177:Y177"/>
    <mergeCell ref="B180:C180"/>
    <mergeCell ref="F180:G180"/>
    <mergeCell ref="I180:J180"/>
    <mergeCell ref="T180:U180"/>
    <mergeCell ref="B178:C178"/>
    <mergeCell ref="F178:G178"/>
    <mergeCell ref="I178:J178"/>
    <mergeCell ref="T178:U178"/>
    <mergeCell ref="X180:Y180"/>
    <mergeCell ref="B177:C177"/>
    <mergeCell ref="F177:G177"/>
    <mergeCell ref="I177:J177"/>
    <mergeCell ref="T177:U177"/>
    <mergeCell ref="X178:Y178"/>
    <mergeCell ref="B179:C179"/>
    <mergeCell ref="F179:G179"/>
    <mergeCell ref="I179:J179"/>
    <mergeCell ref="T179:U179"/>
    <mergeCell ref="X179:Y179"/>
    <mergeCell ref="X181:Y181"/>
    <mergeCell ref="B184:C184"/>
    <mergeCell ref="F184:G184"/>
    <mergeCell ref="I184:J184"/>
    <mergeCell ref="T184:U184"/>
    <mergeCell ref="B182:C182"/>
    <mergeCell ref="F182:G182"/>
    <mergeCell ref="I182:J182"/>
    <mergeCell ref="T182:U182"/>
    <mergeCell ref="X184:Y184"/>
    <mergeCell ref="B181:C181"/>
    <mergeCell ref="F181:G181"/>
    <mergeCell ref="I181:J181"/>
    <mergeCell ref="T181:U181"/>
    <mergeCell ref="X182:Y182"/>
    <mergeCell ref="B183:C183"/>
    <mergeCell ref="F183:G183"/>
    <mergeCell ref="I183:J183"/>
    <mergeCell ref="T183:U183"/>
    <mergeCell ref="X183:Y183"/>
    <mergeCell ref="X185:Y185"/>
    <mergeCell ref="B188:C188"/>
    <mergeCell ref="F188:G188"/>
    <mergeCell ref="I188:J188"/>
    <mergeCell ref="T188:U188"/>
    <mergeCell ref="B186:C186"/>
    <mergeCell ref="F186:G186"/>
    <mergeCell ref="I186:J186"/>
    <mergeCell ref="T186:U186"/>
    <mergeCell ref="X188:Y188"/>
    <mergeCell ref="B185:C185"/>
    <mergeCell ref="F185:G185"/>
    <mergeCell ref="I185:J185"/>
    <mergeCell ref="T185:U185"/>
    <mergeCell ref="X186:Y186"/>
    <mergeCell ref="B187:C187"/>
    <mergeCell ref="F187:G187"/>
    <mergeCell ref="I187:J187"/>
    <mergeCell ref="T187:U187"/>
    <mergeCell ref="X187:Y187"/>
    <mergeCell ref="X189:Y189"/>
    <mergeCell ref="B192:C192"/>
    <mergeCell ref="F192:G192"/>
    <mergeCell ref="I192:J192"/>
    <mergeCell ref="T192:U192"/>
    <mergeCell ref="B190:C190"/>
    <mergeCell ref="F190:G190"/>
    <mergeCell ref="I190:J190"/>
    <mergeCell ref="T190:U190"/>
    <mergeCell ref="X192:Y192"/>
    <mergeCell ref="B189:C189"/>
    <mergeCell ref="F189:G189"/>
    <mergeCell ref="I189:J189"/>
    <mergeCell ref="T189:U189"/>
    <mergeCell ref="X190:Y190"/>
    <mergeCell ref="B191:C191"/>
    <mergeCell ref="F191:G191"/>
    <mergeCell ref="I191:J191"/>
    <mergeCell ref="T191:U191"/>
    <mergeCell ref="X191:Y191"/>
    <mergeCell ref="X193:Y193"/>
    <mergeCell ref="B196:C196"/>
    <mergeCell ref="F196:G196"/>
    <mergeCell ref="I196:J196"/>
    <mergeCell ref="T196:U196"/>
    <mergeCell ref="B194:C194"/>
    <mergeCell ref="F194:G194"/>
    <mergeCell ref="I194:J194"/>
    <mergeCell ref="T194:U194"/>
    <mergeCell ref="X196:Y196"/>
    <mergeCell ref="B193:C193"/>
    <mergeCell ref="F193:G193"/>
    <mergeCell ref="I193:J193"/>
    <mergeCell ref="T193:U193"/>
    <mergeCell ref="X194:Y194"/>
    <mergeCell ref="B195:C195"/>
    <mergeCell ref="F195:G195"/>
    <mergeCell ref="I195:J195"/>
    <mergeCell ref="T195:U195"/>
    <mergeCell ref="X195:Y195"/>
    <mergeCell ref="X197:Y197"/>
    <mergeCell ref="B200:C200"/>
    <mergeCell ref="F200:G200"/>
    <mergeCell ref="I200:J200"/>
    <mergeCell ref="T200:U200"/>
    <mergeCell ref="B198:C198"/>
    <mergeCell ref="F198:G198"/>
    <mergeCell ref="I198:J198"/>
    <mergeCell ref="T198:U198"/>
    <mergeCell ref="X200:Y200"/>
    <mergeCell ref="B197:C197"/>
    <mergeCell ref="F197:G197"/>
    <mergeCell ref="I197:J197"/>
    <mergeCell ref="T197:U197"/>
    <mergeCell ref="X198:Y198"/>
    <mergeCell ref="B199:C199"/>
    <mergeCell ref="F199:G199"/>
    <mergeCell ref="I199:J199"/>
    <mergeCell ref="T199:U199"/>
    <mergeCell ref="X199:Y199"/>
    <mergeCell ref="X201:Y201"/>
    <mergeCell ref="B204:C204"/>
    <mergeCell ref="F204:G204"/>
    <mergeCell ref="I204:J204"/>
    <mergeCell ref="T204:U204"/>
    <mergeCell ref="B202:C202"/>
    <mergeCell ref="F202:G202"/>
    <mergeCell ref="I202:J202"/>
    <mergeCell ref="T202:U202"/>
    <mergeCell ref="X204:Y204"/>
    <mergeCell ref="B201:C201"/>
    <mergeCell ref="F201:G201"/>
    <mergeCell ref="I201:J201"/>
    <mergeCell ref="T201:U201"/>
    <mergeCell ref="X202:Y202"/>
    <mergeCell ref="B203:C203"/>
    <mergeCell ref="F203:G203"/>
    <mergeCell ref="I203:J203"/>
    <mergeCell ref="T203:U203"/>
    <mergeCell ref="X203:Y203"/>
    <mergeCell ref="X205:Y205"/>
    <mergeCell ref="B208:C208"/>
    <mergeCell ref="F208:G208"/>
    <mergeCell ref="I208:J208"/>
    <mergeCell ref="T208:U208"/>
    <mergeCell ref="B206:C206"/>
    <mergeCell ref="F206:G206"/>
    <mergeCell ref="I206:J206"/>
    <mergeCell ref="T206:U206"/>
    <mergeCell ref="X208:Y208"/>
    <mergeCell ref="B205:C205"/>
    <mergeCell ref="F205:G205"/>
    <mergeCell ref="I205:J205"/>
    <mergeCell ref="T205:U205"/>
    <mergeCell ref="X206:Y206"/>
    <mergeCell ref="B207:C207"/>
    <mergeCell ref="F207:G207"/>
    <mergeCell ref="I207:J207"/>
    <mergeCell ref="T207:U207"/>
    <mergeCell ref="X207:Y207"/>
    <mergeCell ref="X209:Y209"/>
    <mergeCell ref="B212:C212"/>
    <mergeCell ref="F212:G212"/>
    <mergeCell ref="I212:J212"/>
    <mergeCell ref="T212:U212"/>
    <mergeCell ref="B210:C210"/>
    <mergeCell ref="F210:G210"/>
    <mergeCell ref="I210:J210"/>
    <mergeCell ref="T210:U210"/>
    <mergeCell ref="X212:Y212"/>
    <mergeCell ref="B209:C209"/>
    <mergeCell ref="F209:G209"/>
    <mergeCell ref="I209:J209"/>
    <mergeCell ref="T209:U209"/>
    <mergeCell ref="X210:Y210"/>
    <mergeCell ref="B211:C211"/>
    <mergeCell ref="F211:G211"/>
    <mergeCell ref="I211:J211"/>
    <mergeCell ref="T211:U211"/>
    <mergeCell ref="X211:Y211"/>
    <mergeCell ref="X213:Y213"/>
    <mergeCell ref="B216:C216"/>
    <mergeCell ref="F216:G216"/>
    <mergeCell ref="I216:J216"/>
    <mergeCell ref="T216:U216"/>
    <mergeCell ref="B214:C214"/>
    <mergeCell ref="F214:G214"/>
    <mergeCell ref="I214:J214"/>
    <mergeCell ref="T214:U214"/>
    <mergeCell ref="X216:Y216"/>
    <mergeCell ref="B213:C213"/>
    <mergeCell ref="F213:G213"/>
    <mergeCell ref="I213:J213"/>
    <mergeCell ref="T213:U213"/>
    <mergeCell ref="X214:Y214"/>
    <mergeCell ref="B215:C215"/>
    <mergeCell ref="F215:G215"/>
    <mergeCell ref="I215:J215"/>
    <mergeCell ref="T215:U215"/>
    <mergeCell ref="X215:Y215"/>
    <mergeCell ref="X217:Y217"/>
    <mergeCell ref="B220:C220"/>
    <mergeCell ref="F220:G220"/>
    <mergeCell ref="I220:J220"/>
    <mergeCell ref="T220:U220"/>
    <mergeCell ref="B218:C218"/>
    <mergeCell ref="F218:G218"/>
    <mergeCell ref="I218:J218"/>
    <mergeCell ref="T218:U218"/>
    <mergeCell ref="X220:Y220"/>
    <mergeCell ref="B217:C217"/>
    <mergeCell ref="F217:G217"/>
    <mergeCell ref="I217:J217"/>
    <mergeCell ref="T217:U217"/>
    <mergeCell ref="X218:Y218"/>
    <mergeCell ref="B219:C219"/>
    <mergeCell ref="F219:G219"/>
    <mergeCell ref="I219:J219"/>
    <mergeCell ref="T219:U219"/>
    <mergeCell ref="X219:Y219"/>
    <mergeCell ref="X221:Y221"/>
    <mergeCell ref="B224:C224"/>
    <mergeCell ref="F224:G224"/>
    <mergeCell ref="I224:J224"/>
    <mergeCell ref="T224:U224"/>
    <mergeCell ref="B222:C222"/>
    <mergeCell ref="F222:G222"/>
    <mergeCell ref="I222:J222"/>
    <mergeCell ref="T222:U222"/>
    <mergeCell ref="X224:Y224"/>
    <mergeCell ref="B221:C221"/>
    <mergeCell ref="F221:G221"/>
    <mergeCell ref="I221:J221"/>
    <mergeCell ref="T221:U221"/>
    <mergeCell ref="X222:Y222"/>
    <mergeCell ref="B223:C223"/>
    <mergeCell ref="F223:G223"/>
    <mergeCell ref="I223:J223"/>
    <mergeCell ref="T223:U223"/>
    <mergeCell ref="X223:Y223"/>
    <mergeCell ref="X225:Y225"/>
    <mergeCell ref="B228:C228"/>
    <mergeCell ref="F228:G228"/>
    <mergeCell ref="I228:J228"/>
    <mergeCell ref="T228:U228"/>
    <mergeCell ref="B226:C226"/>
    <mergeCell ref="F226:G226"/>
    <mergeCell ref="I226:J226"/>
    <mergeCell ref="T226:U226"/>
    <mergeCell ref="X228:Y228"/>
    <mergeCell ref="B225:C225"/>
    <mergeCell ref="F225:G225"/>
    <mergeCell ref="I225:J225"/>
    <mergeCell ref="T225:U225"/>
    <mergeCell ref="X226:Y226"/>
    <mergeCell ref="B227:C227"/>
    <mergeCell ref="F227:G227"/>
    <mergeCell ref="I227:J227"/>
    <mergeCell ref="T227:U227"/>
    <mergeCell ref="X227:Y227"/>
    <mergeCell ref="X229:Y229"/>
    <mergeCell ref="B232:C232"/>
    <mergeCell ref="F232:G232"/>
    <mergeCell ref="I232:J232"/>
    <mergeCell ref="T232:U232"/>
    <mergeCell ref="B230:C230"/>
    <mergeCell ref="F230:G230"/>
    <mergeCell ref="I230:J230"/>
    <mergeCell ref="T230:U230"/>
    <mergeCell ref="X232:Y232"/>
    <mergeCell ref="B229:C229"/>
    <mergeCell ref="F229:G229"/>
    <mergeCell ref="I229:J229"/>
    <mergeCell ref="T229:U229"/>
    <mergeCell ref="X230:Y230"/>
    <mergeCell ref="B231:C231"/>
    <mergeCell ref="F231:G231"/>
    <mergeCell ref="I231:J231"/>
    <mergeCell ref="T231:U231"/>
    <mergeCell ref="X231:Y231"/>
    <mergeCell ref="X233:Y233"/>
    <mergeCell ref="B236:C236"/>
    <mergeCell ref="F236:G236"/>
    <mergeCell ref="I236:J236"/>
    <mergeCell ref="T236:U236"/>
    <mergeCell ref="B234:C234"/>
    <mergeCell ref="F234:G234"/>
    <mergeCell ref="I234:J234"/>
    <mergeCell ref="T234:U234"/>
    <mergeCell ref="X236:Y236"/>
    <mergeCell ref="B233:C233"/>
    <mergeCell ref="F233:G233"/>
    <mergeCell ref="I233:J233"/>
    <mergeCell ref="T233:U233"/>
    <mergeCell ref="X234:Y234"/>
    <mergeCell ref="B235:C235"/>
    <mergeCell ref="F235:G235"/>
    <mergeCell ref="I235:J235"/>
    <mergeCell ref="T235:U235"/>
    <mergeCell ref="X235:Y235"/>
    <mergeCell ref="X237:Y237"/>
    <mergeCell ref="B240:C240"/>
    <mergeCell ref="F240:G240"/>
    <mergeCell ref="I240:J240"/>
    <mergeCell ref="T240:U240"/>
    <mergeCell ref="B238:C238"/>
    <mergeCell ref="F238:G238"/>
    <mergeCell ref="I238:J238"/>
    <mergeCell ref="T238:U238"/>
    <mergeCell ref="X240:Y240"/>
    <mergeCell ref="B237:C237"/>
    <mergeCell ref="F237:G237"/>
    <mergeCell ref="I237:J237"/>
    <mergeCell ref="T237:U237"/>
    <mergeCell ref="X238:Y238"/>
    <mergeCell ref="B239:C239"/>
    <mergeCell ref="F239:G239"/>
    <mergeCell ref="I239:J239"/>
    <mergeCell ref="T239:U239"/>
    <mergeCell ref="X239:Y239"/>
    <mergeCell ref="X241:Y241"/>
    <mergeCell ref="B244:C244"/>
    <mergeCell ref="F244:G244"/>
    <mergeCell ref="I244:J244"/>
    <mergeCell ref="T244:U244"/>
    <mergeCell ref="B242:C242"/>
    <mergeCell ref="F242:G242"/>
    <mergeCell ref="I242:J242"/>
    <mergeCell ref="T242:U242"/>
    <mergeCell ref="X244:Y244"/>
    <mergeCell ref="B241:C241"/>
    <mergeCell ref="F241:G241"/>
    <mergeCell ref="I241:J241"/>
    <mergeCell ref="T241:U241"/>
    <mergeCell ref="X242:Y242"/>
    <mergeCell ref="B243:C243"/>
    <mergeCell ref="F243:G243"/>
    <mergeCell ref="I243:J243"/>
    <mergeCell ref="T243:U243"/>
    <mergeCell ref="X243:Y243"/>
    <mergeCell ref="X245:Y245"/>
    <mergeCell ref="B248:C248"/>
    <mergeCell ref="F248:G248"/>
    <mergeCell ref="I248:J248"/>
    <mergeCell ref="T248:U248"/>
    <mergeCell ref="B246:C246"/>
    <mergeCell ref="F246:G246"/>
    <mergeCell ref="I246:J246"/>
    <mergeCell ref="T246:U246"/>
    <mergeCell ref="X248:Y248"/>
    <mergeCell ref="B245:C245"/>
    <mergeCell ref="F245:G245"/>
    <mergeCell ref="I245:J245"/>
    <mergeCell ref="T245:U245"/>
    <mergeCell ref="X246:Y246"/>
    <mergeCell ref="B247:C247"/>
    <mergeCell ref="F247:G247"/>
    <mergeCell ref="I247:J247"/>
    <mergeCell ref="T247:U247"/>
    <mergeCell ref="X247:Y247"/>
    <mergeCell ref="X249:Y249"/>
    <mergeCell ref="B252:C252"/>
    <mergeCell ref="F252:G252"/>
    <mergeCell ref="I252:J252"/>
    <mergeCell ref="T252:U252"/>
    <mergeCell ref="B250:C250"/>
    <mergeCell ref="F250:G250"/>
    <mergeCell ref="I250:J250"/>
    <mergeCell ref="T250:U250"/>
    <mergeCell ref="X252:Y252"/>
    <mergeCell ref="B249:C249"/>
    <mergeCell ref="F249:G249"/>
    <mergeCell ref="I249:J249"/>
    <mergeCell ref="T249:U249"/>
    <mergeCell ref="X250:Y250"/>
    <mergeCell ref="B251:C251"/>
    <mergeCell ref="F251:G251"/>
    <mergeCell ref="I251:J251"/>
    <mergeCell ref="T251:U251"/>
    <mergeCell ref="X251:Y251"/>
    <mergeCell ref="X253:Y253"/>
    <mergeCell ref="B256:C256"/>
    <mergeCell ref="F256:G256"/>
    <mergeCell ref="I256:J256"/>
    <mergeCell ref="T256:U256"/>
    <mergeCell ref="B254:C254"/>
    <mergeCell ref="F254:G254"/>
    <mergeCell ref="I254:J254"/>
    <mergeCell ref="T254:U254"/>
    <mergeCell ref="X256:Y256"/>
    <mergeCell ref="B253:C253"/>
    <mergeCell ref="F253:G253"/>
    <mergeCell ref="I253:J253"/>
    <mergeCell ref="T253:U253"/>
    <mergeCell ref="X254:Y254"/>
    <mergeCell ref="B255:C255"/>
    <mergeCell ref="F255:G255"/>
    <mergeCell ref="I255:J255"/>
    <mergeCell ref="T255:U255"/>
    <mergeCell ref="X255:Y255"/>
    <mergeCell ref="X257:Y257"/>
    <mergeCell ref="B260:C260"/>
    <mergeCell ref="F260:G260"/>
    <mergeCell ref="I260:J260"/>
    <mergeCell ref="T260:U260"/>
    <mergeCell ref="B258:C258"/>
    <mergeCell ref="F258:G258"/>
    <mergeCell ref="I258:J258"/>
    <mergeCell ref="T258:U258"/>
    <mergeCell ref="X260:Y260"/>
    <mergeCell ref="B257:C257"/>
    <mergeCell ref="F257:G257"/>
    <mergeCell ref="I257:J257"/>
    <mergeCell ref="T257:U257"/>
    <mergeCell ref="X258:Y258"/>
    <mergeCell ref="B259:C259"/>
    <mergeCell ref="F259:G259"/>
    <mergeCell ref="I259:J259"/>
    <mergeCell ref="T259:U259"/>
    <mergeCell ref="X259:Y259"/>
    <mergeCell ref="X261:Y261"/>
    <mergeCell ref="B264:C264"/>
    <mergeCell ref="F264:G264"/>
    <mergeCell ref="I264:J264"/>
    <mergeCell ref="T264:U264"/>
    <mergeCell ref="B262:C262"/>
    <mergeCell ref="F262:G262"/>
    <mergeCell ref="I262:J262"/>
    <mergeCell ref="T262:U262"/>
    <mergeCell ref="X264:Y264"/>
    <mergeCell ref="B261:C261"/>
    <mergeCell ref="F261:G261"/>
    <mergeCell ref="I261:J261"/>
    <mergeCell ref="T261:U261"/>
    <mergeCell ref="X262:Y262"/>
    <mergeCell ref="B263:C263"/>
    <mergeCell ref="F263:G263"/>
    <mergeCell ref="I263:J263"/>
    <mergeCell ref="T263:U263"/>
    <mergeCell ref="X263:Y263"/>
    <mergeCell ref="X265:Y265"/>
    <mergeCell ref="B268:C268"/>
    <mergeCell ref="F268:G268"/>
    <mergeCell ref="I268:J268"/>
    <mergeCell ref="T268:U268"/>
    <mergeCell ref="B266:C266"/>
    <mergeCell ref="F266:G266"/>
    <mergeCell ref="I266:J266"/>
    <mergeCell ref="T266:U266"/>
    <mergeCell ref="X268:Y268"/>
    <mergeCell ref="B265:C265"/>
    <mergeCell ref="F265:G265"/>
    <mergeCell ref="I265:J265"/>
    <mergeCell ref="T265:U265"/>
    <mergeCell ref="X266:Y266"/>
    <mergeCell ref="B267:C267"/>
    <mergeCell ref="F267:G267"/>
    <mergeCell ref="I267:J267"/>
    <mergeCell ref="T267:U267"/>
    <mergeCell ref="X267:Y267"/>
    <mergeCell ref="X269:Y269"/>
    <mergeCell ref="B272:C272"/>
    <mergeCell ref="F272:G272"/>
    <mergeCell ref="I272:J272"/>
    <mergeCell ref="T272:U272"/>
    <mergeCell ref="B270:C270"/>
    <mergeCell ref="F270:G270"/>
    <mergeCell ref="I270:J270"/>
    <mergeCell ref="T270:U270"/>
    <mergeCell ref="X272:Y272"/>
    <mergeCell ref="B269:C269"/>
    <mergeCell ref="F269:G269"/>
    <mergeCell ref="I269:J269"/>
    <mergeCell ref="T269:U269"/>
    <mergeCell ref="X270:Y270"/>
    <mergeCell ref="B271:C271"/>
    <mergeCell ref="F271:G271"/>
    <mergeCell ref="I271:J271"/>
    <mergeCell ref="T271:U271"/>
    <mergeCell ref="X271:Y271"/>
    <mergeCell ref="X273:Y273"/>
    <mergeCell ref="B276:C276"/>
    <mergeCell ref="F276:G276"/>
    <mergeCell ref="I276:J276"/>
    <mergeCell ref="T276:U276"/>
    <mergeCell ref="B274:C274"/>
    <mergeCell ref="F274:G274"/>
    <mergeCell ref="I274:J274"/>
    <mergeCell ref="T274:U274"/>
    <mergeCell ref="X276:Y276"/>
    <mergeCell ref="B273:C273"/>
    <mergeCell ref="F273:G273"/>
    <mergeCell ref="I273:J273"/>
    <mergeCell ref="T273:U273"/>
    <mergeCell ref="X274:Y274"/>
    <mergeCell ref="B275:C275"/>
    <mergeCell ref="F275:G275"/>
    <mergeCell ref="I275:J275"/>
    <mergeCell ref="T275:U275"/>
    <mergeCell ref="X275:Y275"/>
    <mergeCell ref="X277:Y277"/>
    <mergeCell ref="B280:C280"/>
    <mergeCell ref="F280:G280"/>
    <mergeCell ref="I280:J280"/>
    <mergeCell ref="T280:U280"/>
    <mergeCell ref="B278:C278"/>
    <mergeCell ref="F278:G278"/>
    <mergeCell ref="I278:J278"/>
    <mergeCell ref="T278:U278"/>
    <mergeCell ref="X280:Y280"/>
    <mergeCell ref="B277:C277"/>
    <mergeCell ref="F277:G277"/>
    <mergeCell ref="I277:J277"/>
    <mergeCell ref="T277:U277"/>
    <mergeCell ref="X278:Y278"/>
    <mergeCell ref="B279:C279"/>
    <mergeCell ref="F279:G279"/>
    <mergeCell ref="I279:J279"/>
    <mergeCell ref="T279:U279"/>
    <mergeCell ref="X279:Y279"/>
    <mergeCell ref="X281:Y281"/>
    <mergeCell ref="B284:C284"/>
    <mergeCell ref="F284:G284"/>
    <mergeCell ref="I284:J284"/>
    <mergeCell ref="T284:U284"/>
    <mergeCell ref="B282:C282"/>
    <mergeCell ref="F282:G282"/>
    <mergeCell ref="I282:J282"/>
    <mergeCell ref="T282:U282"/>
    <mergeCell ref="X284:Y284"/>
    <mergeCell ref="B281:C281"/>
    <mergeCell ref="F281:G281"/>
    <mergeCell ref="I281:J281"/>
    <mergeCell ref="T281:U281"/>
    <mergeCell ref="X282:Y282"/>
    <mergeCell ref="B283:C283"/>
    <mergeCell ref="F283:G283"/>
    <mergeCell ref="I283:J283"/>
    <mergeCell ref="T283:U283"/>
    <mergeCell ref="X283:Y283"/>
    <mergeCell ref="X285:Y285"/>
    <mergeCell ref="B288:C288"/>
    <mergeCell ref="F288:G288"/>
    <mergeCell ref="I288:J288"/>
    <mergeCell ref="T288:U288"/>
    <mergeCell ref="B286:C286"/>
    <mergeCell ref="F286:G286"/>
    <mergeCell ref="I286:J286"/>
    <mergeCell ref="T286:U286"/>
    <mergeCell ref="X288:Y288"/>
    <mergeCell ref="B285:C285"/>
    <mergeCell ref="F285:G285"/>
    <mergeCell ref="I285:J285"/>
    <mergeCell ref="T285:U285"/>
    <mergeCell ref="X286:Y286"/>
    <mergeCell ref="B287:C287"/>
    <mergeCell ref="F287:G287"/>
    <mergeCell ref="I287:J287"/>
    <mergeCell ref="T287:U287"/>
    <mergeCell ref="X287:Y287"/>
    <mergeCell ref="X289:Y289"/>
    <mergeCell ref="B292:C292"/>
    <mergeCell ref="F292:G292"/>
    <mergeCell ref="I292:J292"/>
    <mergeCell ref="T292:U292"/>
    <mergeCell ref="B290:C290"/>
    <mergeCell ref="F290:G290"/>
    <mergeCell ref="I290:J290"/>
    <mergeCell ref="T290:U290"/>
    <mergeCell ref="X292:Y292"/>
    <mergeCell ref="B289:C289"/>
    <mergeCell ref="F289:G289"/>
    <mergeCell ref="I289:J289"/>
    <mergeCell ref="T289:U289"/>
    <mergeCell ref="X290:Y290"/>
    <mergeCell ref="B291:C291"/>
    <mergeCell ref="F291:G291"/>
    <mergeCell ref="I291:J291"/>
    <mergeCell ref="T291:U291"/>
    <mergeCell ref="X291:Y291"/>
    <mergeCell ref="X293:Y293"/>
    <mergeCell ref="B296:C296"/>
    <mergeCell ref="F296:G296"/>
    <mergeCell ref="I296:J296"/>
    <mergeCell ref="T296:U296"/>
    <mergeCell ref="B294:C294"/>
    <mergeCell ref="F294:G294"/>
    <mergeCell ref="I294:J294"/>
    <mergeCell ref="T294:U294"/>
    <mergeCell ref="X296:Y296"/>
    <mergeCell ref="B293:C293"/>
    <mergeCell ref="F293:G293"/>
    <mergeCell ref="I293:J293"/>
    <mergeCell ref="T293:U293"/>
    <mergeCell ref="X294:Y294"/>
    <mergeCell ref="B295:C295"/>
    <mergeCell ref="F295:G295"/>
    <mergeCell ref="I295:J295"/>
    <mergeCell ref="T295:U295"/>
    <mergeCell ref="X295:Y295"/>
    <mergeCell ref="X297:Y297"/>
    <mergeCell ref="B300:C300"/>
    <mergeCell ref="F300:G300"/>
    <mergeCell ref="I300:J300"/>
    <mergeCell ref="T300:U300"/>
    <mergeCell ref="B298:C298"/>
    <mergeCell ref="F298:G298"/>
    <mergeCell ref="I298:J298"/>
    <mergeCell ref="T298:U298"/>
    <mergeCell ref="X300:Y300"/>
    <mergeCell ref="B297:C297"/>
    <mergeCell ref="F297:G297"/>
    <mergeCell ref="I297:J297"/>
    <mergeCell ref="T297:U297"/>
    <mergeCell ref="X298:Y298"/>
    <mergeCell ref="B299:C299"/>
    <mergeCell ref="F299:G299"/>
    <mergeCell ref="I299:J299"/>
    <mergeCell ref="T299:U299"/>
    <mergeCell ref="X299:Y299"/>
    <mergeCell ref="X301:Y301"/>
    <mergeCell ref="B304:C304"/>
    <mergeCell ref="F304:G304"/>
    <mergeCell ref="I304:J304"/>
    <mergeCell ref="T304:U304"/>
    <mergeCell ref="B302:C302"/>
    <mergeCell ref="F302:G302"/>
    <mergeCell ref="I302:J302"/>
    <mergeCell ref="T302:U302"/>
    <mergeCell ref="X304:Y304"/>
    <mergeCell ref="B301:C301"/>
    <mergeCell ref="F301:G301"/>
    <mergeCell ref="I301:J301"/>
    <mergeCell ref="T301:U301"/>
    <mergeCell ref="X302:Y302"/>
    <mergeCell ref="B303:C303"/>
    <mergeCell ref="F303:G303"/>
    <mergeCell ref="I303:J303"/>
    <mergeCell ref="T303:U303"/>
    <mergeCell ref="X303:Y303"/>
    <mergeCell ref="X305:Y305"/>
    <mergeCell ref="B308:C308"/>
    <mergeCell ref="F308:G308"/>
    <mergeCell ref="I308:J308"/>
    <mergeCell ref="T308:U308"/>
    <mergeCell ref="B306:C306"/>
    <mergeCell ref="F306:G306"/>
    <mergeCell ref="I306:J306"/>
    <mergeCell ref="T306:U306"/>
    <mergeCell ref="X308:Y308"/>
    <mergeCell ref="B305:C305"/>
    <mergeCell ref="F305:G305"/>
    <mergeCell ref="I305:J305"/>
    <mergeCell ref="T305:U305"/>
    <mergeCell ref="X306:Y306"/>
    <mergeCell ref="B307:C307"/>
    <mergeCell ref="F307:G307"/>
    <mergeCell ref="I307:J307"/>
    <mergeCell ref="T307:U307"/>
    <mergeCell ref="X307:Y307"/>
    <mergeCell ref="X309:Y309"/>
    <mergeCell ref="B312:C312"/>
    <mergeCell ref="F312:G312"/>
    <mergeCell ref="I312:J312"/>
    <mergeCell ref="T312:U312"/>
    <mergeCell ref="B310:C310"/>
    <mergeCell ref="F310:G310"/>
    <mergeCell ref="I310:J310"/>
    <mergeCell ref="T310:U310"/>
    <mergeCell ref="X312:Y312"/>
    <mergeCell ref="B309:C309"/>
    <mergeCell ref="F309:G309"/>
    <mergeCell ref="I309:J309"/>
    <mergeCell ref="T309:U309"/>
    <mergeCell ref="X310:Y310"/>
    <mergeCell ref="B311:C311"/>
    <mergeCell ref="F311:G311"/>
    <mergeCell ref="I311:J311"/>
    <mergeCell ref="T311:U311"/>
    <mergeCell ref="X311:Y311"/>
    <mergeCell ref="X313:Y313"/>
    <mergeCell ref="B316:C316"/>
    <mergeCell ref="F316:G316"/>
    <mergeCell ref="I316:J316"/>
    <mergeCell ref="T316:U316"/>
    <mergeCell ref="B314:C314"/>
    <mergeCell ref="F314:G314"/>
    <mergeCell ref="I314:J314"/>
    <mergeCell ref="T314:U314"/>
    <mergeCell ref="X316:Y316"/>
    <mergeCell ref="B313:C313"/>
    <mergeCell ref="F313:G313"/>
    <mergeCell ref="I313:J313"/>
    <mergeCell ref="T313:U313"/>
    <mergeCell ref="X314:Y314"/>
    <mergeCell ref="B315:C315"/>
    <mergeCell ref="F315:G315"/>
    <mergeCell ref="I315:J315"/>
    <mergeCell ref="T315:U315"/>
    <mergeCell ref="X315:Y315"/>
    <mergeCell ref="X317:Y317"/>
    <mergeCell ref="B320:C320"/>
    <mergeCell ref="F320:G320"/>
    <mergeCell ref="I320:J320"/>
    <mergeCell ref="T320:U320"/>
    <mergeCell ref="B318:C318"/>
    <mergeCell ref="F318:G318"/>
    <mergeCell ref="I318:J318"/>
    <mergeCell ref="T318:U318"/>
    <mergeCell ref="X320:Y320"/>
    <mergeCell ref="B317:C317"/>
    <mergeCell ref="F317:G317"/>
    <mergeCell ref="I317:J317"/>
    <mergeCell ref="T317:U317"/>
    <mergeCell ref="X318:Y318"/>
    <mergeCell ref="B319:C319"/>
    <mergeCell ref="F319:G319"/>
    <mergeCell ref="I319:J319"/>
    <mergeCell ref="T319:U319"/>
    <mergeCell ref="X319:Y319"/>
    <mergeCell ref="X321:Y321"/>
    <mergeCell ref="B324:C324"/>
    <mergeCell ref="F324:G324"/>
    <mergeCell ref="I324:J324"/>
    <mergeCell ref="T324:U324"/>
    <mergeCell ref="B322:C322"/>
    <mergeCell ref="F322:G322"/>
    <mergeCell ref="I322:J322"/>
    <mergeCell ref="T322:U322"/>
    <mergeCell ref="X324:Y324"/>
    <mergeCell ref="B321:C321"/>
    <mergeCell ref="F321:G321"/>
    <mergeCell ref="I321:J321"/>
    <mergeCell ref="T321:U321"/>
    <mergeCell ref="X322:Y322"/>
    <mergeCell ref="B323:C323"/>
    <mergeCell ref="F323:G323"/>
    <mergeCell ref="I323:J323"/>
    <mergeCell ref="T323:U323"/>
    <mergeCell ref="X323:Y323"/>
    <mergeCell ref="X325:Y325"/>
    <mergeCell ref="B328:C328"/>
    <mergeCell ref="F328:G328"/>
    <mergeCell ref="I328:J328"/>
    <mergeCell ref="T328:U328"/>
    <mergeCell ref="B326:C326"/>
    <mergeCell ref="F326:G326"/>
    <mergeCell ref="I326:J326"/>
    <mergeCell ref="T326:U326"/>
    <mergeCell ref="X328:Y328"/>
    <mergeCell ref="B325:C325"/>
    <mergeCell ref="F325:G325"/>
    <mergeCell ref="I325:J325"/>
    <mergeCell ref="T325:U325"/>
    <mergeCell ref="X326:Y326"/>
    <mergeCell ref="B327:C327"/>
    <mergeCell ref="F327:G327"/>
    <mergeCell ref="I327:J327"/>
    <mergeCell ref="T327:U327"/>
    <mergeCell ref="X327:Y327"/>
    <mergeCell ref="X329:Y329"/>
    <mergeCell ref="B332:C332"/>
    <mergeCell ref="F332:G332"/>
    <mergeCell ref="I332:J332"/>
    <mergeCell ref="T332:U332"/>
    <mergeCell ref="B330:C330"/>
    <mergeCell ref="F330:G330"/>
    <mergeCell ref="I330:J330"/>
    <mergeCell ref="T330:U330"/>
    <mergeCell ref="X332:Y332"/>
    <mergeCell ref="B329:C329"/>
    <mergeCell ref="F329:G329"/>
    <mergeCell ref="I329:J329"/>
    <mergeCell ref="T329:U329"/>
    <mergeCell ref="X330:Y330"/>
    <mergeCell ref="B331:C331"/>
    <mergeCell ref="F331:G331"/>
    <mergeCell ref="I331:J331"/>
    <mergeCell ref="T331:U331"/>
    <mergeCell ref="X331:Y331"/>
    <mergeCell ref="X333:Y333"/>
    <mergeCell ref="B336:C336"/>
    <mergeCell ref="F336:G336"/>
    <mergeCell ref="I336:J336"/>
    <mergeCell ref="T336:U336"/>
    <mergeCell ref="B334:C334"/>
    <mergeCell ref="F334:G334"/>
    <mergeCell ref="I334:J334"/>
    <mergeCell ref="T334:U334"/>
    <mergeCell ref="X336:Y336"/>
    <mergeCell ref="B333:C333"/>
    <mergeCell ref="F333:G333"/>
    <mergeCell ref="I333:J333"/>
    <mergeCell ref="T333:U333"/>
    <mergeCell ref="X334:Y334"/>
    <mergeCell ref="B335:C335"/>
    <mergeCell ref="F335:G335"/>
    <mergeCell ref="I335:J335"/>
    <mergeCell ref="T335:U335"/>
    <mergeCell ref="X335:Y335"/>
    <mergeCell ref="X337:Y337"/>
    <mergeCell ref="B340:C340"/>
    <mergeCell ref="F340:G340"/>
    <mergeCell ref="I340:J340"/>
    <mergeCell ref="T340:U340"/>
    <mergeCell ref="B338:C338"/>
    <mergeCell ref="F338:G338"/>
    <mergeCell ref="I338:J338"/>
    <mergeCell ref="T338:U338"/>
    <mergeCell ref="X340:Y340"/>
    <mergeCell ref="B337:C337"/>
    <mergeCell ref="F337:G337"/>
    <mergeCell ref="I337:J337"/>
    <mergeCell ref="T337:U337"/>
    <mergeCell ref="X338:Y338"/>
    <mergeCell ref="B339:C339"/>
    <mergeCell ref="F339:G339"/>
    <mergeCell ref="I339:J339"/>
    <mergeCell ref="T339:U339"/>
    <mergeCell ref="X339:Y339"/>
    <mergeCell ref="X341:Y341"/>
    <mergeCell ref="B344:C344"/>
    <mergeCell ref="F344:G344"/>
    <mergeCell ref="I344:J344"/>
    <mergeCell ref="T344:U344"/>
    <mergeCell ref="B342:C342"/>
    <mergeCell ref="F342:G342"/>
    <mergeCell ref="I342:J342"/>
    <mergeCell ref="T342:U342"/>
    <mergeCell ref="X344:Y344"/>
    <mergeCell ref="B341:C341"/>
    <mergeCell ref="F341:G341"/>
    <mergeCell ref="I341:J341"/>
    <mergeCell ref="T341:U341"/>
    <mergeCell ref="X342:Y342"/>
    <mergeCell ref="B343:C343"/>
    <mergeCell ref="F343:G343"/>
    <mergeCell ref="I343:J343"/>
    <mergeCell ref="T343:U343"/>
    <mergeCell ref="X343:Y343"/>
    <mergeCell ref="X345:Y345"/>
    <mergeCell ref="B348:C348"/>
    <mergeCell ref="F348:G348"/>
    <mergeCell ref="I348:J348"/>
    <mergeCell ref="T348:U348"/>
    <mergeCell ref="B346:C346"/>
    <mergeCell ref="F346:G346"/>
    <mergeCell ref="I346:J346"/>
    <mergeCell ref="T346:U346"/>
    <mergeCell ref="X348:Y348"/>
    <mergeCell ref="B345:C345"/>
    <mergeCell ref="F345:G345"/>
    <mergeCell ref="I345:J345"/>
    <mergeCell ref="T345:U345"/>
    <mergeCell ref="X346:Y346"/>
    <mergeCell ref="B347:C347"/>
    <mergeCell ref="F347:G347"/>
    <mergeCell ref="I347:J347"/>
    <mergeCell ref="T347:U347"/>
    <mergeCell ref="X347:Y347"/>
    <mergeCell ref="X349:Y349"/>
    <mergeCell ref="B352:C352"/>
    <mergeCell ref="F352:G352"/>
    <mergeCell ref="I352:J352"/>
    <mergeCell ref="T352:U352"/>
    <mergeCell ref="B350:C350"/>
    <mergeCell ref="F350:G350"/>
    <mergeCell ref="I350:J350"/>
    <mergeCell ref="T350:U350"/>
    <mergeCell ref="X352:Y352"/>
    <mergeCell ref="B349:C349"/>
    <mergeCell ref="F349:G349"/>
    <mergeCell ref="I349:J349"/>
    <mergeCell ref="T349:U349"/>
    <mergeCell ref="X350:Y350"/>
    <mergeCell ref="B351:C351"/>
    <mergeCell ref="F351:G351"/>
    <mergeCell ref="I351:J351"/>
    <mergeCell ref="T351:U351"/>
    <mergeCell ref="X351:Y351"/>
    <mergeCell ref="X353:Y353"/>
    <mergeCell ref="B356:C356"/>
    <mergeCell ref="F356:G356"/>
    <mergeCell ref="I356:J356"/>
    <mergeCell ref="T356:U356"/>
    <mergeCell ref="B354:C354"/>
    <mergeCell ref="F354:G354"/>
    <mergeCell ref="I354:J354"/>
    <mergeCell ref="T354:U354"/>
    <mergeCell ref="X356:Y356"/>
    <mergeCell ref="B353:C353"/>
    <mergeCell ref="F353:G353"/>
    <mergeCell ref="I353:J353"/>
    <mergeCell ref="T353:U353"/>
    <mergeCell ref="X354:Y354"/>
    <mergeCell ref="B355:C355"/>
    <mergeCell ref="F355:G355"/>
    <mergeCell ref="I355:J355"/>
    <mergeCell ref="T355:U355"/>
    <mergeCell ref="X355:Y355"/>
    <mergeCell ref="X357:Y357"/>
    <mergeCell ref="B360:C360"/>
    <mergeCell ref="F360:G360"/>
    <mergeCell ref="I360:J360"/>
    <mergeCell ref="T360:U360"/>
    <mergeCell ref="B358:C358"/>
    <mergeCell ref="F358:G358"/>
    <mergeCell ref="I358:J358"/>
    <mergeCell ref="T358:U358"/>
    <mergeCell ref="X360:Y360"/>
    <mergeCell ref="B357:C357"/>
    <mergeCell ref="F357:G357"/>
    <mergeCell ref="I357:J357"/>
    <mergeCell ref="T357:U357"/>
    <mergeCell ref="X358:Y358"/>
    <mergeCell ref="B359:C359"/>
    <mergeCell ref="F359:G359"/>
    <mergeCell ref="I359:J359"/>
    <mergeCell ref="T359:U359"/>
    <mergeCell ref="X359:Y359"/>
    <mergeCell ref="X361:Y361"/>
    <mergeCell ref="B364:C364"/>
    <mergeCell ref="F364:G364"/>
    <mergeCell ref="I364:J364"/>
    <mergeCell ref="T364:U364"/>
    <mergeCell ref="B362:C362"/>
    <mergeCell ref="F362:G362"/>
    <mergeCell ref="I362:J362"/>
    <mergeCell ref="T362:U362"/>
    <mergeCell ref="X364:Y364"/>
    <mergeCell ref="B361:C361"/>
    <mergeCell ref="F361:G361"/>
    <mergeCell ref="I361:J361"/>
    <mergeCell ref="T361:U361"/>
    <mergeCell ref="X362:Y362"/>
    <mergeCell ref="B363:C363"/>
    <mergeCell ref="F363:G363"/>
    <mergeCell ref="I363:J363"/>
    <mergeCell ref="T363:U363"/>
    <mergeCell ref="X363:Y363"/>
    <mergeCell ref="X365:Y365"/>
    <mergeCell ref="B368:C368"/>
    <mergeCell ref="F368:G368"/>
    <mergeCell ref="I368:J368"/>
    <mergeCell ref="T368:U368"/>
    <mergeCell ref="B366:C366"/>
    <mergeCell ref="F366:G366"/>
    <mergeCell ref="I366:J366"/>
    <mergeCell ref="T366:U366"/>
    <mergeCell ref="X368:Y368"/>
    <mergeCell ref="B365:C365"/>
    <mergeCell ref="F365:G365"/>
    <mergeCell ref="I365:J365"/>
    <mergeCell ref="T365:U365"/>
    <mergeCell ref="X366:Y366"/>
    <mergeCell ref="B367:C367"/>
    <mergeCell ref="F367:G367"/>
    <mergeCell ref="I367:J367"/>
    <mergeCell ref="T367:U367"/>
    <mergeCell ref="X367:Y367"/>
    <mergeCell ref="X369:Y369"/>
    <mergeCell ref="B372:C372"/>
    <mergeCell ref="F372:G372"/>
    <mergeCell ref="I372:J372"/>
    <mergeCell ref="T372:U372"/>
    <mergeCell ref="B370:C370"/>
    <mergeCell ref="F370:G370"/>
    <mergeCell ref="I370:J370"/>
    <mergeCell ref="T370:U370"/>
    <mergeCell ref="X372:Y372"/>
    <mergeCell ref="B369:C369"/>
    <mergeCell ref="F369:G369"/>
    <mergeCell ref="I369:J369"/>
    <mergeCell ref="T369:U369"/>
    <mergeCell ref="X370:Y370"/>
    <mergeCell ref="B371:C371"/>
    <mergeCell ref="F371:G371"/>
    <mergeCell ref="I371:J371"/>
    <mergeCell ref="T371:U371"/>
    <mergeCell ref="X371:Y371"/>
    <mergeCell ref="X373:Y373"/>
    <mergeCell ref="B376:C376"/>
    <mergeCell ref="F376:G376"/>
    <mergeCell ref="I376:J376"/>
    <mergeCell ref="T376:U376"/>
    <mergeCell ref="B374:C374"/>
    <mergeCell ref="F374:G374"/>
    <mergeCell ref="I374:J374"/>
    <mergeCell ref="T374:U374"/>
    <mergeCell ref="X376:Y376"/>
    <mergeCell ref="B373:C373"/>
    <mergeCell ref="F373:G373"/>
    <mergeCell ref="I373:J373"/>
    <mergeCell ref="T373:U373"/>
    <mergeCell ref="X374:Y374"/>
    <mergeCell ref="B375:C375"/>
    <mergeCell ref="F375:G375"/>
    <mergeCell ref="I375:J375"/>
    <mergeCell ref="T375:U375"/>
    <mergeCell ref="X375:Y375"/>
    <mergeCell ref="X377:Y377"/>
    <mergeCell ref="B380:C380"/>
    <mergeCell ref="F380:G380"/>
    <mergeCell ref="I380:J380"/>
    <mergeCell ref="T380:U380"/>
    <mergeCell ref="B378:C378"/>
    <mergeCell ref="F378:G378"/>
    <mergeCell ref="I378:J378"/>
    <mergeCell ref="T378:U378"/>
    <mergeCell ref="X380:Y380"/>
    <mergeCell ref="B377:C377"/>
    <mergeCell ref="F377:G377"/>
    <mergeCell ref="I377:J377"/>
    <mergeCell ref="T377:U377"/>
    <mergeCell ref="X378:Y378"/>
    <mergeCell ref="B379:C379"/>
    <mergeCell ref="F379:G379"/>
    <mergeCell ref="I379:J379"/>
    <mergeCell ref="T379:U379"/>
    <mergeCell ref="X379:Y379"/>
    <mergeCell ref="X381:Y381"/>
    <mergeCell ref="B384:C384"/>
    <mergeCell ref="F384:G384"/>
    <mergeCell ref="I384:J384"/>
    <mergeCell ref="T384:U384"/>
    <mergeCell ref="B382:C382"/>
    <mergeCell ref="F382:G382"/>
    <mergeCell ref="I382:J382"/>
    <mergeCell ref="T382:U382"/>
    <mergeCell ref="X384:Y384"/>
    <mergeCell ref="B381:C381"/>
    <mergeCell ref="F381:G381"/>
    <mergeCell ref="I381:J381"/>
    <mergeCell ref="T381:U381"/>
    <mergeCell ref="X382:Y382"/>
    <mergeCell ref="B383:C383"/>
    <mergeCell ref="F383:G383"/>
    <mergeCell ref="I383:J383"/>
    <mergeCell ref="T383:U383"/>
    <mergeCell ref="X383:Y383"/>
    <mergeCell ref="X385:Y385"/>
    <mergeCell ref="B388:C388"/>
    <mergeCell ref="F388:G388"/>
    <mergeCell ref="I388:J388"/>
    <mergeCell ref="T388:U388"/>
    <mergeCell ref="B386:C386"/>
    <mergeCell ref="F386:G386"/>
    <mergeCell ref="I386:J386"/>
    <mergeCell ref="T386:U386"/>
    <mergeCell ref="X388:Y388"/>
    <mergeCell ref="B385:C385"/>
    <mergeCell ref="F385:G385"/>
    <mergeCell ref="I385:J385"/>
    <mergeCell ref="T385:U385"/>
    <mergeCell ref="X386:Y386"/>
    <mergeCell ref="B387:C387"/>
    <mergeCell ref="F387:G387"/>
    <mergeCell ref="I387:J387"/>
    <mergeCell ref="T387:U387"/>
    <mergeCell ref="X387:Y387"/>
    <mergeCell ref="X389:Y389"/>
    <mergeCell ref="B392:C392"/>
    <mergeCell ref="F392:G392"/>
    <mergeCell ref="I392:J392"/>
    <mergeCell ref="T392:U392"/>
    <mergeCell ref="B390:C390"/>
    <mergeCell ref="F390:G390"/>
    <mergeCell ref="I390:J390"/>
    <mergeCell ref="T390:U390"/>
    <mergeCell ref="X392:Y392"/>
    <mergeCell ref="B389:C389"/>
    <mergeCell ref="F389:G389"/>
    <mergeCell ref="I389:J389"/>
    <mergeCell ref="T389:U389"/>
    <mergeCell ref="X390:Y390"/>
    <mergeCell ref="B391:C391"/>
    <mergeCell ref="F391:G391"/>
    <mergeCell ref="I391:J391"/>
    <mergeCell ref="T391:U391"/>
    <mergeCell ref="X391:Y391"/>
    <mergeCell ref="X393:Y393"/>
    <mergeCell ref="B396:C396"/>
    <mergeCell ref="F396:G396"/>
    <mergeCell ref="I396:J396"/>
    <mergeCell ref="T396:U396"/>
    <mergeCell ref="B394:C394"/>
    <mergeCell ref="F394:G394"/>
    <mergeCell ref="I394:J394"/>
    <mergeCell ref="T394:U394"/>
    <mergeCell ref="X396:Y396"/>
    <mergeCell ref="B393:C393"/>
    <mergeCell ref="F393:G393"/>
    <mergeCell ref="I393:J393"/>
    <mergeCell ref="T393:U393"/>
    <mergeCell ref="X394:Y394"/>
    <mergeCell ref="B395:C395"/>
    <mergeCell ref="F395:G395"/>
    <mergeCell ref="I395:J395"/>
    <mergeCell ref="T395:U395"/>
    <mergeCell ref="X395:Y395"/>
    <mergeCell ref="X397:Y397"/>
    <mergeCell ref="B400:C400"/>
    <mergeCell ref="F400:G400"/>
    <mergeCell ref="I400:J400"/>
    <mergeCell ref="T400:U400"/>
    <mergeCell ref="B398:C398"/>
    <mergeCell ref="F398:G398"/>
    <mergeCell ref="I398:J398"/>
    <mergeCell ref="T398:U398"/>
    <mergeCell ref="X400:Y400"/>
    <mergeCell ref="B397:C397"/>
    <mergeCell ref="F397:G397"/>
    <mergeCell ref="I397:J397"/>
    <mergeCell ref="T397:U397"/>
    <mergeCell ref="X398:Y398"/>
    <mergeCell ref="B399:C399"/>
    <mergeCell ref="F399:G399"/>
    <mergeCell ref="I399:J399"/>
    <mergeCell ref="T399:U399"/>
    <mergeCell ref="X399:Y399"/>
    <mergeCell ref="X401:Y401"/>
    <mergeCell ref="B404:C404"/>
    <mergeCell ref="F404:G404"/>
    <mergeCell ref="I404:J404"/>
    <mergeCell ref="T404:U404"/>
    <mergeCell ref="B402:C402"/>
    <mergeCell ref="F402:G402"/>
    <mergeCell ref="I402:J402"/>
    <mergeCell ref="T402:U402"/>
    <mergeCell ref="X404:Y404"/>
    <mergeCell ref="B401:C401"/>
    <mergeCell ref="F401:G401"/>
    <mergeCell ref="I401:J401"/>
    <mergeCell ref="T401:U401"/>
    <mergeCell ref="X402:Y402"/>
    <mergeCell ref="B403:C403"/>
    <mergeCell ref="F403:G403"/>
    <mergeCell ref="I403:J403"/>
    <mergeCell ref="T403:U403"/>
    <mergeCell ref="X403:Y403"/>
    <mergeCell ref="X405:Y405"/>
    <mergeCell ref="B408:C408"/>
    <mergeCell ref="F408:G408"/>
    <mergeCell ref="I408:J408"/>
    <mergeCell ref="T408:U408"/>
    <mergeCell ref="B406:C406"/>
    <mergeCell ref="F406:G406"/>
    <mergeCell ref="I406:J406"/>
    <mergeCell ref="T406:U406"/>
    <mergeCell ref="X408:Y408"/>
    <mergeCell ref="B405:C405"/>
    <mergeCell ref="F405:G405"/>
    <mergeCell ref="I405:J405"/>
    <mergeCell ref="T405:U405"/>
    <mergeCell ref="X406:Y406"/>
    <mergeCell ref="B407:C407"/>
    <mergeCell ref="F407:G407"/>
    <mergeCell ref="I407:J407"/>
    <mergeCell ref="T407:U407"/>
    <mergeCell ref="X407:Y407"/>
    <mergeCell ref="X409:Y409"/>
    <mergeCell ref="B412:C412"/>
    <mergeCell ref="F412:G412"/>
    <mergeCell ref="I412:J412"/>
    <mergeCell ref="T412:U412"/>
    <mergeCell ref="B410:C410"/>
    <mergeCell ref="F410:G410"/>
    <mergeCell ref="I410:J410"/>
    <mergeCell ref="T410:U410"/>
    <mergeCell ref="X412:Y412"/>
    <mergeCell ref="B409:C409"/>
    <mergeCell ref="F409:G409"/>
    <mergeCell ref="I409:J409"/>
    <mergeCell ref="T409:U409"/>
    <mergeCell ref="X410:Y410"/>
    <mergeCell ref="B411:C411"/>
    <mergeCell ref="F411:G411"/>
    <mergeCell ref="I411:J411"/>
    <mergeCell ref="T411:U411"/>
    <mergeCell ref="X411:Y411"/>
    <mergeCell ref="X413:Y413"/>
    <mergeCell ref="B416:C416"/>
    <mergeCell ref="F416:G416"/>
    <mergeCell ref="I416:J416"/>
    <mergeCell ref="T416:U416"/>
    <mergeCell ref="B414:C414"/>
    <mergeCell ref="F414:G414"/>
    <mergeCell ref="I414:J414"/>
    <mergeCell ref="T414:U414"/>
    <mergeCell ref="X416:Y416"/>
    <mergeCell ref="B413:C413"/>
    <mergeCell ref="F413:G413"/>
    <mergeCell ref="I413:J413"/>
    <mergeCell ref="T413:U413"/>
    <mergeCell ref="X414:Y414"/>
    <mergeCell ref="B415:C415"/>
    <mergeCell ref="F415:G415"/>
    <mergeCell ref="I415:J415"/>
    <mergeCell ref="T415:U415"/>
    <mergeCell ref="X415:Y415"/>
    <mergeCell ref="X417:Y417"/>
    <mergeCell ref="B420:C420"/>
    <mergeCell ref="F420:G420"/>
    <mergeCell ref="I420:J420"/>
    <mergeCell ref="T420:U420"/>
    <mergeCell ref="B418:C418"/>
    <mergeCell ref="F418:G418"/>
    <mergeCell ref="I418:J418"/>
    <mergeCell ref="T418:U418"/>
    <mergeCell ref="X420:Y420"/>
    <mergeCell ref="B417:C417"/>
    <mergeCell ref="F417:G417"/>
    <mergeCell ref="I417:J417"/>
    <mergeCell ref="T417:U417"/>
    <mergeCell ref="X418:Y418"/>
    <mergeCell ref="B419:C419"/>
    <mergeCell ref="F419:G419"/>
    <mergeCell ref="I419:J419"/>
    <mergeCell ref="T419:U419"/>
    <mergeCell ref="X419:Y419"/>
    <mergeCell ref="X421:Y421"/>
    <mergeCell ref="B424:C424"/>
    <mergeCell ref="F424:G424"/>
    <mergeCell ref="I424:J424"/>
    <mergeCell ref="T424:U424"/>
    <mergeCell ref="B422:C422"/>
    <mergeCell ref="F422:G422"/>
    <mergeCell ref="I422:J422"/>
    <mergeCell ref="T422:U422"/>
    <mergeCell ref="X424:Y424"/>
    <mergeCell ref="B421:C421"/>
    <mergeCell ref="F421:G421"/>
    <mergeCell ref="I421:J421"/>
    <mergeCell ref="T421:U421"/>
    <mergeCell ref="X422:Y422"/>
    <mergeCell ref="B423:C423"/>
    <mergeCell ref="F423:G423"/>
    <mergeCell ref="I423:J423"/>
    <mergeCell ref="T423:U423"/>
    <mergeCell ref="X423:Y423"/>
    <mergeCell ref="X425:Y425"/>
    <mergeCell ref="B428:C428"/>
    <mergeCell ref="F428:G428"/>
    <mergeCell ref="I428:J428"/>
    <mergeCell ref="T428:U428"/>
    <mergeCell ref="B426:C426"/>
    <mergeCell ref="F426:G426"/>
    <mergeCell ref="I426:J426"/>
    <mergeCell ref="T426:U426"/>
    <mergeCell ref="X428:Y428"/>
    <mergeCell ref="B425:C425"/>
    <mergeCell ref="F425:G425"/>
    <mergeCell ref="I425:J425"/>
    <mergeCell ref="T425:U425"/>
    <mergeCell ref="X426:Y426"/>
    <mergeCell ref="B427:C427"/>
    <mergeCell ref="F427:G427"/>
    <mergeCell ref="I427:J427"/>
    <mergeCell ref="T427:U427"/>
    <mergeCell ref="X427:Y427"/>
    <mergeCell ref="X429:Y429"/>
    <mergeCell ref="B432:C432"/>
    <mergeCell ref="F432:G432"/>
    <mergeCell ref="I432:J432"/>
    <mergeCell ref="T432:U432"/>
    <mergeCell ref="B430:C430"/>
    <mergeCell ref="F430:G430"/>
    <mergeCell ref="I430:J430"/>
    <mergeCell ref="T430:U430"/>
    <mergeCell ref="X432:Y432"/>
    <mergeCell ref="B429:C429"/>
    <mergeCell ref="F429:G429"/>
    <mergeCell ref="I429:J429"/>
    <mergeCell ref="T429:U429"/>
    <mergeCell ref="X430:Y430"/>
    <mergeCell ref="B431:C431"/>
    <mergeCell ref="F431:G431"/>
    <mergeCell ref="I431:J431"/>
    <mergeCell ref="T431:U431"/>
    <mergeCell ref="X431:Y431"/>
    <mergeCell ref="X433:Y433"/>
    <mergeCell ref="B436:C436"/>
    <mergeCell ref="F436:G436"/>
    <mergeCell ref="I436:J436"/>
    <mergeCell ref="T436:U436"/>
    <mergeCell ref="B434:C434"/>
    <mergeCell ref="F434:G434"/>
    <mergeCell ref="I434:J434"/>
    <mergeCell ref="T434:U434"/>
    <mergeCell ref="X436:Y436"/>
    <mergeCell ref="B433:C433"/>
    <mergeCell ref="F433:G433"/>
    <mergeCell ref="I433:J433"/>
    <mergeCell ref="T433:U433"/>
    <mergeCell ref="X434:Y434"/>
    <mergeCell ref="B435:C435"/>
    <mergeCell ref="F435:G435"/>
    <mergeCell ref="I435:J435"/>
    <mergeCell ref="T435:U435"/>
    <mergeCell ref="X435:Y435"/>
    <mergeCell ref="X437:Y437"/>
    <mergeCell ref="B440:C440"/>
    <mergeCell ref="F440:G440"/>
    <mergeCell ref="I440:J440"/>
    <mergeCell ref="T440:U440"/>
    <mergeCell ref="B438:C438"/>
    <mergeCell ref="F438:G438"/>
    <mergeCell ref="I438:J438"/>
    <mergeCell ref="T438:U438"/>
    <mergeCell ref="X440:Y440"/>
    <mergeCell ref="B437:C437"/>
    <mergeCell ref="F437:G437"/>
    <mergeCell ref="I437:J437"/>
    <mergeCell ref="T437:U437"/>
    <mergeCell ref="X438:Y438"/>
    <mergeCell ref="B439:C439"/>
    <mergeCell ref="F439:G439"/>
    <mergeCell ref="I439:J439"/>
    <mergeCell ref="T439:U439"/>
    <mergeCell ref="X439:Y439"/>
    <mergeCell ref="X441:Y441"/>
    <mergeCell ref="B444:C444"/>
    <mergeCell ref="F444:G444"/>
    <mergeCell ref="I444:J444"/>
    <mergeCell ref="T444:U444"/>
    <mergeCell ref="B442:C442"/>
    <mergeCell ref="F442:G442"/>
    <mergeCell ref="I442:J442"/>
    <mergeCell ref="T442:U442"/>
    <mergeCell ref="X444:Y444"/>
    <mergeCell ref="B441:C441"/>
    <mergeCell ref="F441:G441"/>
    <mergeCell ref="I441:J441"/>
    <mergeCell ref="T441:U441"/>
    <mergeCell ref="X442:Y442"/>
    <mergeCell ref="B443:C443"/>
    <mergeCell ref="F443:G443"/>
    <mergeCell ref="I443:J443"/>
    <mergeCell ref="T443:U443"/>
    <mergeCell ref="X443:Y443"/>
    <mergeCell ref="X445:Y445"/>
    <mergeCell ref="B448:C448"/>
    <mergeCell ref="F448:G448"/>
    <mergeCell ref="I448:J448"/>
    <mergeCell ref="T448:U448"/>
    <mergeCell ref="B446:C446"/>
    <mergeCell ref="F446:G446"/>
    <mergeCell ref="I446:J446"/>
    <mergeCell ref="T446:U446"/>
    <mergeCell ref="X448:Y448"/>
    <mergeCell ref="B445:C445"/>
    <mergeCell ref="F445:G445"/>
    <mergeCell ref="I445:J445"/>
    <mergeCell ref="T445:U445"/>
    <mergeCell ref="X446:Y446"/>
    <mergeCell ref="B447:C447"/>
    <mergeCell ref="F447:G447"/>
    <mergeCell ref="I447:J447"/>
    <mergeCell ref="T447:U447"/>
    <mergeCell ref="X447:Y447"/>
    <mergeCell ref="X449:Y449"/>
    <mergeCell ref="B452:C452"/>
    <mergeCell ref="F452:G452"/>
    <mergeCell ref="I452:J452"/>
    <mergeCell ref="T452:U452"/>
    <mergeCell ref="B450:C450"/>
    <mergeCell ref="F450:G450"/>
    <mergeCell ref="I450:J450"/>
    <mergeCell ref="T450:U450"/>
    <mergeCell ref="X452:Y452"/>
    <mergeCell ref="B449:C449"/>
    <mergeCell ref="F449:G449"/>
    <mergeCell ref="I449:J449"/>
    <mergeCell ref="T449:U449"/>
    <mergeCell ref="X450:Y450"/>
    <mergeCell ref="B451:C451"/>
    <mergeCell ref="F451:G451"/>
    <mergeCell ref="I451:J451"/>
    <mergeCell ref="T451:U451"/>
    <mergeCell ref="X451:Y451"/>
    <mergeCell ref="X453:Y453"/>
    <mergeCell ref="B456:C456"/>
    <mergeCell ref="F456:G456"/>
    <mergeCell ref="I456:J456"/>
    <mergeCell ref="T456:U456"/>
    <mergeCell ref="B454:C454"/>
    <mergeCell ref="F454:G454"/>
    <mergeCell ref="I454:J454"/>
    <mergeCell ref="T454:U454"/>
    <mergeCell ref="X456:Y456"/>
    <mergeCell ref="B453:C453"/>
    <mergeCell ref="F453:G453"/>
    <mergeCell ref="I453:J453"/>
    <mergeCell ref="T453:U453"/>
    <mergeCell ref="X454:Y454"/>
    <mergeCell ref="B455:C455"/>
    <mergeCell ref="F455:G455"/>
    <mergeCell ref="I455:J455"/>
    <mergeCell ref="T455:U455"/>
    <mergeCell ref="X455:Y455"/>
    <mergeCell ref="X457:Y457"/>
    <mergeCell ref="B460:C460"/>
    <mergeCell ref="F460:G460"/>
    <mergeCell ref="I460:J460"/>
    <mergeCell ref="T460:U460"/>
    <mergeCell ref="B458:C458"/>
    <mergeCell ref="F458:G458"/>
    <mergeCell ref="I458:J458"/>
    <mergeCell ref="T458:U458"/>
    <mergeCell ref="X460:Y460"/>
    <mergeCell ref="B457:C457"/>
    <mergeCell ref="F457:G457"/>
    <mergeCell ref="I457:J457"/>
    <mergeCell ref="T457:U457"/>
    <mergeCell ref="X458:Y458"/>
    <mergeCell ref="B459:C459"/>
    <mergeCell ref="F459:G459"/>
    <mergeCell ref="I459:J459"/>
    <mergeCell ref="T459:U459"/>
    <mergeCell ref="X459:Y459"/>
    <mergeCell ref="X461:Y461"/>
    <mergeCell ref="B464:C464"/>
    <mergeCell ref="F464:G464"/>
    <mergeCell ref="I464:J464"/>
    <mergeCell ref="T464:U464"/>
    <mergeCell ref="B462:C462"/>
    <mergeCell ref="F462:G462"/>
    <mergeCell ref="I462:J462"/>
    <mergeCell ref="T462:U462"/>
    <mergeCell ref="X464:Y464"/>
    <mergeCell ref="B461:C461"/>
    <mergeCell ref="F461:G461"/>
    <mergeCell ref="I461:J461"/>
    <mergeCell ref="T461:U461"/>
    <mergeCell ref="X462:Y462"/>
    <mergeCell ref="B463:C463"/>
    <mergeCell ref="F463:G463"/>
    <mergeCell ref="I463:J463"/>
    <mergeCell ref="T463:U463"/>
    <mergeCell ref="X463:Y463"/>
    <mergeCell ref="X465:Y465"/>
    <mergeCell ref="B468:C468"/>
    <mergeCell ref="F468:G468"/>
    <mergeCell ref="I468:J468"/>
    <mergeCell ref="T468:U468"/>
    <mergeCell ref="B466:C466"/>
    <mergeCell ref="F466:G466"/>
    <mergeCell ref="I466:J466"/>
    <mergeCell ref="T466:U466"/>
    <mergeCell ref="X468:Y468"/>
    <mergeCell ref="B465:C465"/>
    <mergeCell ref="F465:G465"/>
    <mergeCell ref="I465:J465"/>
    <mergeCell ref="T465:U465"/>
    <mergeCell ref="X466:Y466"/>
    <mergeCell ref="B467:C467"/>
    <mergeCell ref="F467:G467"/>
    <mergeCell ref="I467:J467"/>
    <mergeCell ref="T467:U467"/>
    <mergeCell ref="X467:Y467"/>
    <mergeCell ref="X469:Y469"/>
    <mergeCell ref="B472:C472"/>
    <mergeCell ref="F472:G472"/>
    <mergeCell ref="I472:J472"/>
    <mergeCell ref="T472:U472"/>
    <mergeCell ref="B470:C470"/>
    <mergeCell ref="F470:G470"/>
    <mergeCell ref="I470:J470"/>
    <mergeCell ref="T470:U470"/>
    <mergeCell ref="X472:Y472"/>
    <mergeCell ref="B469:C469"/>
    <mergeCell ref="F469:G469"/>
    <mergeCell ref="I469:J469"/>
    <mergeCell ref="T469:U469"/>
    <mergeCell ref="X470:Y470"/>
    <mergeCell ref="B471:C471"/>
    <mergeCell ref="F471:G471"/>
    <mergeCell ref="I471:J471"/>
    <mergeCell ref="T471:U471"/>
    <mergeCell ref="X471:Y471"/>
    <mergeCell ref="X473:Y473"/>
    <mergeCell ref="B476:C476"/>
    <mergeCell ref="F476:G476"/>
    <mergeCell ref="I476:J476"/>
    <mergeCell ref="T476:U476"/>
    <mergeCell ref="B474:C474"/>
    <mergeCell ref="F474:G474"/>
    <mergeCell ref="I474:J474"/>
    <mergeCell ref="T474:U474"/>
    <mergeCell ref="X476:Y476"/>
    <mergeCell ref="B473:C473"/>
    <mergeCell ref="F473:G473"/>
    <mergeCell ref="I473:J473"/>
    <mergeCell ref="T473:U473"/>
    <mergeCell ref="X474:Y474"/>
    <mergeCell ref="B475:C475"/>
    <mergeCell ref="F475:G475"/>
    <mergeCell ref="I475:J475"/>
    <mergeCell ref="T475:U475"/>
    <mergeCell ref="X475:Y475"/>
    <mergeCell ref="X477:Y477"/>
    <mergeCell ref="B480:C480"/>
    <mergeCell ref="F480:G480"/>
    <mergeCell ref="I480:J480"/>
    <mergeCell ref="T480:U480"/>
    <mergeCell ref="B478:C478"/>
    <mergeCell ref="F478:G478"/>
    <mergeCell ref="I478:J478"/>
    <mergeCell ref="T478:U478"/>
    <mergeCell ref="X480:Y480"/>
    <mergeCell ref="B477:C477"/>
    <mergeCell ref="F477:G477"/>
    <mergeCell ref="I477:J477"/>
    <mergeCell ref="T477:U477"/>
    <mergeCell ref="X478:Y478"/>
    <mergeCell ref="B479:C479"/>
    <mergeCell ref="F479:G479"/>
    <mergeCell ref="I479:J479"/>
    <mergeCell ref="T479:U479"/>
    <mergeCell ref="X479:Y479"/>
    <mergeCell ref="X481:Y481"/>
    <mergeCell ref="B484:C484"/>
    <mergeCell ref="F484:G484"/>
    <mergeCell ref="I484:J484"/>
    <mergeCell ref="T484:U484"/>
    <mergeCell ref="B482:C482"/>
    <mergeCell ref="F482:G482"/>
    <mergeCell ref="I482:J482"/>
    <mergeCell ref="T482:U482"/>
    <mergeCell ref="X484:Y484"/>
    <mergeCell ref="B481:C481"/>
    <mergeCell ref="F481:G481"/>
    <mergeCell ref="I481:J481"/>
    <mergeCell ref="T481:U481"/>
    <mergeCell ref="X482:Y482"/>
    <mergeCell ref="B483:C483"/>
    <mergeCell ref="F483:G483"/>
    <mergeCell ref="I483:J483"/>
    <mergeCell ref="T483:U483"/>
    <mergeCell ref="X483:Y483"/>
    <mergeCell ref="X485:Y485"/>
    <mergeCell ref="B488:C488"/>
    <mergeCell ref="F488:G488"/>
    <mergeCell ref="I488:J488"/>
    <mergeCell ref="T488:U488"/>
    <mergeCell ref="B486:C486"/>
    <mergeCell ref="F486:G486"/>
    <mergeCell ref="I486:J486"/>
    <mergeCell ref="T486:U486"/>
    <mergeCell ref="X488:Y488"/>
    <mergeCell ref="B485:C485"/>
    <mergeCell ref="F485:G485"/>
    <mergeCell ref="I485:J485"/>
    <mergeCell ref="T485:U485"/>
    <mergeCell ref="X486:Y486"/>
    <mergeCell ref="B487:C487"/>
    <mergeCell ref="F487:G487"/>
    <mergeCell ref="I487:J487"/>
    <mergeCell ref="T487:U487"/>
    <mergeCell ref="X487:Y487"/>
    <mergeCell ref="X489:Y489"/>
    <mergeCell ref="B492:C492"/>
    <mergeCell ref="F492:G492"/>
    <mergeCell ref="I492:J492"/>
    <mergeCell ref="T492:U492"/>
    <mergeCell ref="B490:C490"/>
    <mergeCell ref="F490:G490"/>
    <mergeCell ref="I490:J490"/>
    <mergeCell ref="T490:U490"/>
    <mergeCell ref="X492:Y492"/>
    <mergeCell ref="B489:C489"/>
    <mergeCell ref="F489:G489"/>
    <mergeCell ref="I489:J489"/>
    <mergeCell ref="T489:U489"/>
    <mergeCell ref="X490:Y490"/>
    <mergeCell ref="B491:C491"/>
    <mergeCell ref="F491:G491"/>
    <mergeCell ref="I491:J491"/>
    <mergeCell ref="T491:U491"/>
    <mergeCell ref="X491:Y491"/>
    <mergeCell ref="X493:Y493"/>
    <mergeCell ref="B496:C496"/>
    <mergeCell ref="F496:G496"/>
    <mergeCell ref="I496:J496"/>
    <mergeCell ref="T496:U496"/>
    <mergeCell ref="B494:C494"/>
    <mergeCell ref="F494:G494"/>
    <mergeCell ref="I494:J494"/>
    <mergeCell ref="T494:U494"/>
    <mergeCell ref="X496:Y496"/>
    <mergeCell ref="B493:C493"/>
    <mergeCell ref="F493:G493"/>
    <mergeCell ref="I493:J493"/>
    <mergeCell ref="T493:U493"/>
    <mergeCell ref="X494:Y494"/>
    <mergeCell ref="B495:C495"/>
    <mergeCell ref="F495:G495"/>
    <mergeCell ref="I495:J495"/>
    <mergeCell ref="T495:U495"/>
    <mergeCell ref="X495:Y495"/>
    <mergeCell ref="X497:Y497"/>
    <mergeCell ref="B500:C500"/>
    <mergeCell ref="F500:G500"/>
    <mergeCell ref="I500:J500"/>
    <mergeCell ref="T500:U500"/>
    <mergeCell ref="B498:C498"/>
    <mergeCell ref="F498:G498"/>
    <mergeCell ref="I498:J498"/>
    <mergeCell ref="T498:U498"/>
    <mergeCell ref="X500:Y500"/>
    <mergeCell ref="B497:C497"/>
    <mergeCell ref="F497:G497"/>
    <mergeCell ref="I497:J497"/>
    <mergeCell ref="T497:U497"/>
    <mergeCell ref="X498:Y498"/>
    <mergeCell ref="B499:C499"/>
    <mergeCell ref="F499:G499"/>
    <mergeCell ref="I499:J499"/>
    <mergeCell ref="T499:U499"/>
    <mergeCell ref="X499:Y499"/>
    <mergeCell ref="X501:Y501"/>
    <mergeCell ref="B504:C504"/>
    <mergeCell ref="F504:G504"/>
    <mergeCell ref="I504:J504"/>
    <mergeCell ref="T504:U504"/>
    <mergeCell ref="B502:C502"/>
    <mergeCell ref="F502:G502"/>
    <mergeCell ref="I502:J502"/>
    <mergeCell ref="T502:U502"/>
    <mergeCell ref="X504:Y504"/>
    <mergeCell ref="B501:C501"/>
    <mergeCell ref="F501:G501"/>
    <mergeCell ref="I501:J501"/>
    <mergeCell ref="T501:U501"/>
    <mergeCell ref="X502:Y502"/>
    <mergeCell ref="B503:C503"/>
    <mergeCell ref="F503:G503"/>
    <mergeCell ref="I503:J503"/>
    <mergeCell ref="T503:U503"/>
    <mergeCell ref="X503:Y503"/>
    <mergeCell ref="X505:Y505"/>
    <mergeCell ref="B508:C508"/>
    <mergeCell ref="F508:G508"/>
    <mergeCell ref="I508:J508"/>
    <mergeCell ref="T508:U508"/>
    <mergeCell ref="B506:C506"/>
    <mergeCell ref="F506:G506"/>
    <mergeCell ref="I506:J506"/>
    <mergeCell ref="T506:U506"/>
    <mergeCell ref="X508:Y508"/>
    <mergeCell ref="B505:C505"/>
    <mergeCell ref="F505:G505"/>
    <mergeCell ref="I505:J505"/>
    <mergeCell ref="T505:U505"/>
    <mergeCell ref="X506:Y506"/>
    <mergeCell ref="B507:C507"/>
    <mergeCell ref="F507:G507"/>
    <mergeCell ref="I507:J507"/>
    <mergeCell ref="T507:U507"/>
    <mergeCell ref="X507:Y507"/>
    <mergeCell ref="X509:Y509"/>
    <mergeCell ref="B512:C512"/>
    <mergeCell ref="F512:G512"/>
    <mergeCell ref="I512:J512"/>
    <mergeCell ref="T512:U512"/>
    <mergeCell ref="B510:C510"/>
    <mergeCell ref="F510:G510"/>
    <mergeCell ref="I510:J510"/>
    <mergeCell ref="T510:U510"/>
    <mergeCell ref="X512:Y512"/>
    <mergeCell ref="B509:C509"/>
    <mergeCell ref="F509:G509"/>
    <mergeCell ref="I509:J509"/>
    <mergeCell ref="T509:U509"/>
    <mergeCell ref="X510:Y510"/>
    <mergeCell ref="B511:C511"/>
    <mergeCell ref="F511:G511"/>
    <mergeCell ref="I511:J511"/>
    <mergeCell ref="T511:U511"/>
    <mergeCell ref="X511:Y511"/>
    <mergeCell ref="X513:Y513"/>
    <mergeCell ref="B516:C516"/>
    <mergeCell ref="F516:G516"/>
    <mergeCell ref="I516:J516"/>
    <mergeCell ref="T516:U516"/>
    <mergeCell ref="B514:C514"/>
    <mergeCell ref="F514:G514"/>
    <mergeCell ref="I514:J514"/>
    <mergeCell ref="T514:U514"/>
    <mergeCell ref="X516:Y516"/>
    <mergeCell ref="B513:C513"/>
    <mergeCell ref="F513:G513"/>
    <mergeCell ref="I513:J513"/>
    <mergeCell ref="T513:U513"/>
    <mergeCell ref="X514:Y514"/>
    <mergeCell ref="B515:C515"/>
    <mergeCell ref="F515:G515"/>
    <mergeCell ref="I515:J515"/>
    <mergeCell ref="T515:U515"/>
    <mergeCell ref="X515:Y515"/>
    <mergeCell ref="X517:Y517"/>
    <mergeCell ref="B520:C520"/>
    <mergeCell ref="F520:G520"/>
    <mergeCell ref="I520:J520"/>
    <mergeCell ref="T520:U520"/>
    <mergeCell ref="B518:C518"/>
    <mergeCell ref="F518:G518"/>
    <mergeCell ref="I518:J518"/>
    <mergeCell ref="T518:U518"/>
    <mergeCell ref="X520:Y520"/>
    <mergeCell ref="B517:C517"/>
    <mergeCell ref="F517:G517"/>
    <mergeCell ref="I517:J517"/>
    <mergeCell ref="T517:U517"/>
    <mergeCell ref="X518:Y518"/>
    <mergeCell ref="B519:C519"/>
    <mergeCell ref="F519:G519"/>
    <mergeCell ref="I519:J519"/>
    <mergeCell ref="T519:U519"/>
    <mergeCell ref="X519:Y519"/>
    <mergeCell ref="X521:Y521"/>
    <mergeCell ref="B524:C524"/>
    <mergeCell ref="F524:G524"/>
    <mergeCell ref="I524:J524"/>
    <mergeCell ref="T524:U524"/>
    <mergeCell ref="B522:C522"/>
    <mergeCell ref="F522:G522"/>
    <mergeCell ref="I522:J522"/>
    <mergeCell ref="T522:U522"/>
    <mergeCell ref="X524:Y524"/>
    <mergeCell ref="B521:C521"/>
    <mergeCell ref="F521:G521"/>
    <mergeCell ref="I521:J521"/>
    <mergeCell ref="T521:U521"/>
    <mergeCell ref="X522:Y522"/>
    <mergeCell ref="B523:C523"/>
    <mergeCell ref="F523:G523"/>
    <mergeCell ref="I523:J523"/>
    <mergeCell ref="T523:U523"/>
    <mergeCell ref="X523:Y523"/>
    <mergeCell ref="X525:Y525"/>
    <mergeCell ref="B528:C528"/>
    <mergeCell ref="F528:G528"/>
    <mergeCell ref="I528:J528"/>
    <mergeCell ref="T528:U528"/>
    <mergeCell ref="B526:C526"/>
    <mergeCell ref="F526:G526"/>
    <mergeCell ref="I526:J526"/>
    <mergeCell ref="T526:U526"/>
    <mergeCell ref="X528:Y528"/>
    <mergeCell ref="B525:C525"/>
    <mergeCell ref="F525:G525"/>
    <mergeCell ref="I525:J525"/>
    <mergeCell ref="T525:U525"/>
    <mergeCell ref="X526:Y526"/>
    <mergeCell ref="B527:C527"/>
    <mergeCell ref="F527:G527"/>
    <mergeCell ref="I527:J527"/>
    <mergeCell ref="T527:U527"/>
    <mergeCell ref="X527:Y527"/>
    <mergeCell ref="X529:Y529"/>
    <mergeCell ref="B532:C532"/>
    <mergeCell ref="F532:G532"/>
    <mergeCell ref="I532:J532"/>
    <mergeCell ref="T532:U532"/>
    <mergeCell ref="B530:C530"/>
    <mergeCell ref="F530:G530"/>
    <mergeCell ref="I530:J530"/>
    <mergeCell ref="T530:U530"/>
    <mergeCell ref="X532:Y532"/>
    <mergeCell ref="B529:C529"/>
    <mergeCell ref="F529:G529"/>
    <mergeCell ref="I529:J529"/>
    <mergeCell ref="T529:U529"/>
    <mergeCell ref="X530:Y530"/>
    <mergeCell ref="B531:C531"/>
    <mergeCell ref="F531:G531"/>
    <mergeCell ref="I531:J531"/>
    <mergeCell ref="T531:U531"/>
    <mergeCell ref="X531:Y531"/>
    <mergeCell ref="X533:Y533"/>
    <mergeCell ref="B536:C536"/>
    <mergeCell ref="F536:G536"/>
    <mergeCell ref="I536:J536"/>
    <mergeCell ref="T536:U536"/>
    <mergeCell ref="B534:C534"/>
    <mergeCell ref="F534:G534"/>
    <mergeCell ref="I534:J534"/>
    <mergeCell ref="T534:U534"/>
    <mergeCell ref="X536:Y536"/>
    <mergeCell ref="B533:C533"/>
    <mergeCell ref="F533:G533"/>
    <mergeCell ref="I533:J533"/>
    <mergeCell ref="T533:U533"/>
    <mergeCell ref="X534:Y534"/>
    <mergeCell ref="B535:C535"/>
    <mergeCell ref="F535:G535"/>
    <mergeCell ref="I535:J535"/>
    <mergeCell ref="T535:U535"/>
    <mergeCell ref="X535:Y535"/>
    <mergeCell ref="X537:Y537"/>
    <mergeCell ref="B540:C540"/>
    <mergeCell ref="F540:G540"/>
    <mergeCell ref="I540:J540"/>
    <mergeCell ref="T540:U540"/>
    <mergeCell ref="B538:C538"/>
    <mergeCell ref="F538:G538"/>
    <mergeCell ref="I538:J538"/>
    <mergeCell ref="T538:U538"/>
    <mergeCell ref="X540:Y540"/>
    <mergeCell ref="B537:C537"/>
    <mergeCell ref="F537:G537"/>
    <mergeCell ref="I537:J537"/>
    <mergeCell ref="T537:U537"/>
    <mergeCell ref="X538:Y538"/>
    <mergeCell ref="B539:C539"/>
    <mergeCell ref="F539:G539"/>
    <mergeCell ref="I539:J539"/>
    <mergeCell ref="T539:U539"/>
    <mergeCell ref="X539:Y539"/>
    <mergeCell ref="X541:Y541"/>
    <mergeCell ref="B544:C544"/>
    <mergeCell ref="F544:G544"/>
    <mergeCell ref="I544:J544"/>
    <mergeCell ref="T544:U544"/>
    <mergeCell ref="B542:C542"/>
    <mergeCell ref="F542:G542"/>
    <mergeCell ref="I542:J542"/>
    <mergeCell ref="T542:U542"/>
    <mergeCell ref="X544:Y544"/>
    <mergeCell ref="B541:C541"/>
    <mergeCell ref="F541:G541"/>
    <mergeCell ref="I541:J541"/>
    <mergeCell ref="T541:U541"/>
    <mergeCell ref="X542:Y542"/>
    <mergeCell ref="B543:C543"/>
    <mergeCell ref="F543:G543"/>
    <mergeCell ref="I543:J543"/>
    <mergeCell ref="T543:U543"/>
    <mergeCell ref="X543:Y543"/>
    <mergeCell ref="X545:Y545"/>
    <mergeCell ref="B548:C548"/>
    <mergeCell ref="F548:G548"/>
    <mergeCell ref="I548:J548"/>
    <mergeCell ref="T548:U548"/>
    <mergeCell ref="B546:C546"/>
    <mergeCell ref="F546:G546"/>
    <mergeCell ref="I546:J546"/>
    <mergeCell ref="T546:U546"/>
    <mergeCell ref="X548:Y548"/>
    <mergeCell ref="B545:C545"/>
    <mergeCell ref="F545:G545"/>
    <mergeCell ref="I545:J545"/>
    <mergeCell ref="T545:U545"/>
    <mergeCell ref="X546:Y546"/>
    <mergeCell ref="B547:C547"/>
    <mergeCell ref="F547:G547"/>
    <mergeCell ref="I547:J547"/>
    <mergeCell ref="T547:U547"/>
    <mergeCell ref="X547:Y547"/>
    <mergeCell ref="X549:Y549"/>
    <mergeCell ref="B552:C552"/>
    <mergeCell ref="F552:G552"/>
    <mergeCell ref="I552:J552"/>
    <mergeCell ref="T552:U552"/>
    <mergeCell ref="B550:C550"/>
    <mergeCell ref="F550:G550"/>
    <mergeCell ref="I550:J550"/>
    <mergeCell ref="T550:U550"/>
    <mergeCell ref="X552:Y552"/>
    <mergeCell ref="B549:C549"/>
    <mergeCell ref="F549:G549"/>
    <mergeCell ref="I549:J549"/>
    <mergeCell ref="T549:U549"/>
    <mergeCell ref="X550:Y550"/>
    <mergeCell ref="B551:C551"/>
    <mergeCell ref="F551:G551"/>
    <mergeCell ref="I551:J551"/>
    <mergeCell ref="T551:U551"/>
    <mergeCell ref="X551:Y551"/>
    <mergeCell ref="X553:Y553"/>
    <mergeCell ref="B556:C556"/>
    <mergeCell ref="F556:G556"/>
    <mergeCell ref="I556:J556"/>
    <mergeCell ref="T556:U556"/>
    <mergeCell ref="B554:C554"/>
    <mergeCell ref="F554:G554"/>
    <mergeCell ref="I554:J554"/>
    <mergeCell ref="T554:U554"/>
    <mergeCell ref="X556:Y556"/>
    <mergeCell ref="B553:C553"/>
    <mergeCell ref="F553:G553"/>
    <mergeCell ref="I553:J553"/>
    <mergeCell ref="T553:U553"/>
    <mergeCell ref="X554:Y554"/>
    <mergeCell ref="B555:C555"/>
    <mergeCell ref="F555:G555"/>
    <mergeCell ref="I555:J555"/>
    <mergeCell ref="T555:U555"/>
    <mergeCell ref="X555:Y555"/>
    <mergeCell ref="X557:Y557"/>
    <mergeCell ref="B560:C560"/>
    <mergeCell ref="F560:G560"/>
    <mergeCell ref="I560:J560"/>
    <mergeCell ref="T560:U560"/>
    <mergeCell ref="B558:C558"/>
    <mergeCell ref="F558:G558"/>
    <mergeCell ref="I558:J558"/>
    <mergeCell ref="T558:U558"/>
    <mergeCell ref="X560:Y560"/>
    <mergeCell ref="B557:C557"/>
    <mergeCell ref="F557:G557"/>
    <mergeCell ref="I557:J557"/>
    <mergeCell ref="T557:U557"/>
    <mergeCell ref="X558:Y558"/>
    <mergeCell ref="B559:C559"/>
    <mergeCell ref="F559:G559"/>
    <mergeCell ref="I559:J559"/>
    <mergeCell ref="T559:U559"/>
    <mergeCell ref="X559:Y559"/>
    <mergeCell ref="X561:Y561"/>
    <mergeCell ref="B564:C564"/>
    <mergeCell ref="F564:G564"/>
    <mergeCell ref="I564:J564"/>
    <mergeCell ref="T564:U564"/>
    <mergeCell ref="B562:C562"/>
    <mergeCell ref="F562:G562"/>
    <mergeCell ref="I562:J562"/>
    <mergeCell ref="T562:U562"/>
    <mergeCell ref="X564:Y564"/>
    <mergeCell ref="B561:C561"/>
    <mergeCell ref="F561:G561"/>
    <mergeCell ref="I561:J561"/>
    <mergeCell ref="T561:U561"/>
    <mergeCell ref="X562:Y562"/>
    <mergeCell ref="B563:C563"/>
    <mergeCell ref="F563:G563"/>
    <mergeCell ref="I563:J563"/>
    <mergeCell ref="T563:U563"/>
    <mergeCell ref="X563:Y563"/>
    <mergeCell ref="X565:Y565"/>
    <mergeCell ref="B568:C568"/>
    <mergeCell ref="F568:G568"/>
    <mergeCell ref="I568:J568"/>
    <mergeCell ref="T568:U568"/>
    <mergeCell ref="B566:C566"/>
    <mergeCell ref="F566:G566"/>
    <mergeCell ref="I566:J566"/>
    <mergeCell ref="T566:U566"/>
    <mergeCell ref="X568:Y568"/>
    <mergeCell ref="B565:C565"/>
    <mergeCell ref="F565:G565"/>
    <mergeCell ref="I565:J565"/>
    <mergeCell ref="T565:U565"/>
    <mergeCell ref="X566:Y566"/>
    <mergeCell ref="B567:C567"/>
    <mergeCell ref="F567:G567"/>
    <mergeCell ref="I567:J567"/>
    <mergeCell ref="T567:U567"/>
    <mergeCell ref="X567:Y567"/>
    <mergeCell ref="X569:Y569"/>
    <mergeCell ref="B572:C572"/>
    <mergeCell ref="F572:G572"/>
    <mergeCell ref="I572:J572"/>
    <mergeCell ref="T572:U572"/>
    <mergeCell ref="B570:C570"/>
    <mergeCell ref="F570:G570"/>
    <mergeCell ref="I570:J570"/>
    <mergeCell ref="T570:U570"/>
    <mergeCell ref="X572:Y572"/>
    <mergeCell ref="B569:C569"/>
    <mergeCell ref="F569:G569"/>
    <mergeCell ref="I569:J569"/>
    <mergeCell ref="T569:U569"/>
    <mergeCell ref="X570:Y570"/>
    <mergeCell ref="B571:C571"/>
    <mergeCell ref="F571:G571"/>
    <mergeCell ref="I571:J571"/>
    <mergeCell ref="T571:U571"/>
    <mergeCell ref="X571:Y571"/>
    <mergeCell ref="X573:Y573"/>
    <mergeCell ref="B576:C576"/>
    <mergeCell ref="F576:G576"/>
    <mergeCell ref="I576:J576"/>
    <mergeCell ref="T576:U576"/>
    <mergeCell ref="B574:C574"/>
    <mergeCell ref="F574:G574"/>
    <mergeCell ref="I574:J574"/>
    <mergeCell ref="T574:U574"/>
    <mergeCell ref="X576:Y576"/>
    <mergeCell ref="B573:C573"/>
    <mergeCell ref="F573:G573"/>
    <mergeCell ref="I573:J573"/>
    <mergeCell ref="T573:U573"/>
    <mergeCell ref="X574:Y574"/>
    <mergeCell ref="B575:C575"/>
    <mergeCell ref="F575:G575"/>
    <mergeCell ref="I575:J575"/>
    <mergeCell ref="T575:U575"/>
    <mergeCell ref="X575:Y575"/>
    <mergeCell ref="X577:Y577"/>
    <mergeCell ref="B580:C580"/>
    <mergeCell ref="F580:G580"/>
    <mergeCell ref="I580:J580"/>
    <mergeCell ref="T580:U580"/>
    <mergeCell ref="B578:C578"/>
    <mergeCell ref="F578:G578"/>
    <mergeCell ref="I578:J578"/>
    <mergeCell ref="T578:U578"/>
    <mergeCell ref="X580:Y580"/>
    <mergeCell ref="B577:C577"/>
    <mergeCell ref="F577:G577"/>
    <mergeCell ref="I577:J577"/>
    <mergeCell ref="T577:U577"/>
    <mergeCell ref="X578:Y578"/>
    <mergeCell ref="B579:C579"/>
    <mergeCell ref="F579:G579"/>
    <mergeCell ref="I579:J579"/>
    <mergeCell ref="T579:U579"/>
    <mergeCell ref="X579:Y579"/>
    <mergeCell ref="X581:Y581"/>
    <mergeCell ref="B584:C584"/>
    <mergeCell ref="F584:G584"/>
    <mergeCell ref="I584:J584"/>
    <mergeCell ref="T584:U584"/>
    <mergeCell ref="B582:C582"/>
    <mergeCell ref="F582:G582"/>
    <mergeCell ref="I582:J582"/>
    <mergeCell ref="T582:U582"/>
    <mergeCell ref="X584:Y584"/>
    <mergeCell ref="B581:C581"/>
    <mergeCell ref="F581:G581"/>
    <mergeCell ref="I581:J581"/>
    <mergeCell ref="T581:U581"/>
    <mergeCell ref="X582:Y582"/>
    <mergeCell ref="B583:C583"/>
    <mergeCell ref="F583:G583"/>
    <mergeCell ref="I583:J583"/>
    <mergeCell ref="T583:U583"/>
    <mergeCell ref="X583:Y583"/>
    <mergeCell ref="X585:Y585"/>
    <mergeCell ref="B588:C588"/>
    <mergeCell ref="F588:G588"/>
    <mergeCell ref="I588:J588"/>
    <mergeCell ref="T588:U588"/>
    <mergeCell ref="B586:C586"/>
    <mergeCell ref="F586:G586"/>
    <mergeCell ref="I586:J586"/>
    <mergeCell ref="T586:U586"/>
    <mergeCell ref="X588:Y588"/>
    <mergeCell ref="B585:C585"/>
    <mergeCell ref="F585:G585"/>
    <mergeCell ref="I585:J585"/>
    <mergeCell ref="T585:U585"/>
    <mergeCell ref="X586:Y586"/>
    <mergeCell ref="B587:C587"/>
    <mergeCell ref="F587:G587"/>
    <mergeCell ref="I587:J587"/>
    <mergeCell ref="T587:U587"/>
    <mergeCell ref="X587:Y587"/>
    <mergeCell ref="X589:Y589"/>
    <mergeCell ref="B592:C592"/>
    <mergeCell ref="F592:G592"/>
    <mergeCell ref="I592:J592"/>
    <mergeCell ref="T592:U592"/>
    <mergeCell ref="B590:C590"/>
    <mergeCell ref="F590:G590"/>
    <mergeCell ref="I590:J590"/>
    <mergeCell ref="T590:U590"/>
    <mergeCell ref="X592:Y592"/>
    <mergeCell ref="B589:C589"/>
    <mergeCell ref="F589:G589"/>
    <mergeCell ref="I589:J589"/>
    <mergeCell ref="T589:U589"/>
    <mergeCell ref="X590:Y590"/>
    <mergeCell ref="B591:C591"/>
    <mergeCell ref="F591:G591"/>
    <mergeCell ref="I591:J591"/>
    <mergeCell ref="T591:U591"/>
    <mergeCell ref="X591:Y591"/>
    <mergeCell ref="X593:Y593"/>
    <mergeCell ref="B596:C596"/>
    <mergeCell ref="F596:G596"/>
    <mergeCell ref="I596:J596"/>
    <mergeCell ref="T596:U596"/>
    <mergeCell ref="B594:C594"/>
    <mergeCell ref="F594:G594"/>
    <mergeCell ref="I594:J594"/>
    <mergeCell ref="T594:U594"/>
    <mergeCell ref="X596:Y596"/>
    <mergeCell ref="B593:C593"/>
    <mergeCell ref="F593:G593"/>
    <mergeCell ref="I593:J593"/>
    <mergeCell ref="T593:U593"/>
    <mergeCell ref="X594:Y594"/>
    <mergeCell ref="B595:C595"/>
    <mergeCell ref="F595:G595"/>
    <mergeCell ref="I595:J595"/>
    <mergeCell ref="T595:U595"/>
    <mergeCell ref="X595:Y595"/>
    <mergeCell ref="X597:Y597"/>
    <mergeCell ref="B600:C600"/>
    <mergeCell ref="F600:G600"/>
    <mergeCell ref="I600:J600"/>
    <mergeCell ref="T600:U600"/>
    <mergeCell ref="B598:C598"/>
    <mergeCell ref="F598:G598"/>
    <mergeCell ref="I598:J598"/>
    <mergeCell ref="T598:U598"/>
    <mergeCell ref="X600:Y600"/>
    <mergeCell ref="B597:C597"/>
    <mergeCell ref="F597:G597"/>
    <mergeCell ref="I597:J597"/>
    <mergeCell ref="T597:U597"/>
    <mergeCell ref="X598:Y598"/>
    <mergeCell ref="B599:C599"/>
    <mergeCell ref="F599:G599"/>
    <mergeCell ref="I599:J599"/>
    <mergeCell ref="T599:U599"/>
    <mergeCell ref="X599:Y599"/>
    <mergeCell ref="X601:Y601"/>
    <mergeCell ref="B604:C604"/>
    <mergeCell ref="F604:G604"/>
    <mergeCell ref="I604:J604"/>
    <mergeCell ref="T604:U604"/>
    <mergeCell ref="B602:C602"/>
    <mergeCell ref="F602:G602"/>
    <mergeCell ref="I602:J602"/>
    <mergeCell ref="T602:U602"/>
    <mergeCell ref="X604:Y604"/>
    <mergeCell ref="B601:C601"/>
    <mergeCell ref="F601:G601"/>
    <mergeCell ref="I601:J601"/>
    <mergeCell ref="T601:U601"/>
    <mergeCell ref="X602:Y602"/>
    <mergeCell ref="B603:C603"/>
    <mergeCell ref="F603:G603"/>
    <mergeCell ref="I603:J603"/>
    <mergeCell ref="T603:U603"/>
    <mergeCell ref="X603:Y603"/>
    <mergeCell ref="X605:Y605"/>
    <mergeCell ref="B608:C608"/>
    <mergeCell ref="F608:G608"/>
    <mergeCell ref="I608:J608"/>
    <mergeCell ref="T608:U608"/>
    <mergeCell ref="B606:C606"/>
    <mergeCell ref="F606:G606"/>
    <mergeCell ref="I606:J606"/>
    <mergeCell ref="T606:U606"/>
    <mergeCell ref="X608:Y608"/>
    <mergeCell ref="B605:C605"/>
    <mergeCell ref="F605:G605"/>
    <mergeCell ref="I605:J605"/>
    <mergeCell ref="T605:U605"/>
    <mergeCell ref="X606:Y606"/>
    <mergeCell ref="B607:C607"/>
    <mergeCell ref="F607:G607"/>
    <mergeCell ref="I607:J607"/>
    <mergeCell ref="T607:U607"/>
    <mergeCell ref="X607:Y607"/>
    <mergeCell ref="X609:Y609"/>
    <mergeCell ref="B612:C612"/>
    <mergeCell ref="F612:G612"/>
    <mergeCell ref="I612:J612"/>
    <mergeCell ref="T612:U612"/>
    <mergeCell ref="B610:C610"/>
    <mergeCell ref="F610:G610"/>
    <mergeCell ref="I610:J610"/>
    <mergeCell ref="T610:U610"/>
    <mergeCell ref="X612:Y612"/>
    <mergeCell ref="B609:C609"/>
    <mergeCell ref="F609:G609"/>
    <mergeCell ref="I609:J609"/>
    <mergeCell ref="T609:U609"/>
    <mergeCell ref="X610:Y610"/>
    <mergeCell ref="B611:C611"/>
    <mergeCell ref="F611:G611"/>
    <mergeCell ref="I611:J611"/>
    <mergeCell ref="T611:U611"/>
    <mergeCell ref="X611:Y611"/>
    <mergeCell ref="X613:Y613"/>
    <mergeCell ref="B616:C616"/>
    <mergeCell ref="F616:G616"/>
    <mergeCell ref="I616:J616"/>
    <mergeCell ref="T616:U616"/>
    <mergeCell ref="B614:C614"/>
    <mergeCell ref="F614:G614"/>
    <mergeCell ref="I614:J614"/>
    <mergeCell ref="T614:U614"/>
    <mergeCell ref="X616:Y616"/>
    <mergeCell ref="B613:C613"/>
    <mergeCell ref="F613:G613"/>
    <mergeCell ref="I613:J613"/>
    <mergeCell ref="T613:U613"/>
    <mergeCell ref="X614:Y614"/>
    <mergeCell ref="B615:C615"/>
    <mergeCell ref="F615:G615"/>
    <mergeCell ref="I615:J615"/>
    <mergeCell ref="T615:U615"/>
    <mergeCell ref="X615:Y615"/>
    <mergeCell ref="X617:Y617"/>
    <mergeCell ref="B620:C620"/>
    <mergeCell ref="F620:G620"/>
    <mergeCell ref="I620:J620"/>
    <mergeCell ref="T620:U620"/>
    <mergeCell ref="B618:C618"/>
    <mergeCell ref="F618:G618"/>
    <mergeCell ref="I618:J618"/>
    <mergeCell ref="T618:U618"/>
    <mergeCell ref="X620:Y620"/>
    <mergeCell ref="B617:C617"/>
    <mergeCell ref="F617:G617"/>
    <mergeCell ref="I617:J617"/>
    <mergeCell ref="T617:U617"/>
    <mergeCell ref="X618:Y618"/>
    <mergeCell ref="B619:C619"/>
    <mergeCell ref="F619:G619"/>
    <mergeCell ref="I619:J619"/>
    <mergeCell ref="T619:U619"/>
    <mergeCell ref="X619:Y619"/>
    <mergeCell ref="X621:Y621"/>
    <mergeCell ref="B624:C624"/>
    <mergeCell ref="F624:G624"/>
    <mergeCell ref="I624:J624"/>
    <mergeCell ref="T624:U624"/>
    <mergeCell ref="B622:C622"/>
    <mergeCell ref="F622:G622"/>
    <mergeCell ref="I622:J622"/>
    <mergeCell ref="T622:U622"/>
    <mergeCell ref="X624:Y624"/>
    <mergeCell ref="B621:C621"/>
    <mergeCell ref="F621:G621"/>
    <mergeCell ref="I621:J621"/>
    <mergeCell ref="T621:U621"/>
    <mergeCell ref="X622:Y622"/>
    <mergeCell ref="B623:C623"/>
    <mergeCell ref="F623:G623"/>
    <mergeCell ref="I623:J623"/>
    <mergeCell ref="T623:U623"/>
    <mergeCell ref="X623:Y623"/>
    <mergeCell ref="X625:Y625"/>
    <mergeCell ref="B628:C628"/>
    <mergeCell ref="F628:G628"/>
    <mergeCell ref="I628:J628"/>
    <mergeCell ref="T628:U628"/>
    <mergeCell ref="B626:C626"/>
    <mergeCell ref="F626:G626"/>
    <mergeCell ref="I626:J626"/>
    <mergeCell ref="T626:U626"/>
    <mergeCell ref="X628:Y628"/>
    <mergeCell ref="B625:C625"/>
    <mergeCell ref="F625:G625"/>
    <mergeCell ref="I625:J625"/>
    <mergeCell ref="T625:U625"/>
    <mergeCell ref="X626:Y626"/>
    <mergeCell ref="B627:C627"/>
    <mergeCell ref="F627:G627"/>
    <mergeCell ref="I627:J627"/>
    <mergeCell ref="T627:U627"/>
    <mergeCell ref="X627:Y627"/>
    <mergeCell ref="X629:Y629"/>
    <mergeCell ref="B632:C632"/>
    <mergeCell ref="F632:G632"/>
    <mergeCell ref="I632:J632"/>
    <mergeCell ref="T632:U632"/>
    <mergeCell ref="B630:C630"/>
    <mergeCell ref="F630:G630"/>
    <mergeCell ref="I630:J630"/>
    <mergeCell ref="T630:U630"/>
    <mergeCell ref="X632:Y632"/>
    <mergeCell ref="B629:C629"/>
    <mergeCell ref="F629:G629"/>
    <mergeCell ref="I629:J629"/>
    <mergeCell ref="T629:U629"/>
    <mergeCell ref="X630:Y630"/>
    <mergeCell ref="B631:C631"/>
    <mergeCell ref="F631:G631"/>
    <mergeCell ref="I631:J631"/>
    <mergeCell ref="T631:U631"/>
    <mergeCell ref="X631:Y631"/>
    <mergeCell ref="X633:Y633"/>
    <mergeCell ref="B636:C636"/>
    <mergeCell ref="F636:G636"/>
    <mergeCell ref="I636:J636"/>
    <mergeCell ref="T636:U636"/>
    <mergeCell ref="B634:C634"/>
    <mergeCell ref="F634:G634"/>
    <mergeCell ref="I634:J634"/>
    <mergeCell ref="T634:U634"/>
    <mergeCell ref="X636:Y636"/>
    <mergeCell ref="B633:C633"/>
    <mergeCell ref="F633:G633"/>
    <mergeCell ref="I633:J633"/>
    <mergeCell ref="T633:U633"/>
    <mergeCell ref="X634:Y634"/>
    <mergeCell ref="B635:C635"/>
    <mergeCell ref="F635:G635"/>
    <mergeCell ref="I635:J635"/>
    <mergeCell ref="T635:U635"/>
    <mergeCell ref="X635:Y635"/>
    <mergeCell ref="X637:Y637"/>
    <mergeCell ref="B640:C640"/>
    <mergeCell ref="F640:G640"/>
    <mergeCell ref="I640:J640"/>
    <mergeCell ref="T640:U640"/>
    <mergeCell ref="B638:C638"/>
    <mergeCell ref="F638:G638"/>
    <mergeCell ref="I638:J638"/>
    <mergeCell ref="T638:U638"/>
    <mergeCell ref="X640:Y640"/>
    <mergeCell ref="B637:C637"/>
    <mergeCell ref="F637:G637"/>
    <mergeCell ref="I637:J637"/>
    <mergeCell ref="T637:U637"/>
    <mergeCell ref="X638:Y638"/>
    <mergeCell ref="B639:C639"/>
    <mergeCell ref="F639:G639"/>
    <mergeCell ref="I639:J639"/>
    <mergeCell ref="T639:U639"/>
    <mergeCell ref="X639:Y639"/>
    <mergeCell ref="X641:Y641"/>
    <mergeCell ref="B644:C644"/>
    <mergeCell ref="F644:G644"/>
    <mergeCell ref="I644:J644"/>
    <mergeCell ref="T644:U644"/>
    <mergeCell ref="B642:C642"/>
    <mergeCell ref="F642:G642"/>
    <mergeCell ref="I642:J642"/>
    <mergeCell ref="T642:U642"/>
    <mergeCell ref="X644:Y644"/>
    <mergeCell ref="B641:C641"/>
    <mergeCell ref="F641:G641"/>
    <mergeCell ref="I641:J641"/>
    <mergeCell ref="T641:U641"/>
    <mergeCell ref="X642:Y642"/>
    <mergeCell ref="B643:C643"/>
    <mergeCell ref="F643:G643"/>
    <mergeCell ref="I643:J643"/>
    <mergeCell ref="T643:U643"/>
    <mergeCell ref="X643:Y643"/>
    <mergeCell ref="X645:Y645"/>
    <mergeCell ref="B648:C648"/>
    <mergeCell ref="F648:G648"/>
    <mergeCell ref="I648:J648"/>
    <mergeCell ref="T648:U648"/>
    <mergeCell ref="B646:C646"/>
    <mergeCell ref="F646:G646"/>
    <mergeCell ref="I646:J646"/>
    <mergeCell ref="T646:U646"/>
    <mergeCell ref="X648:Y648"/>
    <mergeCell ref="B645:C645"/>
    <mergeCell ref="F645:G645"/>
    <mergeCell ref="I645:J645"/>
    <mergeCell ref="T645:U645"/>
    <mergeCell ref="X646:Y646"/>
    <mergeCell ref="B647:C647"/>
    <mergeCell ref="F647:G647"/>
    <mergeCell ref="I647:J647"/>
    <mergeCell ref="T647:U647"/>
    <mergeCell ref="X647:Y647"/>
    <mergeCell ref="X649:Y649"/>
    <mergeCell ref="B652:C652"/>
    <mergeCell ref="F652:G652"/>
    <mergeCell ref="I652:J652"/>
    <mergeCell ref="T652:U652"/>
    <mergeCell ref="B650:C650"/>
    <mergeCell ref="F650:G650"/>
    <mergeCell ref="I650:J650"/>
    <mergeCell ref="T650:U650"/>
    <mergeCell ref="X652:Y652"/>
    <mergeCell ref="B649:C649"/>
    <mergeCell ref="F649:G649"/>
    <mergeCell ref="I649:J649"/>
    <mergeCell ref="T649:U649"/>
    <mergeCell ref="X650:Y650"/>
    <mergeCell ref="B651:C651"/>
    <mergeCell ref="F651:G651"/>
    <mergeCell ref="I651:J651"/>
    <mergeCell ref="T651:U651"/>
    <mergeCell ref="X651:Y651"/>
    <mergeCell ref="X653:Y653"/>
    <mergeCell ref="B656:C656"/>
    <mergeCell ref="F656:G656"/>
    <mergeCell ref="I656:J656"/>
    <mergeCell ref="T656:U656"/>
    <mergeCell ref="B654:C654"/>
    <mergeCell ref="F654:G654"/>
    <mergeCell ref="I654:J654"/>
    <mergeCell ref="T654:U654"/>
    <mergeCell ref="X656:Y656"/>
    <mergeCell ref="B653:C653"/>
    <mergeCell ref="F653:G653"/>
    <mergeCell ref="I653:J653"/>
    <mergeCell ref="T653:U653"/>
    <mergeCell ref="X654:Y654"/>
    <mergeCell ref="B655:C655"/>
    <mergeCell ref="F655:G655"/>
    <mergeCell ref="I655:J655"/>
    <mergeCell ref="T655:U655"/>
    <mergeCell ref="X655:Y655"/>
    <mergeCell ref="X657:Y657"/>
    <mergeCell ref="B660:C660"/>
    <mergeCell ref="F660:G660"/>
    <mergeCell ref="I660:J660"/>
    <mergeCell ref="T660:U660"/>
    <mergeCell ref="B658:C658"/>
    <mergeCell ref="F658:G658"/>
    <mergeCell ref="I658:J658"/>
    <mergeCell ref="T658:U658"/>
    <mergeCell ref="X660:Y660"/>
    <mergeCell ref="B657:C657"/>
    <mergeCell ref="F657:G657"/>
    <mergeCell ref="I657:J657"/>
    <mergeCell ref="T657:U657"/>
    <mergeCell ref="X658:Y658"/>
    <mergeCell ref="B659:C659"/>
    <mergeCell ref="F659:G659"/>
    <mergeCell ref="I659:J659"/>
    <mergeCell ref="T659:U659"/>
    <mergeCell ref="X659:Y659"/>
    <mergeCell ref="X661:Y661"/>
    <mergeCell ref="B664:C664"/>
    <mergeCell ref="F664:G664"/>
    <mergeCell ref="I664:J664"/>
    <mergeCell ref="T664:U664"/>
    <mergeCell ref="B662:C662"/>
    <mergeCell ref="F662:G662"/>
    <mergeCell ref="I662:J662"/>
    <mergeCell ref="T662:U662"/>
    <mergeCell ref="X664:Y664"/>
    <mergeCell ref="B661:C661"/>
    <mergeCell ref="F661:G661"/>
    <mergeCell ref="I661:J661"/>
    <mergeCell ref="T661:U661"/>
    <mergeCell ref="X662:Y662"/>
    <mergeCell ref="B663:C663"/>
    <mergeCell ref="F663:G663"/>
    <mergeCell ref="I663:J663"/>
    <mergeCell ref="T663:U663"/>
    <mergeCell ref="X663:Y663"/>
    <mergeCell ref="X665:Y665"/>
    <mergeCell ref="B668:C668"/>
    <mergeCell ref="F668:G668"/>
    <mergeCell ref="I668:J668"/>
    <mergeCell ref="T668:U668"/>
    <mergeCell ref="B666:C666"/>
    <mergeCell ref="F666:G666"/>
    <mergeCell ref="I666:J666"/>
    <mergeCell ref="T666:U666"/>
    <mergeCell ref="X668:Y668"/>
    <mergeCell ref="B665:C665"/>
    <mergeCell ref="F665:G665"/>
    <mergeCell ref="I665:J665"/>
    <mergeCell ref="T665:U665"/>
    <mergeCell ref="X666:Y666"/>
    <mergeCell ref="B667:C667"/>
    <mergeCell ref="F667:G667"/>
    <mergeCell ref="I667:J667"/>
    <mergeCell ref="T667:U667"/>
    <mergeCell ref="X667:Y667"/>
    <mergeCell ref="X669:Y669"/>
    <mergeCell ref="B672:C672"/>
    <mergeCell ref="F672:G672"/>
    <mergeCell ref="I672:J672"/>
    <mergeCell ref="T672:U672"/>
    <mergeCell ref="B670:C670"/>
    <mergeCell ref="F670:G670"/>
    <mergeCell ref="I670:J670"/>
    <mergeCell ref="T670:U670"/>
    <mergeCell ref="X672:Y672"/>
    <mergeCell ref="B669:C669"/>
    <mergeCell ref="F669:G669"/>
    <mergeCell ref="I669:J669"/>
    <mergeCell ref="T669:U669"/>
    <mergeCell ref="X670:Y670"/>
    <mergeCell ref="B671:C671"/>
    <mergeCell ref="F671:G671"/>
    <mergeCell ref="I671:J671"/>
    <mergeCell ref="T671:U671"/>
    <mergeCell ref="X671:Y671"/>
    <mergeCell ref="X673:Y673"/>
    <mergeCell ref="B676:C676"/>
    <mergeCell ref="F676:G676"/>
    <mergeCell ref="I676:J676"/>
    <mergeCell ref="T676:U676"/>
    <mergeCell ref="B674:C674"/>
    <mergeCell ref="F674:G674"/>
    <mergeCell ref="I674:J674"/>
    <mergeCell ref="T674:U674"/>
    <mergeCell ref="X676:Y676"/>
    <mergeCell ref="B673:C673"/>
    <mergeCell ref="F673:G673"/>
    <mergeCell ref="I673:J673"/>
    <mergeCell ref="T673:U673"/>
    <mergeCell ref="X674:Y674"/>
    <mergeCell ref="B675:C675"/>
    <mergeCell ref="F675:G675"/>
    <mergeCell ref="I675:J675"/>
    <mergeCell ref="T675:U675"/>
    <mergeCell ref="X675:Y675"/>
    <mergeCell ref="X677:Y677"/>
    <mergeCell ref="B680:C680"/>
    <mergeCell ref="F680:G680"/>
    <mergeCell ref="I680:J680"/>
    <mergeCell ref="T680:U680"/>
    <mergeCell ref="B678:C678"/>
    <mergeCell ref="F678:G678"/>
    <mergeCell ref="I678:J678"/>
    <mergeCell ref="T678:U678"/>
    <mergeCell ref="X680:Y680"/>
    <mergeCell ref="B677:C677"/>
    <mergeCell ref="F677:G677"/>
    <mergeCell ref="I677:J677"/>
    <mergeCell ref="T677:U677"/>
    <mergeCell ref="X678:Y678"/>
    <mergeCell ref="B679:C679"/>
    <mergeCell ref="F679:G679"/>
    <mergeCell ref="I679:J679"/>
    <mergeCell ref="T679:U679"/>
    <mergeCell ref="X679:Y679"/>
    <mergeCell ref="X681:Y681"/>
    <mergeCell ref="B684:C684"/>
    <mergeCell ref="F684:G684"/>
    <mergeCell ref="I684:J684"/>
    <mergeCell ref="T684:U684"/>
    <mergeCell ref="B682:C682"/>
    <mergeCell ref="F682:G682"/>
    <mergeCell ref="I682:J682"/>
    <mergeCell ref="T682:U682"/>
    <mergeCell ref="X684:Y684"/>
    <mergeCell ref="B681:C681"/>
    <mergeCell ref="F681:G681"/>
    <mergeCell ref="I681:J681"/>
    <mergeCell ref="T681:U681"/>
    <mergeCell ref="X682:Y682"/>
    <mergeCell ref="B683:C683"/>
    <mergeCell ref="F683:G683"/>
    <mergeCell ref="I683:J683"/>
    <mergeCell ref="T683:U683"/>
    <mergeCell ref="X683:Y683"/>
    <mergeCell ref="X685:Y685"/>
    <mergeCell ref="B688:C688"/>
    <mergeCell ref="F688:G688"/>
    <mergeCell ref="I688:J688"/>
    <mergeCell ref="T688:U688"/>
    <mergeCell ref="B686:C686"/>
    <mergeCell ref="F686:G686"/>
    <mergeCell ref="I686:J686"/>
    <mergeCell ref="T686:U686"/>
    <mergeCell ref="X688:Y688"/>
    <mergeCell ref="B685:C685"/>
    <mergeCell ref="F685:G685"/>
    <mergeCell ref="I685:J685"/>
    <mergeCell ref="T685:U685"/>
    <mergeCell ref="X686:Y686"/>
    <mergeCell ref="B687:C687"/>
    <mergeCell ref="F687:G687"/>
    <mergeCell ref="I687:J687"/>
    <mergeCell ref="T687:U687"/>
    <mergeCell ref="X687:Y687"/>
    <mergeCell ref="X689:Y689"/>
    <mergeCell ref="B692:C692"/>
    <mergeCell ref="F692:G692"/>
    <mergeCell ref="I692:J692"/>
    <mergeCell ref="T692:U692"/>
    <mergeCell ref="B690:C690"/>
    <mergeCell ref="F690:G690"/>
    <mergeCell ref="I690:J690"/>
    <mergeCell ref="T690:U690"/>
    <mergeCell ref="X692:Y692"/>
    <mergeCell ref="B689:C689"/>
    <mergeCell ref="F689:G689"/>
    <mergeCell ref="I689:J689"/>
    <mergeCell ref="T689:U689"/>
    <mergeCell ref="X690:Y690"/>
    <mergeCell ref="B691:C691"/>
    <mergeCell ref="F691:G691"/>
    <mergeCell ref="I691:J691"/>
    <mergeCell ref="T691:U691"/>
    <mergeCell ref="X691:Y691"/>
    <mergeCell ref="X693:Y693"/>
    <mergeCell ref="B696:C696"/>
    <mergeCell ref="F696:G696"/>
    <mergeCell ref="I696:J696"/>
    <mergeCell ref="T696:U696"/>
    <mergeCell ref="B694:C694"/>
    <mergeCell ref="F694:G694"/>
    <mergeCell ref="I694:J694"/>
    <mergeCell ref="T694:U694"/>
    <mergeCell ref="X696:Y696"/>
    <mergeCell ref="B693:C693"/>
    <mergeCell ref="F693:G693"/>
    <mergeCell ref="I693:J693"/>
    <mergeCell ref="T693:U693"/>
    <mergeCell ref="X694:Y694"/>
    <mergeCell ref="B695:C695"/>
    <mergeCell ref="F695:G695"/>
    <mergeCell ref="I695:J695"/>
    <mergeCell ref="T695:U695"/>
    <mergeCell ref="X695:Y695"/>
    <mergeCell ref="X697:Y697"/>
    <mergeCell ref="B700:C700"/>
    <mergeCell ref="F700:G700"/>
    <mergeCell ref="I700:J700"/>
    <mergeCell ref="T700:U700"/>
    <mergeCell ref="B698:C698"/>
    <mergeCell ref="F698:G698"/>
    <mergeCell ref="I698:J698"/>
    <mergeCell ref="T698:U698"/>
    <mergeCell ref="X700:Y700"/>
    <mergeCell ref="B697:C697"/>
    <mergeCell ref="F697:G697"/>
    <mergeCell ref="I697:J697"/>
    <mergeCell ref="T697:U697"/>
    <mergeCell ref="X698:Y698"/>
    <mergeCell ref="B699:C699"/>
    <mergeCell ref="F699:G699"/>
    <mergeCell ref="I699:J699"/>
    <mergeCell ref="T699:U699"/>
    <mergeCell ref="X699:Y699"/>
    <mergeCell ref="X701:Y701"/>
    <mergeCell ref="B704:C704"/>
    <mergeCell ref="F704:G704"/>
    <mergeCell ref="I704:J704"/>
    <mergeCell ref="T704:U704"/>
    <mergeCell ref="B702:C702"/>
    <mergeCell ref="F702:G702"/>
    <mergeCell ref="I702:J702"/>
    <mergeCell ref="T702:U702"/>
    <mergeCell ref="X704:Y704"/>
    <mergeCell ref="B701:C701"/>
    <mergeCell ref="F701:G701"/>
    <mergeCell ref="I701:J701"/>
    <mergeCell ref="T701:U701"/>
    <mergeCell ref="X702:Y702"/>
    <mergeCell ref="B703:C703"/>
    <mergeCell ref="F703:G703"/>
    <mergeCell ref="I703:J703"/>
    <mergeCell ref="T703:U703"/>
    <mergeCell ref="X703:Y703"/>
    <mergeCell ref="X705:Y705"/>
    <mergeCell ref="B708:C708"/>
    <mergeCell ref="F708:G708"/>
    <mergeCell ref="I708:J708"/>
    <mergeCell ref="T708:U708"/>
    <mergeCell ref="B706:C706"/>
    <mergeCell ref="F706:G706"/>
    <mergeCell ref="I706:J706"/>
    <mergeCell ref="T706:U706"/>
    <mergeCell ref="X708:Y708"/>
    <mergeCell ref="B705:C705"/>
    <mergeCell ref="F705:G705"/>
    <mergeCell ref="I705:J705"/>
    <mergeCell ref="T705:U705"/>
    <mergeCell ref="X706:Y706"/>
    <mergeCell ref="B707:C707"/>
    <mergeCell ref="F707:G707"/>
    <mergeCell ref="I707:J707"/>
    <mergeCell ref="T707:U707"/>
    <mergeCell ref="X707:Y707"/>
    <mergeCell ref="X709:Y709"/>
    <mergeCell ref="B712:C712"/>
    <mergeCell ref="F712:G712"/>
    <mergeCell ref="I712:J712"/>
    <mergeCell ref="T712:U712"/>
    <mergeCell ref="B710:C710"/>
    <mergeCell ref="F710:G710"/>
    <mergeCell ref="I710:J710"/>
    <mergeCell ref="T710:U710"/>
    <mergeCell ref="X712:Y712"/>
    <mergeCell ref="B709:C709"/>
    <mergeCell ref="F709:G709"/>
    <mergeCell ref="I709:J709"/>
    <mergeCell ref="T709:U709"/>
    <mergeCell ref="X710:Y710"/>
    <mergeCell ref="B711:C711"/>
    <mergeCell ref="F711:G711"/>
    <mergeCell ref="I711:J711"/>
    <mergeCell ref="T711:U711"/>
    <mergeCell ref="X711:Y711"/>
    <mergeCell ref="X713:Y713"/>
    <mergeCell ref="B716:C716"/>
    <mergeCell ref="F716:G716"/>
    <mergeCell ref="I716:J716"/>
    <mergeCell ref="T716:U716"/>
    <mergeCell ref="B714:C714"/>
    <mergeCell ref="F714:G714"/>
    <mergeCell ref="I714:J714"/>
    <mergeCell ref="T714:U714"/>
    <mergeCell ref="X716:Y716"/>
    <mergeCell ref="B713:C713"/>
    <mergeCell ref="F713:G713"/>
    <mergeCell ref="I713:J713"/>
    <mergeCell ref="T713:U713"/>
    <mergeCell ref="X714:Y714"/>
    <mergeCell ref="B715:C715"/>
    <mergeCell ref="F715:G715"/>
    <mergeCell ref="I715:J715"/>
    <mergeCell ref="T715:U715"/>
    <mergeCell ref="X715:Y715"/>
    <mergeCell ref="I726:J726"/>
    <mergeCell ref="T726:U726"/>
    <mergeCell ref="X717:Y717"/>
    <mergeCell ref="B720:C720"/>
    <mergeCell ref="F720:G720"/>
    <mergeCell ref="I720:J720"/>
    <mergeCell ref="T720:U720"/>
    <mergeCell ref="B718:C718"/>
    <mergeCell ref="F718:G718"/>
    <mergeCell ref="I718:J718"/>
    <mergeCell ref="T718:U718"/>
    <mergeCell ref="X720:Y720"/>
    <mergeCell ref="B717:C717"/>
    <mergeCell ref="F717:G717"/>
    <mergeCell ref="I717:J717"/>
    <mergeCell ref="T717:U717"/>
    <mergeCell ref="X718:Y718"/>
    <mergeCell ref="B719:C719"/>
    <mergeCell ref="F719:G719"/>
    <mergeCell ref="I719:J719"/>
    <mergeCell ref="T719:U719"/>
    <mergeCell ref="X719:Y719"/>
    <mergeCell ref="T731:U731"/>
    <mergeCell ref="X731:Y731"/>
    <mergeCell ref="T732:U732"/>
    <mergeCell ref="B730:C730"/>
    <mergeCell ref="F730:G730"/>
    <mergeCell ref="X721:Y721"/>
    <mergeCell ref="B724:C724"/>
    <mergeCell ref="F724:G724"/>
    <mergeCell ref="I724:J724"/>
    <mergeCell ref="T724:U724"/>
    <mergeCell ref="B722:C722"/>
    <mergeCell ref="F722:G722"/>
    <mergeCell ref="I722:J722"/>
    <mergeCell ref="T722:U722"/>
    <mergeCell ref="X724:Y724"/>
    <mergeCell ref="B721:C721"/>
    <mergeCell ref="F721:G721"/>
    <mergeCell ref="I721:J721"/>
    <mergeCell ref="T721:U721"/>
    <mergeCell ref="X722:Y722"/>
    <mergeCell ref="B723:C723"/>
    <mergeCell ref="F723:G723"/>
    <mergeCell ref="I723:J723"/>
    <mergeCell ref="T723:U723"/>
    <mergeCell ref="X723:Y723"/>
    <mergeCell ref="X725:Y725"/>
    <mergeCell ref="B728:C728"/>
    <mergeCell ref="F728:G728"/>
    <mergeCell ref="I728:J728"/>
    <mergeCell ref="T728:U728"/>
    <mergeCell ref="B726:C726"/>
    <mergeCell ref="F726:G726"/>
    <mergeCell ref="X739:Y739"/>
    <mergeCell ref="I738:J738"/>
    <mergeCell ref="T738:U738"/>
    <mergeCell ref="T735:U735"/>
    <mergeCell ref="X735:Y735"/>
    <mergeCell ref="X737:Y737"/>
    <mergeCell ref="X729:Y729"/>
    <mergeCell ref="B732:C732"/>
    <mergeCell ref="F732:G732"/>
    <mergeCell ref="I732:J732"/>
    <mergeCell ref="X728:Y728"/>
    <mergeCell ref="B725:C725"/>
    <mergeCell ref="F725:G725"/>
    <mergeCell ref="I725:J725"/>
    <mergeCell ref="T725:U725"/>
    <mergeCell ref="X726:Y726"/>
    <mergeCell ref="B727:C727"/>
    <mergeCell ref="F727:G727"/>
    <mergeCell ref="I727:J727"/>
    <mergeCell ref="T727:U727"/>
    <mergeCell ref="X727:Y727"/>
    <mergeCell ref="I730:J730"/>
    <mergeCell ref="T730:U730"/>
    <mergeCell ref="X732:Y732"/>
    <mergeCell ref="B729:C729"/>
    <mergeCell ref="F729:G729"/>
    <mergeCell ref="I729:J729"/>
    <mergeCell ref="T729:U729"/>
    <mergeCell ref="X730:Y730"/>
    <mergeCell ref="B731:C731"/>
    <mergeCell ref="F731:G731"/>
    <mergeCell ref="I731:J731"/>
    <mergeCell ref="T744:U744"/>
    <mergeCell ref="X733:Y733"/>
    <mergeCell ref="B736:C736"/>
    <mergeCell ref="F736:G736"/>
    <mergeCell ref="I736:J736"/>
    <mergeCell ref="T736:U736"/>
    <mergeCell ref="X740:Y740"/>
    <mergeCell ref="B733:C733"/>
    <mergeCell ref="F733:G733"/>
    <mergeCell ref="I733:J733"/>
    <mergeCell ref="T733:U733"/>
    <mergeCell ref="X742:Y742"/>
    <mergeCell ref="B734:C734"/>
    <mergeCell ref="F734:G734"/>
    <mergeCell ref="I734:J734"/>
    <mergeCell ref="T734:U734"/>
    <mergeCell ref="X738:Y738"/>
    <mergeCell ref="F738:G738"/>
    <mergeCell ref="B739:C739"/>
    <mergeCell ref="B735:C735"/>
    <mergeCell ref="F735:G735"/>
    <mergeCell ref="I735:J735"/>
    <mergeCell ref="X744:Y744"/>
    <mergeCell ref="T737:U737"/>
    <mergeCell ref="B738:C738"/>
    <mergeCell ref="B740:C740"/>
    <mergeCell ref="F740:G740"/>
    <mergeCell ref="I740:J740"/>
    <mergeCell ref="T740:U740"/>
    <mergeCell ref="F739:G739"/>
    <mergeCell ref="I739:J739"/>
    <mergeCell ref="T739:U739"/>
    <mergeCell ref="X745:Y745"/>
    <mergeCell ref="F744:G744"/>
    <mergeCell ref="X743:Y743"/>
    <mergeCell ref="X734:Y734"/>
    <mergeCell ref="B747:C747"/>
    <mergeCell ref="F747:G747"/>
    <mergeCell ref="I747:J747"/>
    <mergeCell ref="T747:U747"/>
    <mergeCell ref="X747:Y747"/>
    <mergeCell ref="B741:C741"/>
    <mergeCell ref="F741:G741"/>
    <mergeCell ref="I741:J741"/>
    <mergeCell ref="T741:U741"/>
    <mergeCell ref="X741:Y741"/>
    <mergeCell ref="B745:C745"/>
    <mergeCell ref="F745:G745"/>
    <mergeCell ref="I745:J745"/>
    <mergeCell ref="T745:U745"/>
    <mergeCell ref="B743:C743"/>
    <mergeCell ref="F743:G743"/>
    <mergeCell ref="I743:J743"/>
    <mergeCell ref="T743:U743"/>
    <mergeCell ref="B744:C744"/>
    <mergeCell ref="X736:Y736"/>
    <mergeCell ref="B737:C737"/>
    <mergeCell ref="F737:G737"/>
    <mergeCell ref="I737:J737"/>
    <mergeCell ref="B742:C742"/>
    <mergeCell ref="F742:G742"/>
    <mergeCell ref="I742:J742"/>
    <mergeCell ref="T742:U742"/>
    <mergeCell ref="I744:J744"/>
    <mergeCell ref="X749:Y749"/>
    <mergeCell ref="B746:C746"/>
    <mergeCell ref="F746:G746"/>
    <mergeCell ref="V750:AA750"/>
    <mergeCell ref="B748:C748"/>
    <mergeCell ref="F748:G748"/>
    <mergeCell ref="I748:J748"/>
    <mergeCell ref="T748:U748"/>
    <mergeCell ref="X748:Y748"/>
    <mergeCell ref="B749:C749"/>
    <mergeCell ref="F749:G749"/>
    <mergeCell ref="I749:J749"/>
    <mergeCell ref="T749:U749"/>
    <mergeCell ref="B750:C750"/>
    <mergeCell ref="F750:G750"/>
    <mergeCell ref="I750:J750"/>
    <mergeCell ref="T750:U750"/>
    <mergeCell ref="I746:J746"/>
    <mergeCell ref="T746:U746"/>
    <mergeCell ref="X746:Y746"/>
  </mergeCells>
  <phoneticPr fontId="81" type="noConversion"/>
  <pageMargins left="0.75" right="0.75" top="1" bottom="1" header="0.5" footer="0.5"/>
  <pageSetup orientation="landscape" horizontalDpi="0" verticalDpi="0" r:id="rId1"/>
  <headerFooter>
    <oddFooter xml:space="preserve">&amp;L&amp;"Arial"&amp;6 Fecha de Imp.: 26/05/2009 Hora: 06:07:20 p.m. &amp;C&amp;Z&amp;"Arial"&amp;6 Página: 1 </oddFooter>
  </headerFooter>
  <drawing r:id="rId2"/>
</worksheet>
</file>

<file path=xl/worksheets/sheet13.xml><?xml version="1.0" encoding="utf-8"?>
<worksheet xmlns="http://schemas.openxmlformats.org/spreadsheetml/2006/main" xmlns:r="http://schemas.openxmlformats.org/officeDocument/2006/relationships">
  <sheetPr codeName="Hoja10">
    <outlinePr summaryBelow="0" summaryRight="0"/>
  </sheetPr>
  <dimension ref="A1:AC751"/>
  <sheetViews>
    <sheetView showGridLines="0" workbookViewId="0">
      <pane xSplit="4" ySplit="16" topLeftCell="H17" activePane="bottomRight" state="frozen"/>
      <selection pane="topRight" activeCell="E1" sqref="E1"/>
      <selection pane="bottomLeft" activeCell="A17" sqref="A17"/>
      <selection pane="bottomRight"/>
    </sheetView>
  </sheetViews>
  <sheetFormatPr baseColWidth="10" defaultColWidth="11.44140625" defaultRowHeight="14.4"/>
  <cols>
    <col min="1" max="1" width="0.109375" style="216" customWidth="1"/>
    <col min="2" max="2" width="0.88671875" style="216" customWidth="1"/>
    <col min="3" max="3" width="8.33203125" style="216" customWidth="1"/>
    <col min="4" max="4" width="0.44140625" style="216" customWidth="1"/>
    <col min="5" max="5" width="9.109375" style="216" customWidth="1"/>
    <col min="6" max="6" width="0.88671875" style="216" customWidth="1"/>
    <col min="7" max="7" width="6" style="216" customWidth="1"/>
    <col min="8" max="8" width="9.109375" style="216" customWidth="1"/>
    <col min="9" max="9" width="2.5546875" style="216" customWidth="1"/>
    <col min="10" max="10" width="4.33203125" style="216" customWidth="1"/>
    <col min="11" max="11" width="9.109375" style="216" customWidth="1"/>
    <col min="12" max="12" width="7" style="216" customWidth="1"/>
    <col min="13" max="13" width="9.109375" style="216" customWidth="1"/>
    <col min="14" max="14" width="7.109375" style="216" customWidth="1"/>
    <col min="15" max="15" width="7" style="216" customWidth="1"/>
    <col min="16" max="16" width="0.44140625" style="216" customWidth="1"/>
    <col min="17" max="17" width="8" style="216" customWidth="1"/>
    <col min="18" max="18" width="7" style="216" customWidth="1"/>
    <col min="19" max="19" width="8" style="216" customWidth="1"/>
    <col min="20" max="20" width="2.5546875" style="216" customWidth="1"/>
    <col min="21" max="21" width="4.33203125" style="216" customWidth="1"/>
    <col min="22" max="22" width="7" style="216" customWidth="1"/>
    <col min="23" max="23" width="0.44140625" style="216" customWidth="1"/>
    <col min="24" max="24" width="5.6640625" style="216" customWidth="1"/>
    <col min="25" max="25" width="1.33203125" style="216" customWidth="1"/>
    <col min="26" max="26" width="0.44140625" style="216" customWidth="1"/>
    <col min="27" max="27" width="11.109375" style="216" bestFit="1" customWidth="1"/>
    <col min="28" max="28" width="8.44140625" style="216" customWidth="1"/>
    <col min="29" max="29" width="0.33203125" style="216" customWidth="1"/>
    <col min="30" max="16384" width="11.44140625" style="216"/>
  </cols>
  <sheetData>
    <row r="1" spans="1:29">
      <c r="A1" s="215"/>
      <c r="B1" s="215"/>
      <c r="C1" s="215"/>
      <c r="D1" s="215"/>
      <c r="E1" s="215"/>
      <c r="F1" s="215"/>
      <c r="G1" s="215"/>
      <c r="H1" s="215"/>
      <c r="I1" s="215"/>
      <c r="J1" s="215"/>
      <c r="K1" s="215"/>
      <c r="L1" s="215"/>
      <c r="M1" s="215"/>
      <c r="N1" s="215"/>
      <c r="O1" s="215"/>
      <c r="P1" s="215"/>
      <c r="Q1" s="215"/>
      <c r="R1" s="215"/>
      <c r="S1" s="215"/>
      <c r="T1" s="215"/>
      <c r="U1" s="215"/>
      <c r="V1" s="215"/>
      <c r="W1" s="215"/>
      <c r="X1" s="215"/>
      <c r="Y1" s="215"/>
      <c r="Z1" s="215"/>
      <c r="AA1" s="215"/>
      <c r="AB1" s="215"/>
      <c r="AC1" s="215"/>
    </row>
    <row r="2" spans="1:29">
      <c r="A2" s="215"/>
      <c r="B2" s="215"/>
      <c r="C2" s="537"/>
      <c r="D2" s="537"/>
      <c r="E2" s="537"/>
      <c r="F2" s="537"/>
      <c r="G2" s="215"/>
      <c r="H2" s="215"/>
      <c r="I2" s="215"/>
      <c r="J2" s="215"/>
      <c r="K2" s="215"/>
      <c r="L2" s="215"/>
      <c r="M2" s="215"/>
      <c r="N2" s="215"/>
      <c r="O2" s="215"/>
      <c r="P2" s="215"/>
      <c r="Q2" s="215"/>
      <c r="R2" s="215"/>
      <c r="S2" s="215"/>
      <c r="T2" s="215"/>
      <c r="U2" s="215"/>
      <c r="V2" s="215"/>
      <c r="W2" s="215"/>
      <c r="X2" s="215"/>
      <c r="Y2" s="215"/>
      <c r="Z2" s="215"/>
      <c r="AA2" s="215"/>
      <c r="AB2" s="215"/>
      <c r="AC2" s="215"/>
    </row>
    <row r="3" spans="1:29">
      <c r="A3" s="215"/>
      <c r="B3" s="215"/>
      <c r="C3" s="537"/>
      <c r="D3" s="537"/>
      <c r="E3" s="537"/>
      <c r="F3" s="537"/>
      <c r="G3" s="215"/>
      <c r="H3" s="215"/>
      <c r="I3" s="215"/>
      <c r="J3" s="244"/>
      <c r="K3" s="244"/>
      <c r="L3" s="244"/>
      <c r="M3" s="244"/>
      <c r="N3" s="244"/>
      <c r="O3" s="244"/>
      <c r="P3" s="244"/>
      <c r="Q3" s="244"/>
      <c r="R3" s="244"/>
      <c r="S3" s="244"/>
      <c r="T3" s="244"/>
      <c r="U3" s="215"/>
      <c r="V3" s="215"/>
      <c r="W3" s="215"/>
      <c r="X3" s="215"/>
      <c r="Y3" s="537"/>
      <c r="Z3" s="537"/>
      <c r="AA3" s="537"/>
      <c r="AB3" s="537"/>
      <c r="AC3" s="215"/>
    </row>
    <row r="4" spans="1:29" ht="13.5" customHeight="1">
      <c r="A4" s="215"/>
      <c r="B4" s="215"/>
      <c r="C4" s="537"/>
      <c r="D4" s="537"/>
      <c r="E4" s="537"/>
      <c r="F4" s="537"/>
      <c r="G4" s="215"/>
      <c r="H4" s="215"/>
      <c r="I4" s="215"/>
      <c r="J4" s="538" t="s">
        <v>386</v>
      </c>
      <c r="K4" s="538"/>
      <c r="L4" s="538"/>
      <c r="M4" s="538"/>
      <c r="N4" s="538"/>
      <c r="O4" s="538"/>
      <c r="P4" s="538"/>
      <c r="Q4" s="538"/>
      <c r="R4" s="538"/>
      <c r="S4" s="538"/>
      <c r="T4" s="538"/>
      <c r="U4" s="215"/>
      <c r="V4" s="215"/>
      <c r="W4" s="215"/>
      <c r="X4" s="215"/>
      <c r="Y4" s="537"/>
      <c r="Z4" s="537"/>
      <c r="AA4" s="537"/>
      <c r="AB4" s="537"/>
      <c r="AC4" s="215"/>
    </row>
    <row r="5" spans="1:29" ht="13.5" customHeight="1">
      <c r="A5" s="215"/>
      <c r="B5" s="215"/>
      <c r="C5" s="537"/>
      <c r="D5" s="537"/>
      <c r="E5" s="537"/>
      <c r="F5" s="537"/>
      <c r="G5" s="215"/>
      <c r="H5" s="215"/>
      <c r="I5" s="215"/>
      <c r="J5" s="538" t="s">
        <v>387</v>
      </c>
      <c r="K5" s="538"/>
      <c r="L5" s="538"/>
      <c r="M5" s="538"/>
      <c r="N5" s="538"/>
      <c r="O5" s="538"/>
      <c r="P5" s="538"/>
      <c r="Q5" s="538"/>
      <c r="R5" s="538"/>
      <c r="S5" s="538"/>
      <c r="T5" s="538"/>
      <c r="U5" s="215"/>
      <c r="V5" s="215"/>
      <c r="W5" s="215"/>
      <c r="X5" s="215"/>
      <c r="Y5" s="537"/>
      <c r="Z5" s="537"/>
      <c r="AA5" s="537"/>
      <c r="AB5" s="537"/>
      <c r="AC5" s="215"/>
    </row>
    <row r="6" spans="1:29" ht="13.5" customHeight="1">
      <c r="A6" s="215"/>
      <c r="B6" s="215"/>
      <c r="C6" s="537"/>
      <c r="D6" s="537"/>
      <c r="E6" s="537"/>
      <c r="F6" s="537"/>
      <c r="G6" s="215"/>
      <c r="H6" s="215"/>
      <c r="I6" s="215"/>
      <c r="J6" s="538" t="s">
        <v>388</v>
      </c>
      <c r="K6" s="538"/>
      <c r="L6" s="538"/>
      <c r="M6" s="538"/>
      <c r="N6" s="538"/>
      <c r="O6" s="538"/>
      <c r="P6" s="538"/>
      <c r="Q6" s="538"/>
      <c r="R6" s="538"/>
      <c r="S6" s="538"/>
      <c r="T6" s="538"/>
      <c r="U6" s="215"/>
      <c r="V6" s="215"/>
      <c r="W6" s="215"/>
      <c r="X6" s="215"/>
      <c r="Y6" s="537"/>
      <c r="Z6" s="537"/>
      <c r="AA6" s="537"/>
      <c r="AB6" s="537"/>
      <c r="AC6" s="215"/>
    </row>
    <row r="7" spans="1:29" ht="9.75" customHeight="1">
      <c r="A7" s="215"/>
      <c r="B7" s="215"/>
      <c r="C7" s="537"/>
      <c r="D7" s="537"/>
      <c r="E7" s="537"/>
      <c r="F7" s="537"/>
      <c r="G7" s="215"/>
      <c r="H7" s="215"/>
      <c r="I7" s="215"/>
      <c r="U7" s="215"/>
      <c r="V7" s="215"/>
      <c r="W7" s="215"/>
      <c r="X7" s="215"/>
      <c r="Y7" s="537"/>
      <c r="Z7" s="537"/>
      <c r="AA7" s="537"/>
      <c r="AB7" s="537"/>
      <c r="AC7" s="215"/>
    </row>
    <row r="8" spans="1:29" ht="0.75" customHeight="1">
      <c r="A8" s="215"/>
      <c r="B8" s="215"/>
      <c r="C8" s="215"/>
      <c r="D8" s="215"/>
      <c r="E8" s="215"/>
      <c r="F8" s="215"/>
      <c r="G8" s="215"/>
      <c r="H8" s="215"/>
      <c r="I8" s="215"/>
      <c r="J8" s="215"/>
      <c r="K8" s="215"/>
      <c r="L8" s="215"/>
      <c r="M8" s="215"/>
      <c r="N8" s="215"/>
      <c r="O8" s="215"/>
      <c r="P8" s="215"/>
      <c r="Q8" s="215"/>
      <c r="R8" s="215"/>
      <c r="S8" s="215"/>
      <c r="T8" s="215"/>
      <c r="U8" s="215"/>
      <c r="V8" s="215"/>
      <c r="W8" s="215"/>
      <c r="X8" s="215"/>
      <c r="Y8" s="537"/>
      <c r="Z8" s="537"/>
      <c r="AA8" s="537"/>
      <c r="AB8" s="537"/>
      <c r="AC8" s="215"/>
    </row>
    <row r="9" spans="1:29" ht="3" customHeight="1" thickBot="1">
      <c r="A9" s="215"/>
      <c r="B9" s="215"/>
      <c r="C9" s="215"/>
      <c r="D9" s="215"/>
      <c r="E9" s="215"/>
      <c r="F9" s="215"/>
      <c r="G9" s="215"/>
      <c r="H9" s="215"/>
      <c r="I9" s="215"/>
      <c r="J9" s="215"/>
      <c r="K9" s="215"/>
      <c r="L9" s="215"/>
      <c r="M9" s="215"/>
      <c r="N9" s="215"/>
      <c r="O9" s="215"/>
      <c r="P9" s="215"/>
      <c r="Q9" s="215"/>
      <c r="R9" s="215"/>
      <c r="S9" s="215"/>
      <c r="T9" s="215"/>
      <c r="U9" s="215"/>
      <c r="V9" s="215"/>
      <c r="W9" s="215"/>
      <c r="X9" s="215"/>
      <c r="Y9" s="215"/>
      <c r="Z9" s="215"/>
      <c r="AA9" s="215"/>
      <c r="AB9" s="215"/>
      <c r="AC9" s="215"/>
    </row>
    <row r="10" spans="1:29" ht="0.75" customHeight="1">
      <c r="A10" s="546"/>
      <c r="B10" s="546"/>
      <c r="C10" s="546"/>
      <c r="D10" s="546"/>
      <c r="E10" s="546"/>
      <c r="F10" s="546"/>
      <c r="G10" s="546"/>
      <c r="H10" s="546"/>
      <c r="I10" s="546"/>
      <c r="J10" s="546"/>
      <c r="K10" s="546"/>
      <c r="L10" s="546"/>
      <c r="M10" s="546"/>
      <c r="N10" s="546"/>
      <c r="O10" s="546"/>
      <c r="P10" s="546"/>
      <c r="Q10" s="546"/>
      <c r="R10" s="546"/>
      <c r="S10" s="546"/>
      <c r="T10" s="546"/>
      <c r="U10" s="546"/>
      <c r="V10" s="546"/>
      <c r="W10" s="546"/>
      <c r="X10" s="546"/>
      <c r="Y10" s="546"/>
      <c r="Z10" s="546"/>
      <c r="AA10" s="546"/>
      <c r="AB10" s="546"/>
      <c r="AC10" s="215"/>
    </row>
    <row r="11" spans="1:29" ht="6" customHeight="1">
      <c r="A11" s="215"/>
      <c r="B11" s="215"/>
      <c r="C11" s="215"/>
      <c r="D11" s="215"/>
      <c r="E11" s="215"/>
      <c r="F11" s="215"/>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row>
    <row r="12" spans="1:29" ht="13.5" customHeight="1">
      <c r="A12" s="215"/>
      <c r="B12" s="215"/>
      <c r="C12" s="215"/>
      <c r="D12" s="215"/>
      <c r="E12" s="215"/>
      <c r="F12" s="215"/>
      <c r="G12" s="215"/>
      <c r="H12" s="215"/>
      <c r="I12" s="215"/>
      <c r="J12" s="215"/>
      <c r="K12" s="215"/>
      <c r="L12" s="215"/>
      <c r="M12" s="215"/>
      <c r="N12" s="215"/>
      <c r="O12" s="215"/>
      <c r="P12" s="215"/>
      <c r="Q12" s="215"/>
      <c r="R12" s="215"/>
      <c r="S12" s="215"/>
      <c r="T12" s="215"/>
      <c r="U12" s="215"/>
      <c r="V12" s="215"/>
      <c r="W12" s="215"/>
      <c r="X12" s="215"/>
      <c r="Y12" s="215"/>
      <c r="Z12" s="215"/>
      <c r="AA12" s="215"/>
      <c r="AB12" s="215"/>
      <c r="AC12" s="215"/>
    </row>
    <row r="13" spans="1:29" ht="19.5" customHeight="1">
      <c r="A13" s="215"/>
      <c r="B13" s="542" t="s">
        <v>212</v>
      </c>
      <c r="C13" s="542"/>
      <c r="D13" s="217" t="s">
        <v>212</v>
      </c>
      <c r="E13" s="539" t="s">
        <v>392</v>
      </c>
      <c r="F13" s="540"/>
      <c r="G13" s="540"/>
      <c r="H13" s="540"/>
      <c r="I13" s="540"/>
      <c r="J13" s="540"/>
      <c r="K13" s="540"/>
      <c r="L13" s="540"/>
      <c r="M13" s="540"/>
      <c r="N13" s="540"/>
      <c r="O13" s="540"/>
      <c r="P13" s="218" t="s">
        <v>212</v>
      </c>
      <c r="Q13" s="539" t="s">
        <v>391</v>
      </c>
      <c r="R13" s="540"/>
      <c r="S13" s="540"/>
      <c r="T13" s="540"/>
      <c r="U13" s="540"/>
      <c r="V13" s="540"/>
      <c r="W13" s="218" t="s">
        <v>212</v>
      </c>
      <c r="X13" s="541" t="s">
        <v>212</v>
      </c>
      <c r="Y13" s="541"/>
      <c r="Z13" s="218" t="s">
        <v>212</v>
      </c>
      <c r="AA13" s="539" t="s">
        <v>395</v>
      </c>
      <c r="AB13" s="540"/>
      <c r="AC13" s="215"/>
    </row>
    <row r="14" spans="1:29" ht="17.25" customHeight="1">
      <c r="A14" s="215"/>
      <c r="B14" s="523" t="s">
        <v>212</v>
      </c>
      <c r="C14" s="523"/>
      <c r="D14" s="219" t="s">
        <v>212</v>
      </c>
      <c r="E14" s="526" t="s">
        <v>136</v>
      </c>
      <c r="F14" s="526"/>
      <c r="G14" s="526"/>
      <c r="H14" s="526" t="s">
        <v>137</v>
      </c>
      <c r="I14" s="526"/>
      <c r="J14" s="526"/>
      <c r="K14" s="526" t="s">
        <v>138</v>
      </c>
      <c r="L14" s="526"/>
      <c r="M14" s="526" t="s">
        <v>139</v>
      </c>
      <c r="N14" s="526"/>
      <c r="O14" s="220" t="s">
        <v>212</v>
      </c>
      <c r="P14" s="221" t="s">
        <v>212</v>
      </c>
      <c r="Q14" s="526" t="s">
        <v>140</v>
      </c>
      <c r="R14" s="526"/>
      <c r="S14" s="526" t="s">
        <v>141</v>
      </c>
      <c r="T14" s="526"/>
      <c r="U14" s="526"/>
      <c r="V14" s="220" t="s">
        <v>212</v>
      </c>
      <c r="W14" s="221" t="s">
        <v>212</v>
      </c>
      <c r="X14" s="543" t="s">
        <v>212</v>
      </c>
      <c r="Y14" s="543"/>
      <c r="Z14" s="221" t="s">
        <v>212</v>
      </c>
      <c r="AA14" s="220" t="s">
        <v>212</v>
      </c>
      <c r="AB14" s="220" t="s">
        <v>212</v>
      </c>
      <c r="AC14" s="215"/>
    </row>
    <row r="15" spans="1:29" ht="35.25" customHeight="1">
      <c r="A15" s="215"/>
      <c r="B15" s="525" t="s">
        <v>401</v>
      </c>
      <c r="C15" s="526"/>
      <c r="D15" s="222" t="s">
        <v>212</v>
      </c>
      <c r="E15" s="223" t="s">
        <v>389</v>
      </c>
      <c r="F15" s="526" t="s">
        <v>404</v>
      </c>
      <c r="G15" s="526"/>
      <c r="H15" s="223" t="s">
        <v>389</v>
      </c>
      <c r="I15" s="526" t="s">
        <v>404</v>
      </c>
      <c r="J15" s="526"/>
      <c r="K15" s="223" t="s">
        <v>389</v>
      </c>
      <c r="L15" s="223" t="s">
        <v>404</v>
      </c>
      <c r="M15" s="223" t="s">
        <v>389</v>
      </c>
      <c r="N15" s="223" t="s">
        <v>404</v>
      </c>
      <c r="O15" s="223" t="s">
        <v>142</v>
      </c>
      <c r="P15" s="222" t="s">
        <v>212</v>
      </c>
      <c r="Q15" s="223" t="s">
        <v>390</v>
      </c>
      <c r="R15" s="223" t="s">
        <v>404</v>
      </c>
      <c r="S15" s="223" t="s">
        <v>390</v>
      </c>
      <c r="T15" s="526" t="s">
        <v>404</v>
      </c>
      <c r="U15" s="526"/>
      <c r="V15" s="223" t="s">
        <v>143</v>
      </c>
      <c r="W15" s="222" t="s">
        <v>212</v>
      </c>
      <c r="X15" s="544" t="s">
        <v>393</v>
      </c>
      <c r="Y15" s="545"/>
      <c r="Z15" s="222" t="s">
        <v>212</v>
      </c>
      <c r="AA15" s="223" t="s">
        <v>144</v>
      </c>
      <c r="AB15" s="223" t="s">
        <v>394</v>
      </c>
      <c r="AC15" s="215"/>
    </row>
    <row r="16" spans="1:29" ht="2.25" customHeight="1">
      <c r="A16" s="215"/>
      <c r="B16" s="529" t="s">
        <v>212</v>
      </c>
      <c r="C16" s="529"/>
      <c r="D16" s="219" t="s">
        <v>212</v>
      </c>
      <c r="E16" s="222" t="s">
        <v>212</v>
      </c>
      <c r="F16" s="531" t="s">
        <v>212</v>
      </c>
      <c r="G16" s="531"/>
      <c r="H16" s="222" t="s">
        <v>212</v>
      </c>
      <c r="I16" s="531" t="s">
        <v>212</v>
      </c>
      <c r="J16" s="531"/>
      <c r="K16" s="222" t="s">
        <v>212</v>
      </c>
      <c r="L16" s="222" t="s">
        <v>212</v>
      </c>
      <c r="M16" s="222" t="s">
        <v>212</v>
      </c>
      <c r="N16" s="222" t="s">
        <v>212</v>
      </c>
      <c r="O16" s="222" t="s">
        <v>212</v>
      </c>
      <c r="P16" s="222" t="s">
        <v>212</v>
      </c>
      <c r="Q16" s="222" t="s">
        <v>212</v>
      </c>
      <c r="R16" s="222" t="s">
        <v>212</v>
      </c>
      <c r="S16" s="222" t="s">
        <v>212</v>
      </c>
      <c r="T16" s="531" t="s">
        <v>212</v>
      </c>
      <c r="U16" s="531"/>
      <c r="V16" s="222" t="s">
        <v>212</v>
      </c>
      <c r="W16" s="222" t="s">
        <v>212</v>
      </c>
      <c r="X16" s="531" t="s">
        <v>212</v>
      </c>
      <c r="Y16" s="531"/>
      <c r="Z16" s="222" t="s">
        <v>212</v>
      </c>
      <c r="AA16" s="222" t="s">
        <v>212</v>
      </c>
      <c r="AB16" s="222" t="s">
        <v>212</v>
      </c>
      <c r="AC16" s="215"/>
    </row>
    <row r="17" spans="1:29" ht="13.5" customHeight="1">
      <c r="A17" s="215"/>
      <c r="B17" s="532">
        <v>39083</v>
      </c>
      <c r="C17" s="532"/>
      <c r="D17" s="219" t="s">
        <v>212</v>
      </c>
      <c r="E17" s="224">
        <v>272</v>
      </c>
      <c r="F17" s="533">
        <v>24</v>
      </c>
      <c r="G17" s="533"/>
      <c r="H17" s="224">
        <v>153.1</v>
      </c>
      <c r="I17" s="533">
        <v>24</v>
      </c>
      <c r="J17" s="533"/>
      <c r="K17" s="224">
        <v>231.8</v>
      </c>
      <c r="L17" s="225">
        <v>24</v>
      </c>
      <c r="M17" s="224">
        <v>0</v>
      </c>
      <c r="N17" s="225">
        <v>0</v>
      </c>
      <c r="O17" s="226">
        <v>656.9</v>
      </c>
      <c r="P17" s="222" t="s">
        <v>212</v>
      </c>
      <c r="Q17" s="224">
        <v>0</v>
      </c>
      <c r="R17" s="225">
        <v>0</v>
      </c>
      <c r="S17" s="224">
        <v>0</v>
      </c>
      <c r="T17" s="533">
        <v>0</v>
      </c>
      <c r="U17" s="533"/>
      <c r="V17" s="224">
        <v>0</v>
      </c>
      <c r="W17" s="222" t="s">
        <v>212</v>
      </c>
      <c r="X17" s="534">
        <v>656.9</v>
      </c>
      <c r="Y17" s="534"/>
      <c r="Z17" s="222" t="s">
        <v>212</v>
      </c>
      <c r="AA17" s="227">
        <v>6729600</v>
      </c>
      <c r="AB17" s="228">
        <v>123715</v>
      </c>
      <c r="AC17" s="215"/>
    </row>
    <row r="18" spans="1:29" ht="2.25" customHeight="1">
      <c r="A18" s="215"/>
      <c r="B18" s="529" t="s">
        <v>212</v>
      </c>
      <c r="C18" s="529"/>
      <c r="D18" s="219" t="s">
        <v>212</v>
      </c>
      <c r="E18" s="222" t="s">
        <v>212</v>
      </c>
      <c r="F18" s="531" t="s">
        <v>212</v>
      </c>
      <c r="G18" s="531"/>
      <c r="H18" s="222" t="s">
        <v>212</v>
      </c>
      <c r="I18" s="531" t="s">
        <v>212</v>
      </c>
      <c r="J18" s="531"/>
      <c r="K18" s="222" t="s">
        <v>212</v>
      </c>
      <c r="L18" s="222" t="s">
        <v>212</v>
      </c>
      <c r="M18" s="222" t="s">
        <v>212</v>
      </c>
      <c r="N18" s="222" t="s">
        <v>212</v>
      </c>
      <c r="O18" s="222" t="s">
        <v>212</v>
      </c>
      <c r="P18" s="222" t="s">
        <v>212</v>
      </c>
      <c r="Q18" s="222" t="s">
        <v>212</v>
      </c>
      <c r="R18" s="222" t="s">
        <v>212</v>
      </c>
      <c r="S18" s="222" t="s">
        <v>212</v>
      </c>
      <c r="T18" s="531" t="s">
        <v>212</v>
      </c>
      <c r="U18" s="531"/>
      <c r="V18" s="222" t="s">
        <v>212</v>
      </c>
      <c r="W18" s="222" t="s">
        <v>212</v>
      </c>
      <c r="X18" s="531" t="s">
        <v>212</v>
      </c>
      <c r="Y18" s="531"/>
      <c r="Z18" s="222" t="s">
        <v>212</v>
      </c>
      <c r="AA18" s="222" t="s">
        <v>212</v>
      </c>
      <c r="AB18" s="222" t="s">
        <v>212</v>
      </c>
      <c r="AC18" s="215"/>
    </row>
    <row r="19" spans="1:29" ht="13.5" customHeight="1">
      <c r="A19" s="215"/>
      <c r="B19" s="535">
        <v>39084</v>
      </c>
      <c r="C19" s="535"/>
      <c r="D19" s="219" t="s">
        <v>212</v>
      </c>
      <c r="E19" s="229">
        <v>145.5</v>
      </c>
      <c r="F19" s="536">
        <v>24</v>
      </c>
      <c r="G19" s="536"/>
      <c r="H19" s="229">
        <v>231</v>
      </c>
      <c r="I19" s="536">
        <v>24</v>
      </c>
      <c r="J19" s="536"/>
      <c r="K19" s="229">
        <v>140.5</v>
      </c>
      <c r="L19" s="230">
        <v>24</v>
      </c>
      <c r="M19" s="229">
        <v>0</v>
      </c>
      <c r="N19" s="230">
        <v>0</v>
      </c>
      <c r="O19" s="231">
        <v>517</v>
      </c>
      <c r="P19" s="222" t="s">
        <v>212</v>
      </c>
      <c r="Q19" s="229">
        <v>0</v>
      </c>
      <c r="R19" s="230">
        <v>0</v>
      </c>
      <c r="S19" s="229">
        <v>0</v>
      </c>
      <c r="T19" s="536">
        <v>0</v>
      </c>
      <c r="U19" s="536"/>
      <c r="V19" s="229">
        <v>0</v>
      </c>
      <c r="W19" s="222" t="s">
        <v>212</v>
      </c>
      <c r="X19" s="530">
        <v>517</v>
      </c>
      <c r="Y19" s="530"/>
      <c r="Z19" s="222" t="s">
        <v>212</v>
      </c>
      <c r="AA19" s="232">
        <v>6340800</v>
      </c>
      <c r="AB19" s="233">
        <v>101779</v>
      </c>
      <c r="AC19" s="215"/>
    </row>
    <row r="20" spans="1:29" ht="2.25" customHeight="1">
      <c r="A20" s="215"/>
      <c r="B20" s="529" t="s">
        <v>212</v>
      </c>
      <c r="C20" s="529"/>
      <c r="D20" s="219" t="s">
        <v>212</v>
      </c>
      <c r="E20" s="222" t="s">
        <v>212</v>
      </c>
      <c r="F20" s="531" t="s">
        <v>212</v>
      </c>
      <c r="G20" s="531"/>
      <c r="H20" s="222" t="s">
        <v>212</v>
      </c>
      <c r="I20" s="531" t="s">
        <v>212</v>
      </c>
      <c r="J20" s="531"/>
      <c r="K20" s="222" t="s">
        <v>212</v>
      </c>
      <c r="L20" s="222" t="s">
        <v>212</v>
      </c>
      <c r="M20" s="222" t="s">
        <v>212</v>
      </c>
      <c r="N20" s="222" t="s">
        <v>212</v>
      </c>
      <c r="O20" s="222" t="s">
        <v>212</v>
      </c>
      <c r="P20" s="222" t="s">
        <v>212</v>
      </c>
      <c r="Q20" s="222" t="s">
        <v>212</v>
      </c>
      <c r="R20" s="222" t="s">
        <v>212</v>
      </c>
      <c r="S20" s="222" t="s">
        <v>212</v>
      </c>
      <c r="T20" s="531" t="s">
        <v>212</v>
      </c>
      <c r="U20" s="531"/>
      <c r="V20" s="222" t="s">
        <v>212</v>
      </c>
      <c r="W20" s="222" t="s">
        <v>212</v>
      </c>
      <c r="X20" s="531" t="s">
        <v>212</v>
      </c>
      <c r="Y20" s="531"/>
      <c r="Z20" s="222" t="s">
        <v>212</v>
      </c>
      <c r="AA20" s="222" t="s">
        <v>212</v>
      </c>
      <c r="AB20" s="222" t="s">
        <v>212</v>
      </c>
      <c r="AC20" s="215"/>
    </row>
    <row r="21" spans="1:29" ht="13.5" customHeight="1">
      <c r="A21" s="215"/>
      <c r="B21" s="532">
        <v>39085</v>
      </c>
      <c r="C21" s="532"/>
      <c r="D21" s="219" t="s">
        <v>212</v>
      </c>
      <c r="E21" s="224">
        <v>126</v>
      </c>
      <c r="F21" s="533">
        <v>18</v>
      </c>
      <c r="G21" s="533"/>
      <c r="H21" s="224">
        <v>228.5</v>
      </c>
      <c r="I21" s="533">
        <v>24</v>
      </c>
      <c r="J21" s="533"/>
      <c r="K21" s="224">
        <v>173.5</v>
      </c>
      <c r="L21" s="225">
        <v>24</v>
      </c>
      <c r="M21" s="224">
        <v>0</v>
      </c>
      <c r="N21" s="225">
        <v>0</v>
      </c>
      <c r="O21" s="226">
        <v>528</v>
      </c>
      <c r="P21" s="222" t="s">
        <v>212</v>
      </c>
      <c r="Q21" s="224">
        <v>0</v>
      </c>
      <c r="R21" s="225">
        <v>0</v>
      </c>
      <c r="S21" s="224">
        <v>0</v>
      </c>
      <c r="T21" s="533">
        <v>0</v>
      </c>
      <c r="U21" s="533"/>
      <c r="V21" s="224">
        <v>0</v>
      </c>
      <c r="W21" s="222" t="s">
        <v>212</v>
      </c>
      <c r="X21" s="534">
        <v>528</v>
      </c>
      <c r="Y21" s="534"/>
      <c r="Z21" s="222" t="s">
        <v>212</v>
      </c>
      <c r="AA21" s="227">
        <v>5795900</v>
      </c>
      <c r="AB21" s="228">
        <v>109684</v>
      </c>
      <c r="AC21" s="215"/>
    </row>
    <row r="22" spans="1:29" ht="2.25" customHeight="1">
      <c r="A22" s="215"/>
      <c r="B22" s="529" t="s">
        <v>212</v>
      </c>
      <c r="C22" s="529"/>
      <c r="D22" s="219" t="s">
        <v>212</v>
      </c>
      <c r="E22" s="222" t="s">
        <v>212</v>
      </c>
      <c r="F22" s="531" t="s">
        <v>212</v>
      </c>
      <c r="G22" s="531"/>
      <c r="H22" s="222" t="s">
        <v>212</v>
      </c>
      <c r="I22" s="531" t="s">
        <v>212</v>
      </c>
      <c r="J22" s="531"/>
      <c r="K22" s="222" t="s">
        <v>212</v>
      </c>
      <c r="L22" s="222" t="s">
        <v>212</v>
      </c>
      <c r="M22" s="222" t="s">
        <v>212</v>
      </c>
      <c r="N22" s="222" t="s">
        <v>212</v>
      </c>
      <c r="O22" s="222" t="s">
        <v>212</v>
      </c>
      <c r="P22" s="222" t="s">
        <v>212</v>
      </c>
      <c r="Q22" s="222" t="s">
        <v>212</v>
      </c>
      <c r="R22" s="222" t="s">
        <v>212</v>
      </c>
      <c r="S22" s="222" t="s">
        <v>212</v>
      </c>
      <c r="T22" s="531" t="s">
        <v>212</v>
      </c>
      <c r="U22" s="531"/>
      <c r="V22" s="222" t="s">
        <v>212</v>
      </c>
      <c r="W22" s="222" t="s">
        <v>212</v>
      </c>
      <c r="X22" s="531" t="s">
        <v>212</v>
      </c>
      <c r="Y22" s="531"/>
      <c r="Z22" s="222" t="s">
        <v>212</v>
      </c>
      <c r="AA22" s="222" t="s">
        <v>212</v>
      </c>
      <c r="AB22" s="222" t="s">
        <v>212</v>
      </c>
      <c r="AC22" s="215"/>
    </row>
    <row r="23" spans="1:29" ht="13.5" customHeight="1">
      <c r="A23" s="215"/>
      <c r="B23" s="535">
        <v>39086</v>
      </c>
      <c r="C23" s="535"/>
      <c r="D23" s="219" t="s">
        <v>212</v>
      </c>
      <c r="E23" s="229">
        <v>196</v>
      </c>
      <c r="F23" s="536">
        <v>24</v>
      </c>
      <c r="G23" s="536"/>
      <c r="H23" s="229">
        <v>201</v>
      </c>
      <c r="I23" s="536">
        <v>24</v>
      </c>
      <c r="J23" s="536"/>
      <c r="K23" s="229">
        <v>168.5</v>
      </c>
      <c r="L23" s="230">
        <v>24</v>
      </c>
      <c r="M23" s="229">
        <v>0</v>
      </c>
      <c r="N23" s="230">
        <v>0</v>
      </c>
      <c r="O23" s="231">
        <v>565.5</v>
      </c>
      <c r="P23" s="222" t="s">
        <v>212</v>
      </c>
      <c r="Q23" s="229">
        <v>0</v>
      </c>
      <c r="R23" s="230">
        <v>0</v>
      </c>
      <c r="S23" s="229">
        <v>0</v>
      </c>
      <c r="T23" s="536">
        <v>0</v>
      </c>
      <c r="U23" s="536"/>
      <c r="V23" s="229">
        <v>0</v>
      </c>
      <c r="W23" s="222" t="s">
        <v>212</v>
      </c>
      <c r="X23" s="530">
        <v>565.5</v>
      </c>
      <c r="Y23" s="530"/>
      <c r="Z23" s="222" t="s">
        <v>212</v>
      </c>
      <c r="AA23" s="232">
        <v>6161400</v>
      </c>
      <c r="AB23" s="233">
        <v>108218</v>
      </c>
      <c r="AC23" s="215"/>
    </row>
    <row r="24" spans="1:29" ht="2.25" customHeight="1">
      <c r="A24" s="215"/>
      <c r="B24" s="529" t="s">
        <v>212</v>
      </c>
      <c r="C24" s="529"/>
      <c r="D24" s="219" t="s">
        <v>212</v>
      </c>
      <c r="E24" s="222" t="s">
        <v>212</v>
      </c>
      <c r="F24" s="531" t="s">
        <v>212</v>
      </c>
      <c r="G24" s="531"/>
      <c r="H24" s="222" t="s">
        <v>212</v>
      </c>
      <c r="I24" s="531" t="s">
        <v>212</v>
      </c>
      <c r="J24" s="531"/>
      <c r="K24" s="222" t="s">
        <v>212</v>
      </c>
      <c r="L24" s="222" t="s">
        <v>212</v>
      </c>
      <c r="M24" s="222" t="s">
        <v>212</v>
      </c>
      <c r="N24" s="222" t="s">
        <v>212</v>
      </c>
      <c r="O24" s="222" t="s">
        <v>212</v>
      </c>
      <c r="P24" s="222" t="s">
        <v>212</v>
      </c>
      <c r="Q24" s="222" t="s">
        <v>212</v>
      </c>
      <c r="R24" s="222" t="s">
        <v>212</v>
      </c>
      <c r="S24" s="222" t="s">
        <v>212</v>
      </c>
      <c r="T24" s="531" t="s">
        <v>212</v>
      </c>
      <c r="U24" s="531"/>
      <c r="V24" s="222" t="s">
        <v>212</v>
      </c>
      <c r="W24" s="222" t="s">
        <v>212</v>
      </c>
      <c r="X24" s="531" t="s">
        <v>212</v>
      </c>
      <c r="Y24" s="531"/>
      <c r="Z24" s="222" t="s">
        <v>212</v>
      </c>
      <c r="AA24" s="222" t="s">
        <v>212</v>
      </c>
      <c r="AB24" s="222" t="s">
        <v>212</v>
      </c>
      <c r="AC24" s="215"/>
    </row>
    <row r="25" spans="1:29" ht="13.5" customHeight="1">
      <c r="A25" s="215"/>
      <c r="B25" s="532">
        <v>39087</v>
      </c>
      <c r="C25" s="532"/>
      <c r="D25" s="219" t="s">
        <v>212</v>
      </c>
      <c r="E25" s="224">
        <v>181.5</v>
      </c>
      <c r="F25" s="533">
        <v>24</v>
      </c>
      <c r="G25" s="533"/>
      <c r="H25" s="224">
        <v>262.10000000000002</v>
      </c>
      <c r="I25" s="533">
        <v>24</v>
      </c>
      <c r="J25" s="533"/>
      <c r="K25" s="224">
        <v>81.2</v>
      </c>
      <c r="L25" s="225">
        <v>17</v>
      </c>
      <c r="M25" s="224">
        <v>0</v>
      </c>
      <c r="N25" s="225">
        <v>0</v>
      </c>
      <c r="O25" s="226">
        <v>524.79999999999995</v>
      </c>
      <c r="P25" s="222" t="s">
        <v>212</v>
      </c>
      <c r="Q25" s="224">
        <v>50</v>
      </c>
      <c r="R25" s="225">
        <v>24</v>
      </c>
      <c r="S25" s="224">
        <v>0</v>
      </c>
      <c r="T25" s="533">
        <v>0</v>
      </c>
      <c r="U25" s="533"/>
      <c r="V25" s="224">
        <v>50</v>
      </c>
      <c r="W25" s="222" t="s">
        <v>212</v>
      </c>
      <c r="X25" s="534">
        <v>574.79999999999995</v>
      </c>
      <c r="Y25" s="534"/>
      <c r="Z25" s="222" t="s">
        <v>212</v>
      </c>
      <c r="AA25" s="227">
        <v>6900100</v>
      </c>
      <c r="AB25" s="228">
        <v>67171</v>
      </c>
      <c r="AC25" s="215"/>
    </row>
    <row r="26" spans="1:29" ht="2.25" customHeight="1">
      <c r="A26" s="215"/>
      <c r="B26" s="529" t="s">
        <v>212</v>
      </c>
      <c r="C26" s="529"/>
      <c r="D26" s="219" t="s">
        <v>212</v>
      </c>
      <c r="E26" s="222" t="s">
        <v>212</v>
      </c>
      <c r="F26" s="531" t="s">
        <v>212</v>
      </c>
      <c r="G26" s="531"/>
      <c r="H26" s="222" t="s">
        <v>212</v>
      </c>
      <c r="I26" s="531" t="s">
        <v>212</v>
      </c>
      <c r="J26" s="531"/>
      <c r="K26" s="222" t="s">
        <v>212</v>
      </c>
      <c r="L26" s="222" t="s">
        <v>212</v>
      </c>
      <c r="M26" s="222" t="s">
        <v>212</v>
      </c>
      <c r="N26" s="222" t="s">
        <v>212</v>
      </c>
      <c r="O26" s="222" t="s">
        <v>212</v>
      </c>
      <c r="P26" s="222" t="s">
        <v>212</v>
      </c>
      <c r="Q26" s="222" t="s">
        <v>212</v>
      </c>
      <c r="R26" s="222" t="s">
        <v>212</v>
      </c>
      <c r="S26" s="222" t="s">
        <v>212</v>
      </c>
      <c r="T26" s="531" t="s">
        <v>212</v>
      </c>
      <c r="U26" s="531"/>
      <c r="V26" s="222" t="s">
        <v>212</v>
      </c>
      <c r="W26" s="222" t="s">
        <v>212</v>
      </c>
      <c r="X26" s="531" t="s">
        <v>212</v>
      </c>
      <c r="Y26" s="531"/>
      <c r="Z26" s="222" t="s">
        <v>212</v>
      </c>
      <c r="AA26" s="222" t="s">
        <v>212</v>
      </c>
      <c r="AB26" s="222" t="s">
        <v>212</v>
      </c>
      <c r="AC26" s="215"/>
    </row>
    <row r="27" spans="1:29" ht="13.5" customHeight="1">
      <c r="A27" s="215"/>
      <c r="B27" s="535">
        <v>39088</v>
      </c>
      <c r="C27" s="535"/>
      <c r="D27" s="219" t="s">
        <v>212</v>
      </c>
      <c r="E27" s="229">
        <v>174.3</v>
      </c>
      <c r="F27" s="536">
        <v>24</v>
      </c>
      <c r="G27" s="536"/>
      <c r="H27" s="229">
        <v>310.10000000000002</v>
      </c>
      <c r="I27" s="536">
        <v>24</v>
      </c>
      <c r="J27" s="536"/>
      <c r="K27" s="229">
        <v>0</v>
      </c>
      <c r="L27" s="230">
        <v>0</v>
      </c>
      <c r="M27" s="229">
        <v>0</v>
      </c>
      <c r="N27" s="230">
        <v>0</v>
      </c>
      <c r="O27" s="231">
        <v>484.4</v>
      </c>
      <c r="P27" s="222" t="s">
        <v>212</v>
      </c>
      <c r="Q27" s="229">
        <v>86</v>
      </c>
      <c r="R27" s="230">
        <v>24</v>
      </c>
      <c r="S27" s="229">
        <v>0</v>
      </c>
      <c r="T27" s="536">
        <v>0</v>
      </c>
      <c r="U27" s="536"/>
      <c r="V27" s="229">
        <v>86</v>
      </c>
      <c r="W27" s="222" t="s">
        <v>212</v>
      </c>
      <c r="X27" s="530">
        <v>570.4</v>
      </c>
      <c r="Y27" s="530"/>
      <c r="Z27" s="222" t="s">
        <v>212</v>
      </c>
      <c r="AA27" s="232">
        <v>7201500</v>
      </c>
      <c r="AB27" s="233">
        <v>0</v>
      </c>
      <c r="AC27" s="215"/>
    </row>
    <row r="28" spans="1:29" ht="2.25" customHeight="1">
      <c r="A28" s="215"/>
      <c r="B28" s="529" t="s">
        <v>212</v>
      </c>
      <c r="C28" s="529"/>
      <c r="D28" s="219" t="s">
        <v>212</v>
      </c>
      <c r="E28" s="222" t="s">
        <v>212</v>
      </c>
      <c r="F28" s="531" t="s">
        <v>212</v>
      </c>
      <c r="G28" s="531"/>
      <c r="H28" s="222" t="s">
        <v>212</v>
      </c>
      <c r="I28" s="531" t="s">
        <v>212</v>
      </c>
      <c r="J28" s="531"/>
      <c r="K28" s="222" t="s">
        <v>212</v>
      </c>
      <c r="L28" s="222" t="s">
        <v>212</v>
      </c>
      <c r="M28" s="222" t="s">
        <v>212</v>
      </c>
      <c r="N28" s="222" t="s">
        <v>212</v>
      </c>
      <c r="O28" s="222" t="s">
        <v>212</v>
      </c>
      <c r="P28" s="222" t="s">
        <v>212</v>
      </c>
      <c r="Q28" s="222" t="s">
        <v>212</v>
      </c>
      <c r="R28" s="222" t="s">
        <v>212</v>
      </c>
      <c r="S28" s="222" t="s">
        <v>212</v>
      </c>
      <c r="T28" s="531" t="s">
        <v>212</v>
      </c>
      <c r="U28" s="531"/>
      <c r="V28" s="222" t="s">
        <v>212</v>
      </c>
      <c r="W28" s="222" t="s">
        <v>212</v>
      </c>
      <c r="X28" s="531" t="s">
        <v>212</v>
      </c>
      <c r="Y28" s="531"/>
      <c r="Z28" s="222" t="s">
        <v>212</v>
      </c>
      <c r="AA28" s="222" t="s">
        <v>212</v>
      </c>
      <c r="AB28" s="222" t="s">
        <v>212</v>
      </c>
      <c r="AC28" s="215"/>
    </row>
    <row r="29" spans="1:29" ht="13.5" customHeight="1">
      <c r="A29" s="215"/>
      <c r="B29" s="532">
        <v>39089</v>
      </c>
      <c r="C29" s="532"/>
      <c r="D29" s="219" t="s">
        <v>212</v>
      </c>
      <c r="E29" s="224">
        <v>217.5</v>
      </c>
      <c r="F29" s="533">
        <v>24</v>
      </c>
      <c r="G29" s="533"/>
      <c r="H29" s="224">
        <v>286.2</v>
      </c>
      <c r="I29" s="533">
        <v>24</v>
      </c>
      <c r="J29" s="533"/>
      <c r="K29" s="224">
        <v>0</v>
      </c>
      <c r="L29" s="225">
        <v>0</v>
      </c>
      <c r="M29" s="224">
        <v>0</v>
      </c>
      <c r="N29" s="225">
        <v>0</v>
      </c>
      <c r="O29" s="226">
        <v>503.7</v>
      </c>
      <c r="P29" s="222" t="s">
        <v>212</v>
      </c>
      <c r="Q29" s="224">
        <v>80</v>
      </c>
      <c r="R29" s="225">
        <v>24</v>
      </c>
      <c r="S29" s="224">
        <v>0</v>
      </c>
      <c r="T29" s="533">
        <v>0</v>
      </c>
      <c r="U29" s="533"/>
      <c r="V29" s="224">
        <v>80</v>
      </c>
      <c r="W29" s="222" t="s">
        <v>212</v>
      </c>
      <c r="X29" s="534">
        <v>583.70000000000005</v>
      </c>
      <c r="Y29" s="534"/>
      <c r="Z29" s="222" t="s">
        <v>212</v>
      </c>
      <c r="AA29" s="227">
        <v>7299400</v>
      </c>
      <c r="AB29" s="228">
        <v>0</v>
      </c>
      <c r="AC29" s="215"/>
    </row>
    <row r="30" spans="1:29" ht="2.25" customHeight="1">
      <c r="A30" s="215"/>
      <c r="B30" s="529" t="s">
        <v>212</v>
      </c>
      <c r="C30" s="529"/>
      <c r="D30" s="219" t="s">
        <v>212</v>
      </c>
      <c r="E30" s="222" t="s">
        <v>212</v>
      </c>
      <c r="F30" s="531" t="s">
        <v>212</v>
      </c>
      <c r="G30" s="531"/>
      <c r="H30" s="222" t="s">
        <v>212</v>
      </c>
      <c r="I30" s="531" t="s">
        <v>212</v>
      </c>
      <c r="J30" s="531"/>
      <c r="K30" s="222" t="s">
        <v>212</v>
      </c>
      <c r="L30" s="222" t="s">
        <v>212</v>
      </c>
      <c r="M30" s="222" t="s">
        <v>212</v>
      </c>
      <c r="N30" s="222" t="s">
        <v>212</v>
      </c>
      <c r="O30" s="222" t="s">
        <v>212</v>
      </c>
      <c r="P30" s="222" t="s">
        <v>212</v>
      </c>
      <c r="Q30" s="222" t="s">
        <v>212</v>
      </c>
      <c r="R30" s="222" t="s">
        <v>212</v>
      </c>
      <c r="S30" s="222" t="s">
        <v>212</v>
      </c>
      <c r="T30" s="531" t="s">
        <v>212</v>
      </c>
      <c r="U30" s="531"/>
      <c r="V30" s="222" t="s">
        <v>212</v>
      </c>
      <c r="W30" s="222" t="s">
        <v>212</v>
      </c>
      <c r="X30" s="531" t="s">
        <v>212</v>
      </c>
      <c r="Y30" s="531"/>
      <c r="Z30" s="222" t="s">
        <v>212</v>
      </c>
      <c r="AA30" s="222" t="s">
        <v>212</v>
      </c>
      <c r="AB30" s="222" t="s">
        <v>212</v>
      </c>
      <c r="AC30" s="215"/>
    </row>
    <row r="31" spans="1:29" ht="13.5" customHeight="1">
      <c r="A31" s="215"/>
      <c r="B31" s="535">
        <v>39090</v>
      </c>
      <c r="C31" s="535"/>
      <c r="D31" s="219" t="s">
        <v>212</v>
      </c>
      <c r="E31" s="229">
        <v>189.7</v>
      </c>
      <c r="F31" s="536">
        <v>24</v>
      </c>
      <c r="G31" s="536"/>
      <c r="H31" s="229">
        <v>229.2</v>
      </c>
      <c r="I31" s="536">
        <v>24</v>
      </c>
      <c r="J31" s="536"/>
      <c r="K31" s="229">
        <v>0</v>
      </c>
      <c r="L31" s="230">
        <v>0</v>
      </c>
      <c r="M31" s="229">
        <v>0</v>
      </c>
      <c r="N31" s="230">
        <v>0</v>
      </c>
      <c r="O31" s="231">
        <v>418.9</v>
      </c>
      <c r="P31" s="222" t="s">
        <v>212</v>
      </c>
      <c r="Q31" s="229">
        <v>78</v>
      </c>
      <c r="R31" s="230">
        <v>24</v>
      </c>
      <c r="S31" s="229">
        <v>0</v>
      </c>
      <c r="T31" s="536">
        <v>0</v>
      </c>
      <c r="U31" s="536"/>
      <c r="V31" s="229">
        <v>78</v>
      </c>
      <c r="W31" s="222" t="s">
        <v>212</v>
      </c>
      <c r="X31" s="530">
        <v>496.9</v>
      </c>
      <c r="Y31" s="530"/>
      <c r="Z31" s="222" t="s">
        <v>212</v>
      </c>
      <c r="AA31" s="232">
        <v>6696900</v>
      </c>
      <c r="AB31" s="233">
        <v>0</v>
      </c>
      <c r="AC31" s="215"/>
    </row>
    <row r="32" spans="1:29" ht="2.25" customHeight="1">
      <c r="A32" s="215"/>
      <c r="B32" s="529" t="s">
        <v>212</v>
      </c>
      <c r="C32" s="529"/>
      <c r="D32" s="219" t="s">
        <v>212</v>
      </c>
      <c r="E32" s="222" t="s">
        <v>212</v>
      </c>
      <c r="F32" s="531" t="s">
        <v>212</v>
      </c>
      <c r="G32" s="531"/>
      <c r="H32" s="222" t="s">
        <v>212</v>
      </c>
      <c r="I32" s="531" t="s">
        <v>212</v>
      </c>
      <c r="J32" s="531"/>
      <c r="K32" s="222" t="s">
        <v>212</v>
      </c>
      <c r="L32" s="222" t="s">
        <v>212</v>
      </c>
      <c r="M32" s="222" t="s">
        <v>212</v>
      </c>
      <c r="N32" s="222" t="s">
        <v>212</v>
      </c>
      <c r="O32" s="222" t="s">
        <v>212</v>
      </c>
      <c r="P32" s="222" t="s">
        <v>212</v>
      </c>
      <c r="Q32" s="222" t="s">
        <v>212</v>
      </c>
      <c r="R32" s="222" t="s">
        <v>212</v>
      </c>
      <c r="S32" s="222" t="s">
        <v>212</v>
      </c>
      <c r="T32" s="531" t="s">
        <v>212</v>
      </c>
      <c r="U32" s="531"/>
      <c r="V32" s="222" t="s">
        <v>212</v>
      </c>
      <c r="W32" s="222" t="s">
        <v>212</v>
      </c>
      <c r="X32" s="531" t="s">
        <v>212</v>
      </c>
      <c r="Y32" s="531"/>
      <c r="Z32" s="222" t="s">
        <v>212</v>
      </c>
      <c r="AA32" s="222" t="s">
        <v>212</v>
      </c>
      <c r="AB32" s="222" t="s">
        <v>212</v>
      </c>
      <c r="AC32" s="215"/>
    </row>
    <row r="33" spans="1:29" ht="13.5" customHeight="1">
      <c r="A33" s="215"/>
      <c r="B33" s="532">
        <v>39091</v>
      </c>
      <c r="C33" s="532"/>
      <c r="D33" s="219" t="s">
        <v>212</v>
      </c>
      <c r="E33" s="224">
        <v>207</v>
      </c>
      <c r="F33" s="533">
        <v>24</v>
      </c>
      <c r="G33" s="533"/>
      <c r="H33" s="224">
        <v>244.5</v>
      </c>
      <c r="I33" s="533">
        <v>24</v>
      </c>
      <c r="J33" s="533"/>
      <c r="K33" s="224">
        <v>73.3</v>
      </c>
      <c r="L33" s="225">
        <v>15</v>
      </c>
      <c r="M33" s="224">
        <v>0</v>
      </c>
      <c r="N33" s="225">
        <v>0</v>
      </c>
      <c r="O33" s="226">
        <v>524.79999999999995</v>
      </c>
      <c r="P33" s="222" t="s">
        <v>212</v>
      </c>
      <c r="Q33" s="224">
        <v>78</v>
      </c>
      <c r="R33" s="225">
        <v>24</v>
      </c>
      <c r="S33" s="224">
        <v>0</v>
      </c>
      <c r="T33" s="533">
        <v>0</v>
      </c>
      <c r="U33" s="533"/>
      <c r="V33" s="224">
        <v>78</v>
      </c>
      <c r="W33" s="222" t="s">
        <v>212</v>
      </c>
      <c r="X33" s="534">
        <v>602.79999999999995</v>
      </c>
      <c r="Y33" s="534"/>
      <c r="Z33" s="222" t="s">
        <v>212</v>
      </c>
      <c r="AA33" s="227">
        <v>8668800</v>
      </c>
      <c r="AB33" s="228">
        <v>1261</v>
      </c>
      <c r="AC33" s="215"/>
    </row>
    <row r="34" spans="1:29" ht="2.25" customHeight="1">
      <c r="A34" s="215"/>
      <c r="B34" s="529" t="s">
        <v>212</v>
      </c>
      <c r="C34" s="529"/>
      <c r="D34" s="219" t="s">
        <v>212</v>
      </c>
      <c r="E34" s="222" t="s">
        <v>212</v>
      </c>
      <c r="F34" s="531" t="s">
        <v>212</v>
      </c>
      <c r="G34" s="531"/>
      <c r="H34" s="222" t="s">
        <v>212</v>
      </c>
      <c r="I34" s="531" t="s">
        <v>212</v>
      </c>
      <c r="J34" s="531"/>
      <c r="K34" s="222" t="s">
        <v>212</v>
      </c>
      <c r="L34" s="222" t="s">
        <v>212</v>
      </c>
      <c r="M34" s="222" t="s">
        <v>212</v>
      </c>
      <c r="N34" s="222" t="s">
        <v>212</v>
      </c>
      <c r="O34" s="222" t="s">
        <v>212</v>
      </c>
      <c r="P34" s="222" t="s">
        <v>212</v>
      </c>
      <c r="Q34" s="222" t="s">
        <v>212</v>
      </c>
      <c r="R34" s="222" t="s">
        <v>212</v>
      </c>
      <c r="S34" s="222" t="s">
        <v>212</v>
      </c>
      <c r="T34" s="531" t="s">
        <v>212</v>
      </c>
      <c r="U34" s="531"/>
      <c r="V34" s="222" t="s">
        <v>212</v>
      </c>
      <c r="W34" s="222" t="s">
        <v>212</v>
      </c>
      <c r="X34" s="531" t="s">
        <v>212</v>
      </c>
      <c r="Y34" s="531"/>
      <c r="Z34" s="222" t="s">
        <v>212</v>
      </c>
      <c r="AA34" s="222" t="s">
        <v>212</v>
      </c>
      <c r="AB34" s="222" t="s">
        <v>212</v>
      </c>
      <c r="AC34" s="215"/>
    </row>
    <row r="35" spans="1:29" ht="13.5" customHeight="1">
      <c r="A35" s="215"/>
      <c r="B35" s="535">
        <v>39092</v>
      </c>
      <c r="C35" s="535"/>
      <c r="D35" s="219" t="s">
        <v>212</v>
      </c>
      <c r="E35" s="229">
        <v>207.6</v>
      </c>
      <c r="F35" s="536">
        <v>20</v>
      </c>
      <c r="G35" s="536"/>
      <c r="H35" s="229">
        <v>209</v>
      </c>
      <c r="I35" s="536">
        <v>24</v>
      </c>
      <c r="J35" s="536"/>
      <c r="K35" s="229">
        <v>285.89999999999998</v>
      </c>
      <c r="L35" s="230">
        <v>24</v>
      </c>
      <c r="M35" s="229">
        <v>0</v>
      </c>
      <c r="N35" s="230">
        <v>0</v>
      </c>
      <c r="O35" s="231">
        <v>702.5</v>
      </c>
      <c r="P35" s="222" t="s">
        <v>212</v>
      </c>
      <c r="Q35" s="229">
        <v>79</v>
      </c>
      <c r="R35" s="230">
        <v>24</v>
      </c>
      <c r="S35" s="229">
        <v>0</v>
      </c>
      <c r="T35" s="536">
        <v>0</v>
      </c>
      <c r="U35" s="536"/>
      <c r="V35" s="229">
        <v>79</v>
      </c>
      <c r="W35" s="222" t="s">
        <v>212</v>
      </c>
      <c r="X35" s="530">
        <v>781.5</v>
      </c>
      <c r="Y35" s="530"/>
      <c r="Z35" s="222" t="s">
        <v>212</v>
      </c>
      <c r="AA35" s="232">
        <v>9097600</v>
      </c>
      <c r="AB35" s="233">
        <v>0</v>
      </c>
      <c r="AC35" s="215"/>
    </row>
    <row r="36" spans="1:29" ht="2.25" customHeight="1">
      <c r="A36" s="215"/>
      <c r="B36" s="529" t="s">
        <v>212</v>
      </c>
      <c r="C36" s="529"/>
      <c r="D36" s="219" t="s">
        <v>212</v>
      </c>
      <c r="E36" s="222" t="s">
        <v>212</v>
      </c>
      <c r="F36" s="531" t="s">
        <v>212</v>
      </c>
      <c r="G36" s="531"/>
      <c r="H36" s="222" t="s">
        <v>212</v>
      </c>
      <c r="I36" s="531" t="s">
        <v>212</v>
      </c>
      <c r="J36" s="531"/>
      <c r="K36" s="222" t="s">
        <v>212</v>
      </c>
      <c r="L36" s="222" t="s">
        <v>212</v>
      </c>
      <c r="M36" s="222" t="s">
        <v>212</v>
      </c>
      <c r="N36" s="222" t="s">
        <v>212</v>
      </c>
      <c r="O36" s="222" t="s">
        <v>212</v>
      </c>
      <c r="P36" s="222" t="s">
        <v>212</v>
      </c>
      <c r="Q36" s="222" t="s">
        <v>212</v>
      </c>
      <c r="R36" s="222" t="s">
        <v>212</v>
      </c>
      <c r="S36" s="222" t="s">
        <v>212</v>
      </c>
      <c r="T36" s="531" t="s">
        <v>212</v>
      </c>
      <c r="U36" s="531"/>
      <c r="V36" s="222" t="s">
        <v>212</v>
      </c>
      <c r="W36" s="222" t="s">
        <v>212</v>
      </c>
      <c r="X36" s="531" t="s">
        <v>212</v>
      </c>
      <c r="Y36" s="531"/>
      <c r="Z36" s="222" t="s">
        <v>212</v>
      </c>
      <c r="AA36" s="222" t="s">
        <v>212</v>
      </c>
      <c r="AB36" s="222" t="s">
        <v>212</v>
      </c>
      <c r="AC36" s="215"/>
    </row>
    <row r="37" spans="1:29" ht="13.5" customHeight="1">
      <c r="A37" s="215"/>
      <c r="B37" s="532">
        <v>39093</v>
      </c>
      <c r="C37" s="532"/>
      <c r="D37" s="219" t="s">
        <v>212</v>
      </c>
      <c r="E37" s="224">
        <v>0</v>
      </c>
      <c r="F37" s="533">
        <v>0</v>
      </c>
      <c r="G37" s="533"/>
      <c r="H37" s="224">
        <v>271.2</v>
      </c>
      <c r="I37" s="533">
        <v>24</v>
      </c>
      <c r="J37" s="533"/>
      <c r="K37" s="224">
        <v>268.5</v>
      </c>
      <c r="L37" s="225">
        <v>24</v>
      </c>
      <c r="M37" s="224">
        <v>0</v>
      </c>
      <c r="N37" s="225">
        <v>0</v>
      </c>
      <c r="O37" s="226">
        <v>539.70000000000005</v>
      </c>
      <c r="P37" s="222" t="s">
        <v>212</v>
      </c>
      <c r="Q37" s="224">
        <v>88</v>
      </c>
      <c r="R37" s="225">
        <v>24</v>
      </c>
      <c r="S37" s="224">
        <v>0</v>
      </c>
      <c r="T37" s="533">
        <v>0</v>
      </c>
      <c r="U37" s="533"/>
      <c r="V37" s="224">
        <v>88</v>
      </c>
      <c r="W37" s="222" t="s">
        <v>212</v>
      </c>
      <c r="X37" s="534">
        <v>627.70000000000005</v>
      </c>
      <c r="Y37" s="534"/>
      <c r="Z37" s="222" t="s">
        <v>212</v>
      </c>
      <c r="AA37" s="227">
        <v>7247000</v>
      </c>
      <c r="AB37" s="228">
        <v>0</v>
      </c>
      <c r="AC37" s="215"/>
    </row>
    <row r="38" spans="1:29" ht="2.25" customHeight="1">
      <c r="A38" s="215"/>
      <c r="B38" s="529" t="s">
        <v>212</v>
      </c>
      <c r="C38" s="529"/>
      <c r="D38" s="219" t="s">
        <v>212</v>
      </c>
      <c r="E38" s="222" t="s">
        <v>212</v>
      </c>
      <c r="F38" s="531" t="s">
        <v>212</v>
      </c>
      <c r="G38" s="531"/>
      <c r="H38" s="222" t="s">
        <v>212</v>
      </c>
      <c r="I38" s="531" t="s">
        <v>212</v>
      </c>
      <c r="J38" s="531"/>
      <c r="K38" s="222" t="s">
        <v>212</v>
      </c>
      <c r="L38" s="222" t="s">
        <v>212</v>
      </c>
      <c r="M38" s="222" t="s">
        <v>212</v>
      </c>
      <c r="N38" s="222" t="s">
        <v>212</v>
      </c>
      <c r="O38" s="222" t="s">
        <v>212</v>
      </c>
      <c r="P38" s="222" t="s">
        <v>212</v>
      </c>
      <c r="Q38" s="222" t="s">
        <v>212</v>
      </c>
      <c r="R38" s="222" t="s">
        <v>212</v>
      </c>
      <c r="S38" s="222" t="s">
        <v>212</v>
      </c>
      <c r="T38" s="531" t="s">
        <v>212</v>
      </c>
      <c r="U38" s="531"/>
      <c r="V38" s="222" t="s">
        <v>212</v>
      </c>
      <c r="W38" s="222" t="s">
        <v>212</v>
      </c>
      <c r="X38" s="531" t="s">
        <v>212</v>
      </c>
      <c r="Y38" s="531"/>
      <c r="Z38" s="222" t="s">
        <v>212</v>
      </c>
      <c r="AA38" s="222" t="s">
        <v>212</v>
      </c>
      <c r="AB38" s="222" t="s">
        <v>212</v>
      </c>
      <c r="AC38" s="215"/>
    </row>
    <row r="39" spans="1:29" ht="13.5" customHeight="1">
      <c r="A39" s="215"/>
      <c r="B39" s="535">
        <v>39094</v>
      </c>
      <c r="C39" s="535"/>
      <c r="D39" s="219" t="s">
        <v>212</v>
      </c>
      <c r="E39" s="229">
        <v>0</v>
      </c>
      <c r="F39" s="536">
        <v>0</v>
      </c>
      <c r="G39" s="536"/>
      <c r="H39" s="229">
        <v>287</v>
      </c>
      <c r="I39" s="536">
        <v>24</v>
      </c>
      <c r="J39" s="536"/>
      <c r="K39" s="229">
        <v>281.10000000000002</v>
      </c>
      <c r="L39" s="230">
        <v>24</v>
      </c>
      <c r="M39" s="229">
        <v>0</v>
      </c>
      <c r="N39" s="230">
        <v>0</v>
      </c>
      <c r="O39" s="231">
        <v>568.1</v>
      </c>
      <c r="P39" s="222" t="s">
        <v>212</v>
      </c>
      <c r="Q39" s="229">
        <v>84</v>
      </c>
      <c r="R39" s="230">
        <v>24</v>
      </c>
      <c r="S39" s="229">
        <v>0</v>
      </c>
      <c r="T39" s="536">
        <v>0</v>
      </c>
      <c r="U39" s="536"/>
      <c r="V39" s="229">
        <v>84</v>
      </c>
      <c r="W39" s="222" t="s">
        <v>212</v>
      </c>
      <c r="X39" s="530">
        <v>652.1</v>
      </c>
      <c r="Y39" s="530"/>
      <c r="Z39" s="222" t="s">
        <v>212</v>
      </c>
      <c r="AA39" s="232">
        <v>7501900</v>
      </c>
      <c r="AB39" s="233">
        <v>0</v>
      </c>
      <c r="AC39" s="215"/>
    </row>
    <row r="40" spans="1:29" ht="2.25" customHeight="1">
      <c r="A40" s="215"/>
      <c r="B40" s="529" t="s">
        <v>212</v>
      </c>
      <c r="C40" s="529"/>
      <c r="D40" s="219" t="s">
        <v>212</v>
      </c>
      <c r="E40" s="222" t="s">
        <v>212</v>
      </c>
      <c r="F40" s="531" t="s">
        <v>212</v>
      </c>
      <c r="G40" s="531"/>
      <c r="H40" s="222" t="s">
        <v>212</v>
      </c>
      <c r="I40" s="531" t="s">
        <v>212</v>
      </c>
      <c r="J40" s="531"/>
      <c r="K40" s="222" t="s">
        <v>212</v>
      </c>
      <c r="L40" s="222" t="s">
        <v>212</v>
      </c>
      <c r="M40" s="222" t="s">
        <v>212</v>
      </c>
      <c r="N40" s="222" t="s">
        <v>212</v>
      </c>
      <c r="O40" s="222" t="s">
        <v>212</v>
      </c>
      <c r="P40" s="222" t="s">
        <v>212</v>
      </c>
      <c r="Q40" s="222" t="s">
        <v>212</v>
      </c>
      <c r="R40" s="222" t="s">
        <v>212</v>
      </c>
      <c r="S40" s="222" t="s">
        <v>212</v>
      </c>
      <c r="T40" s="531" t="s">
        <v>212</v>
      </c>
      <c r="U40" s="531"/>
      <c r="V40" s="222" t="s">
        <v>212</v>
      </c>
      <c r="W40" s="222" t="s">
        <v>212</v>
      </c>
      <c r="X40" s="531" t="s">
        <v>212</v>
      </c>
      <c r="Y40" s="531"/>
      <c r="Z40" s="222" t="s">
        <v>212</v>
      </c>
      <c r="AA40" s="222" t="s">
        <v>212</v>
      </c>
      <c r="AB40" s="222" t="s">
        <v>212</v>
      </c>
      <c r="AC40" s="215"/>
    </row>
    <row r="41" spans="1:29" ht="13.5" customHeight="1">
      <c r="A41" s="215"/>
      <c r="B41" s="532">
        <v>39095</v>
      </c>
      <c r="C41" s="532"/>
      <c r="D41" s="219" t="s">
        <v>212</v>
      </c>
      <c r="E41" s="224">
        <v>80.7</v>
      </c>
      <c r="F41" s="533">
        <v>10</v>
      </c>
      <c r="G41" s="533"/>
      <c r="H41" s="224">
        <v>141.30000000000001</v>
      </c>
      <c r="I41" s="533">
        <v>22</v>
      </c>
      <c r="J41" s="533"/>
      <c r="K41" s="224">
        <v>254.6</v>
      </c>
      <c r="L41" s="225">
        <v>24</v>
      </c>
      <c r="M41" s="224">
        <v>0</v>
      </c>
      <c r="N41" s="225">
        <v>0</v>
      </c>
      <c r="O41" s="226">
        <v>476.6</v>
      </c>
      <c r="P41" s="222" t="s">
        <v>212</v>
      </c>
      <c r="Q41" s="224">
        <v>143</v>
      </c>
      <c r="R41" s="225">
        <v>24</v>
      </c>
      <c r="S41" s="224">
        <v>0</v>
      </c>
      <c r="T41" s="533">
        <v>0</v>
      </c>
      <c r="U41" s="533"/>
      <c r="V41" s="224">
        <v>143</v>
      </c>
      <c r="W41" s="222" t="s">
        <v>212</v>
      </c>
      <c r="X41" s="534">
        <v>619.6</v>
      </c>
      <c r="Y41" s="534"/>
      <c r="Z41" s="222" t="s">
        <v>212</v>
      </c>
      <c r="AA41" s="227">
        <v>7448800</v>
      </c>
      <c r="AB41" s="228">
        <v>248</v>
      </c>
      <c r="AC41" s="215"/>
    </row>
    <row r="42" spans="1:29" ht="2.25" customHeight="1">
      <c r="A42" s="215"/>
      <c r="B42" s="529" t="s">
        <v>212</v>
      </c>
      <c r="C42" s="529"/>
      <c r="D42" s="219" t="s">
        <v>212</v>
      </c>
      <c r="E42" s="222" t="s">
        <v>212</v>
      </c>
      <c r="F42" s="531" t="s">
        <v>212</v>
      </c>
      <c r="G42" s="531"/>
      <c r="H42" s="222" t="s">
        <v>212</v>
      </c>
      <c r="I42" s="531" t="s">
        <v>212</v>
      </c>
      <c r="J42" s="531"/>
      <c r="K42" s="222" t="s">
        <v>212</v>
      </c>
      <c r="L42" s="222" t="s">
        <v>212</v>
      </c>
      <c r="M42" s="222" t="s">
        <v>212</v>
      </c>
      <c r="N42" s="222" t="s">
        <v>212</v>
      </c>
      <c r="O42" s="222" t="s">
        <v>212</v>
      </c>
      <c r="P42" s="222" t="s">
        <v>212</v>
      </c>
      <c r="Q42" s="222" t="s">
        <v>212</v>
      </c>
      <c r="R42" s="222" t="s">
        <v>212</v>
      </c>
      <c r="S42" s="222" t="s">
        <v>212</v>
      </c>
      <c r="T42" s="531" t="s">
        <v>212</v>
      </c>
      <c r="U42" s="531"/>
      <c r="V42" s="222" t="s">
        <v>212</v>
      </c>
      <c r="W42" s="222" t="s">
        <v>212</v>
      </c>
      <c r="X42" s="531" t="s">
        <v>212</v>
      </c>
      <c r="Y42" s="531"/>
      <c r="Z42" s="222" t="s">
        <v>212</v>
      </c>
      <c r="AA42" s="222" t="s">
        <v>212</v>
      </c>
      <c r="AB42" s="222" t="s">
        <v>212</v>
      </c>
      <c r="AC42" s="215"/>
    </row>
    <row r="43" spans="1:29" ht="13.5" customHeight="1">
      <c r="A43" s="215"/>
      <c r="B43" s="535">
        <v>39096</v>
      </c>
      <c r="C43" s="535"/>
      <c r="D43" s="219" t="s">
        <v>212</v>
      </c>
      <c r="E43" s="229">
        <v>199.7</v>
      </c>
      <c r="F43" s="536">
        <v>24</v>
      </c>
      <c r="G43" s="536"/>
      <c r="H43" s="229">
        <v>64</v>
      </c>
      <c r="I43" s="536">
        <v>12</v>
      </c>
      <c r="J43" s="536"/>
      <c r="K43" s="229">
        <v>183.9</v>
      </c>
      <c r="L43" s="230">
        <v>24</v>
      </c>
      <c r="M43" s="229">
        <v>0</v>
      </c>
      <c r="N43" s="230">
        <v>0</v>
      </c>
      <c r="O43" s="231">
        <v>447.6</v>
      </c>
      <c r="P43" s="222" t="s">
        <v>212</v>
      </c>
      <c r="Q43" s="229">
        <v>109</v>
      </c>
      <c r="R43" s="230">
        <v>24</v>
      </c>
      <c r="S43" s="229">
        <v>0</v>
      </c>
      <c r="T43" s="536">
        <v>0</v>
      </c>
      <c r="U43" s="536"/>
      <c r="V43" s="229">
        <v>109</v>
      </c>
      <c r="W43" s="222" t="s">
        <v>212</v>
      </c>
      <c r="X43" s="530">
        <v>556.6</v>
      </c>
      <c r="Y43" s="530"/>
      <c r="Z43" s="222" t="s">
        <v>212</v>
      </c>
      <c r="AA43" s="232">
        <v>7504700</v>
      </c>
      <c r="AB43" s="233">
        <v>0</v>
      </c>
      <c r="AC43" s="215"/>
    </row>
    <row r="44" spans="1:29" ht="2.25" customHeight="1">
      <c r="A44" s="215"/>
      <c r="B44" s="529" t="s">
        <v>212</v>
      </c>
      <c r="C44" s="529"/>
      <c r="D44" s="219" t="s">
        <v>212</v>
      </c>
      <c r="E44" s="222" t="s">
        <v>212</v>
      </c>
      <c r="F44" s="531" t="s">
        <v>212</v>
      </c>
      <c r="G44" s="531"/>
      <c r="H44" s="222" t="s">
        <v>212</v>
      </c>
      <c r="I44" s="531" t="s">
        <v>212</v>
      </c>
      <c r="J44" s="531"/>
      <c r="K44" s="222" t="s">
        <v>212</v>
      </c>
      <c r="L44" s="222" t="s">
        <v>212</v>
      </c>
      <c r="M44" s="222" t="s">
        <v>212</v>
      </c>
      <c r="N44" s="222" t="s">
        <v>212</v>
      </c>
      <c r="O44" s="222" t="s">
        <v>212</v>
      </c>
      <c r="P44" s="222" t="s">
        <v>212</v>
      </c>
      <c r="Q44" s="222" t="s">
        <v>212</v>
      </c>
      <c r="R44" s="222" t="s">
        <v>212</v>
      </c>
      <c r="S44" s="222" t="s">
        <v>212</v>
      </c>
      <c r="T44" s="531" t="s">
        <v>212</v>
      </c>
      <c r="U44" s="531"/>
      <c r="V44" s="222" t="s">
        <v>212</v>
      </c>
      <c r="W44" s="222" t="s">
        <v>212</v>
      </c>
      <c r="X44" s="531" t="s">
        <v>212</v>
      </c>
      <c r="Y44" s="531"/>
      <c r="Z44" s="222" t="s">
        <v>212</v>
      </c>
      <c r="AA44" s="222" t="s">
        <v>212</v>
      </c>
      <c r="AB44" s="222" t="s">
        <v>212</v>
      </c>
      <c r="AC44" s="215"/>
    </row>
    <row r="45" spans="1:29" ht="13.5" customHeight="1">
      <c r="A45" s="215"/>
      <c r="B45" s="532">
        <v>39097</v>
      </c>
      <c r="C45" s="532"/>
      <c r="D45" s="219" t="s">
        <v>212</v>
      </c>
      <c r="E45" s="224">
        <v>137.5</v>
      </c>
      <c r="F45" s="533">
        <v>24</v>
      </c>
      <c r="G45" s="533"/>
      <c r="H45" s="224">
        <v>130</v>
      </c>
      <c r="I45" s="533">
        <v>24</v>
      </c>
      <c r="J45" s="533"/>
      <c r="K45" s="224">
        <v>141</v>
      </c>
      <c r="L45" s="225">
        <v>24</v>
      </c>
      <c r="M45" s="224">
        <v>0</v>
      </c>
      <c r="N45" s="225">
        <v>0</v>
      </c>
      <c r="O45" s="226">
        <v>408.5</v>
      </c>
      <c r="P45" s="222" t="s">
        <v>212</v>
      </c>
      <c r="Q45" s="224">
        <v>83</v>
      </c>
      <c r="R45" s="225">
        <v>24</v>
      </c>
      <c r="S45" s="224">
        <v>0</v>
      </c>
      <c r="T45" s="533">
        <v>0</v>
      </c>
      <c r="U45" s="533"/>
      <c r="V45" s="224">
        <v>83</v>
      </c>
      <c r="W45" s="222" t="s">
        <v>212</v>
      </c>
      <c r="X45" s="534">
        <v>491.5</v>
      </c>
      <c r="Y45" s="534"/>
      <c r="Z45" s="222" t="s">
        <v>212</v>
      </c>
      <c r="AA45" s="227">
        <v>8109100</v>
      </c>
      <c r="AB45" s="228">
        <v>0</v>
      </c>
      <c r="AC45" s="215"/>
    </row>
    <row r="46" spans="1:29" ht="2.25" customHeight="1">
      <c r="A46" s="215"/>
      <c r="B46" s="529" t="s">
        <v>212</v>
      </c>
      <c r="C46" s="529"/>
      <c r="D46" s="219" t="s">
        <v>212</v>
      </c>
      <c r="E46" s="222" t="s">
        <v>212</v>
      </c>
      <c r="F46" s="531" t="s">
        <v>212</v>
      </c>
      <c r="G46" s="531"/>
      <c r="H46" s="222" t="s">
        <v>212</v>
      </c>
      <c r="I46" s="531" t="s">
        <v>212</v>
      </c>
      <c r="J46" s="531"/>
      <c r="K46" s="222" t="s">
        <v>212</v>
      </c>
      <c r="L46" s="222" t="s">
        <v>212</v>
      </c>
      <c r="M46" s="222" t="s">
        <v>212</v>
      </c>
      <c r="N46" s="222" t="s">
        <v>212</v>
      </c>
      <c r="O46" s="222" t="s">
        <v>212</v>
      </c>
      <c r="P46" s="222" t="s">
        <v>212</v>
      </c>
      <c r="Q46" s="222" t="s">
        <v>212</v>
      </c>
      <c r="R46" s="222" t="s">
        <v>212</v>
      </c>
      <c r="S46" s="222" t="s">
        <v>212</v>
      </c>
      <c r="T46" s="531" t="s">
        <v>212</v>
      </c>
      <c r="U46" s="531"/>
      <c r="V46" s="222" t="s">
        <v>212</v>
      </c>
      <c r="W46" s="222" t="s">
        <v>212</v>
      </c>
      <c r="X46" s="531" t="s">
        <v>212</v>
      </c>
      <c r="Y46" s="531"/>
      <c r="Z46" s="222" t="s">
        <v>212</v>
      </c>
      <c r="AA46" s="222" t="s">
        <v>212</v>
      </c>
      <c r="AB46" s="222" t="s">
        <v>212</v>
      </c>
      <c r="AC46" s="215"/>
    </row>
    <row r="47" spans="1:29" ht="13.5" customHeight="1">
      <c r="A47" s="215"/>
      <c r="B47" s="535">
        <v>39098</v>
      </c>
      <c r="C47" s="535"/>
      <c r="D47" s="219" t="s">
        <v>212</v>
      </c>
      <c r="E47" s="229">
        <v>154.69999999999999</v>
      </c>
      <c r="F47" s="536">
        <v>24</v>
      </c>
      <c r="G47" s="536"/>
      <c r="H47" s="229">
        <v>219.4</v>
      </c>
      <c r="I47" s="536">
        <v>24</v>
      </c>
      <c r="J47" s="536"/>
      <c r="K47" s="229">
        <v>193.4</v>
      </c>
      <c r="L47" s="230">
        <v>24</v>
      </c>
      <c r="M47" s="229">
        <v>0</v>
      </c>
      <c r="N47" s="230">
        <v>0</v>
      </c>
      <c r="O47" s="231">
        <v>567.5</v>
      </c>
      <c r="P47" s="222" t="s">
        <v>212</v>
      </c>
      <c r="Q47" s="229">
        <v>80</v>
      </c>
      <c r="R47" s="230">
        <v>24</v>
      </c>
      <c r="S47" s="229">
        <v>0</v>
      </c>
      <c r="T47" s="536">
        <v>0</v>
      </c>
      <c r="U47" s="536"/>
      <c r="V47" s="229">
        <v>80</v>
      </c>
      <c r="W47" s="222" t="s">
        <v>212</v>
      </c>
      <c r="X47" s="530">
        <v>647.5</v>
      </c>
      <c r="Y47" s="530"/>
      <c r="Z47" s="222" t="s">
        <v>212</v>
      </c>
      <c r="AA47" s="232">
        <v>9254100</v>
      </c>
      <c r="AB47" s="233">
        <v>0</v>
      </c>
      <c r="AC47" s="215"/>
    </row>
    <row r="48" spans="1:29" ht="2.25" customHeight="1">
      <c r="A48" s="215"/>
      <c r="B48" s="529" t="s">
        <v>212</v>
      </c>
      <c r="C48" s="529"/>
      <c r="D48" s="219" t="s">
        <v>212</v>
      </c>
      <c r="E48" s="222" t="s">
        <v>212</v>
      </c>
      <c r="F48" s="531" t="s">
        <v>212</v>
      </c>
      <c r="G48" s="531"/>
      <c r="H48" s="222" t="s">
        <v>212</v>
      </c>
      <c r="I48" s="531" t="s">
        <v>212</v>
      </c>
      <c r="J48" s="531"/>
      <c r="K48" s="222" t="s">
        <v>212</v>
      </c>
      <c r="L48" s="222" t="s">
        <v>212</v>
      </c>
      <c r="M48" s="222" t="s">
        <v>212</v>
      </c>
      <c r="N48" s="222" t="s">
        <v>212</v>
      </c>
      <c r="O48" s="222" t="s">
        <v>212</v>
      </c>
      <c r="P48" s="222" t="s">
        <v>212</v>
      </c>
      <c r="Q48" s="222" t="s">
        <v>212</v>
      </c>
      <c r="R48" s="222" t="s">
        <v>212</v>
      </c>
      <c r="S48" s="222" t="s">
        <v>212</v>
      </c>
      <c r="T48" s="531" t="s">
        <v>212</v>
      </c>
      <c r="U48" s="531"/>
      <c r="V48" s="222" t="s">
        <v>212</v>
      </c>
      <c r="W48" s="222" t="s">
        <v>212</v>
      </c>
      <c r="X48" s="531" t="s">
        <v>212</v>
      </c>
      <c r="Y48" s="531"/>
      <c r="Z48" s="222" t="s">
        <v>212</v>
      </c>
      <c r="AA48" s="222" t="s">
        <v>212</v>
      </c>
      <c r="AB48" s="222" t="s">
        <v>212</v>
      </c>
      <c r="AC48" s="215"/>
    </row>
    <row r="49" spans="1:29" ht="13.5" customHeight="1">
      <c r="A49" s="215"/>
      <c r="B49" s="532">
        <v>39099</v>
      </c>
      <c r="C49" s="532"/>
      <c r="D49" s="219" t="s">
        <v>212</v>
      </c>
      <c r="E49" s="224">
        <v>153.6</v>
      </c>
      <c r="F49" s="533">
        <v>24</v>
      </c>
      <c r="G49" s="533"/>
      <c r="H49" s="224">
        <v>299.60000000000002</v>
      </c>
      <c r="I49" s="533">
        <v>24</v>
      </c>
      <c r="J49" s="533"/>
      <c r="K49" s="224">
        <v>194.6</v>
      </c>
      <c r="L49" s="225">
        <v>24</v>
      </c>
      <c r="M49" s="224">
        <v>0</v>
      </c>
      <c r="N49" s="225">
        <v>0</v>
      </c>
      <c r="O49" s="226">
        <v>647.79999999999995</v>
      </c>
      <c r="P49" s="222" t="s">
        <v>212</v>
      </c>
      <c r="Q49" s="224">
        <v>83</v>
      </c>
      <c r="R49" s="225">
        <v>24</v>
      </c>
      <c r="S49" s="224">
        <v>0</v>
      </c>
      <c r="T49" s="533">
        <v>0</v>
      </c>
      <c r="U49" s="533"/>
      <c r="V49" s="224">
        <v>83</v>
      </c>
      <c r="W49" s="222" t="s">
        <v>212</v>
      </c>
      <c r="X49" s="534">
        <v>730.8</v>
      </c>
      <c r="Y49" s="534"/>
      <c r="Z49" s="222" t="s">
        <v>212</v>
      </c>
      <c r="AA49" s="227">
        <v>9918800</v>
      </c>
      <c r="AB49" s="228">
        <v>0</v>
      </c>
      <c r="AC49" s="215"/>
    </row>
    <row r="50" spans="1:29" ht="2.25" customHeight="1">
      <c r="A50" s="215"/>
      <c r="B50" s="529" t="s">
        <v>212</v>
      </c>
      <c r="C50" s="529"/>
      <c r="D50" s="219" t="s">
        <v>212</v>
      </c>
      <c r="E50" s="222" t="s">
        <v>212</v>
      </c>
      <c r="F50" s="531" t="s">
        <v>212</v>
      </c>
      <c r="G50" s="531"/>
      <c r="H50" s="222" t="s">
        <v>212</v>
      </c>
      <c r="I50" s="531" t="s">
        <v>212</v>
      </c>
      <c r="J50" s="531"/>
      <c r="K50" s="222" t="s">
        <v>212</v>
      </c>
      <c r="L50" s="222" t="s">
        <v>212</v>
      </c>
      <c r="M50" s="222" t="s">
        <v>212</v>
      </c>
      <c r="N50" s="222" t="s">
        <v>212</v>
      </c>
      <c r="O50" s="222" t="s">
        <v>212</v>
      </c>
      <c r="P50" s="222" t="s">
        <v>212</v>
      </c>
      <c r="Q50" s="222" t="s">
        <v>212</v>
      </c>
      <c r="R50" s="222" t="s">
        <v>212</v>
      </c>
      <c r="S50" s="222" t="s">
        <v>212</v>
      </c>
      <c r="T50" s="531" t="s">
        <v>212</v>
      </c>
      <c r="U50" s="531"/>
      <c r="V50" s="222" t="s">
        <v>212</v>
      </c>
      <c r="W50" s="222" t="s">
        <v>212</v>
      </c>
      <c r="X50" s="531" t="s">
        <v>212</v>
      </c>
      <c r="Y50" s="531"/>
      <c r="Z50" s="222" t="s">
        <v>212</v>
      </c>
      <c r="AA50" s="222" t="s">
        <v>212</v>
      </c>
      <c r="AB50" s="222" t="s">
        <v>212</v>
      </c>
      <c r="AC50" s="215"/>
    </row>
    <row r="51" spans="1:29" ht="13.5" customHeight="1">
      <c r="A51" s="215"/>
      <c r="B51" s="535">
        <v>39100</v>
      </c>
      <c r="C51" s="535"/>
      <c r="D51" s="219" t="s">
        <v>212</v>
      </c>
      <c r="E51" s="229">
        <v>141.69999999999999</v>
      </c>
      <c r="F51" s="536">
        <v>24</v>
      </c>
      <c r="G51" s="536"/>
      <c r="H51" s="229">
        <v>310</v>
      </c>
      <c r="I51" s="536">
        <v>24</v>
      </c>
      <c r="J51" s="536"/>
      <c r="K51" s="229">
        <v>153</v>
      </c>
      <c r="L51" s="230">
        <v>24</v>
      </c>
      <c r="M51" s="229">
        <v>0</v>
      </c>
      <c r="N51" s="230">
        <v>0</v>
      </c>
      <c r="O51" s="231">
        <v>604.70000000000005</v>
      </c>
      <c r="P51" s="222" t="s">
        <v>212</v>
      </c>
      <c r="Q51" s="229">
        <v>86</v>
      </c>
      <c r="R51" s="230">
        <v>24</v>
      </c>
      <c r="S51" s="229">
        <v>0</v>
      </c>
      <c r="T51" s="536">
        <v>0</v>
      </c>
      <c r="U51" s="536"/>
      <c r="V51" s="229">
        <v>86</v>
      </c>
      <c r="W51" s="222" t="s">
        <v>212</v>
      </c>
      <c r="X51" s="530">
        <v>690.7</v>
      </c>
      <c r="Y51" s="530"/>
      <c r="Z51" s="222" t="s">
        <v>212</v>
      </c>
      <c r="AA51" s="232">
        <v>9800100</v>
      </c>
      <c r="AB51" s="233">
        <v>0</v>
      </c>
      <c r="AC51" s="215"/>
    </row>
    <row r="52" spans="1:29" ht="2.25" customHeight="1">
      <c r="A52" s="215"/>
      <c r="B52" s="529" t="s">
        <v>212</v>
      </c>
      <c r="C52" s="529"/>
      <c r="D52" s="219" t="s">
        <v>212</v>
      </c>
      <c r="E52" s="222" t="s">
        <v>212</v>
      </c>
      <c r="F52" s="531" t="s">
        <v>212</v>
      </c>
      <c r="G52" s="531"/>
      <c r="H52" s="222" t="s">
        <v>212</v>
      </c>
      <c r="I52" s="531" t="s">
        <v>212</v>
      </c>
      <c r="J52" s="531"/>
      <c r="K52" s="222" t="s">
        <v>212</v>
      </c>
      <c r="L52" s="222" t="s">
        <v>212</v>
      </c>
      <c r="M52" s="222" t="s">
        <v>212</v>
      </c>
      <c r="N52" s="222" t="s">
        <v>212</v>
      </c>
      <c r="O52" s="222" t="s">
        <v>212</v>
      </c>
      <c r="P52" s="222" t="s">
        <v>212</v>
      </c>
      <c r="Q52" s="222" t="s">
        <v>212</v>
      </c>
      <c r="R52" s="222" t="s">
        <v>212</v>
      </c>
      <c r="S52" s="222" t="s">
        <v>212</v>
      </c>
      <c r="T52" s="531" t="s">
        <v>212</v>
      </c>
      <c r="U52" s="531"/>
      <c r="V52" s="222" t="s">
        <v>212</v>
      </c>
      <c r="W52" s="222" t="s">
        <v>212</v>
      </c>
      <c r="X52" s="531" t="s">
        <v>212</v>
      </c>
      <c r="Y52" s="531"/>
      <c r="Z52" s="222" t="s">
        <v>212</v>
      </c>
      <c r="AA52" s="222" t="s">
        <v>212</v>
      </c>
      <c r="AB52" s="222" t="s">
        <v>212</v>
      </c>
      <c r="AC52" s="215"/>
    </row>
    <row r="53" spans="1:29" ht="13.5" customHeight="1">
      <c r="A53" s="215"/>
      <c r="B53" s="532">
        <v>39101</v>
      </c>
      <c r="C53" s="532"/>
      <c r="D53" s="219" t="s">
        <v>212</v>
      </c>
      <c r="E53" s="224">
        <v>147.5</v>
      </c>
      <c r="F53" s="533">
        <v>24</v>
      </c>
      <c r="G53" s="533"/>
      <c r="H53" s="224">
        <v>296.2</v>
      </c>
      <c r="I53" s="533">
        <v>24</v>
      </c>
      <c r="J53" s="533"/>
      <c r="K53" s="224">
        <v>169.5</v>
      </c>
      <c r="L53" s="225">
        <v>24</v>
      </c>
      <c r="M53" s="224">
        <v>0</v>
      </c>
      <c r="N53" s="225">
        <v>0</v>
      </c>
      <c r="O53" s="226">
        <v>613.20000000000005</v>
      </c>
      <c r="P53" s="222" t="s">
        <v>212</v>
      </c>
      <c r="Q53" s="224">
        <v>86</v>
      </c>
      <c r="R53" s="225">
        <v>24</v>
      </c>
      <c r="S53" s="224">
        <v>0</v>
      </c>
      <c r="T53" s="533">
        <v>0</v>
      </c>
      <c r="U53" s="533"/>
      <c r="V53" s="224">
        <v>86</v>
      </c>
      <c r="W53" s="222" t="s">
        <v>212</v>
      </c>
      <c r="X53" s="534">
        <v>699.2</v>
      </c>
      <c r="Y53" s="534"/>
      <c r="Z53" s="222" t="s">
        <v>212</v>
      </c>
      <c r="AA53" s="227">
        <v>9497600</v>
      </c>
      <c r="AB53" s="228">
        <v>0</v>
      </c>
      <c r="AC53" s="215"/>
    </row>
    <row r="54" spans="1:29" ht="2.25" customHeight="1">
      <c r="A54" s="215"/>
      <c r="B54" s="529" t="s">
        <v>212</v>
      </c>
      <c r="C54" s="529"/>
      <c r="D54" s="219" t="s">
        <v>212</v>
      </c>
      <c r="E54" s="222" t="s">
        <v>212</v>
      </c>
      <c r="F54" s="531" t="s">
        <v>212</v>
      </c>
      <c r="G54" s="531"/>
      <c r="H54" s="222" t="s">
        <v>212</v>
      </c>
      <c r="I54" s="531" t="s">
        <v>212</v>
      </c>
      <c r="J54" s="531"/>
      <c r="K54" s="222" t="s">
        <v>212</v>
      </c>
      <c r="L54" s="222" t="s">
        <v>212</v>
      </c>
      <c r="M54" s="222" t="s">
        <v>212</v>
      </c>
      <c r="N54" s="222" t="s">
        <v>212</v>
      </c>
      <c r="O54" s="222" t="s">
        <v>212</v>
      </c>
      <c r="P54" s="222" t="s">
        <v>212</v>
      </c>
      <c r="Q54" s="222" t="s">
        <v>212</v>
      </c>
      <c r="R54" s="222" t="s">
        <v>212</v>
      </c>
      <c r="S54" s="222" t="s">
        <v>212</v>
      </c>
      <c r="T54" s="531" t="s">
        <v>212</v>
      </c>
      <c r="U54" s="531"/>
      <c r="V54" s="222" t="s">
        <v>212</v>
      </c>
      <c r="W54" s="222" t="s">
        <v>212</v>
      </c>
      <c r="X54" s="531" t="s">
        <v>212</v>
      </c>
      <c r="Y54" s="531"/>
      <c r="Z54" s="222" t="s">
        <v>212</v>
      </c>
      <c r="AA54" s="222" t="s">
        <v>212</v>
      </c>
      <c r="AB54" s="222" t="s">
        <v>212</v>
      </c>
      <c r="AC54" s="215"/>
    </row>
    <row r="55" spans="1:29" ht="13.5" customHeight="1">
      <c r="A55" s="215"/>
      <c r="B55" s="535">
        <v>39102</v>
      </c>
      <c r="C55" s="535"/>
      <c r="D55" s="219" t="s">
        <v>212</v>
      </c>
      <c r="E55" s="229">
        <v>156.1</v>
      </c>
      <c r="F55" s="536">
        <v>24</v>
      </c>
      <c r="G55" s="536"/>
      <c r="H55" s="229">
        <v>284.10000000000002</v>
      </c>
      <c r="I55" s="536">
        <v>24</v>
      </c>
      <c r="J55" s="536"/>
      <c r="K55" s="229">
        <v>158.30000000000001</v>
      </c>
      <c r="L55" s="230">
        <v>24</v>
      </c>
      <c r="M55" s="229">
        <v>0</v>
      </c>
      <c r="N55" s="230">
        <v>0</v>
      </c>
      <c r="O55" s="231">
        <v>598.5</v>
      </c>
      <c r="P55" s="222" t="s">
        <v>212</v>
      </c>
      <c r="Q55" s="229">
        <v>84</v>
      </c>
      <c r="R55" s="230">
        <v>24</v>
      </c>
      <c r="S55" s="229">
        <v>0</v>
      </c>
      <c r="T55" s="536">
        <v>0</v>
      </c>
      <c r="U55" s="536"/>
      <c r="V55" s="229">
        <v>84</v>
      </c>
      <c r="W55" s="222" t="s">
        <v>212</v>
      </c>
      <c r="X55" s="530">
        <v>682.5</v>
      </c>
      <c r="Y55" s="530"/>
      <c r="Z55" s="222" t="s">
        <v>212</v>
      </c>
      <c r="AA55" s="232">
        <v>9826100</v>
      </c>
      <c r="AB55" s="233">
        <v>0</v>
      </c>
      <c r="AC55" s="215"/>
    </row>
    <row r="56" spans="1:29" ht="2.25" customHeight="1">
      <c r="A56" s="215"/>
      <c r="B56" s="529" t="s">
        <v>212</v>
      </c>
      <c r="C56" s="529"/>
      <c r="D56" s="219" t="s">
        <v>212</v>
      </c>
      <c r="E56" s="222" t="s">
        <v>212</v>
      </c>
      <c r="F56" s="531" t="s">
        <v>212</v>
      </c>
      <c r="G56" s="531"/>
      <c r="H56" s="222" t="s">
        <v>212</v>
      </c>
      <c r="I56" s="531" t="s">
        <v>212</v>
      </c>
      <c r="J56" s="531"/>
      <c r="K56" s="222" t="s">
        <v>212</v>
      </c>
      <c r="L56" s="222" t="s">
        <v>212</v>
      </c>
      <c r="M56" s="222" t="s">
        <v>212</v>
      </c>
      <c r="N56" s="222" t="s">
        <v>212</v>
      </c>
      <c r="O56" s="222" t="s">
        <v>212</v>
      </c>
      <c r="P56" s="222" t="s">
        <v>212</v>
      </c>
      <c r="Q56" s="222" t="s">
        <v>212</v>
      </c>
      <c r="R56" s="222" t="s">
        <v>212</v>
      </c>
      <c r="S56" s="222" t="s">
        <v>212</v>
      </c>
      <c r="T56" s="531" t="s">
        <v>212</v>
      </c>
      <c r="U56" s="531"/>
      <c r="V56" s="222" t="s">
        <v>212</v>
      </c>
      <c r="W56" s="222" t="s">
        <v>212</v>
      </c>
      <c r="X56" s="531" t="s">
        <v>212</v>
      </c>
      <c r="Y56" s="531"/>
      <c r="Z56" s="222" t="s">
        <v>212</v>
      </c>
      <c r="AA56" s="222" t="s">
        <v>212</v>
      </c>
      <c r="AB56" s="222" t="s">
        <v>212</v>
      </c>
      <c r="AC56" s="215"/>
    </row>
    <row r="57" spans="1:29" ht="13.5" customHeight="1">
      <c r="A57" s="215"/>
      <c r="B57" s="532">
        <v>39103</v>
      </c>
      <c r="C57" s="532"/>
      <c r="D57" s="219" t="s">
        <v>212</v>
      </c>
      <c r="E57" s="224">
        <v>212.9</v>
      </c>
      <c r="F57" s="533">
        <v>24</v>
      </c>
      <c r="G57" s="533"/>
      <c r="H57" s="224">
        <v>242.2</v>
      </c>
      <c r="I57" s="533">
        <v>24</v>
      </c>
      <c r="J57" s="533"/>
      <c r="K57" s="224">
        <v>72.2</v>
      </c>
      <c r="L57" s="225">
        <v>12</v>
      </c>
      <c r="M57" s="224">
        <v>0</v>
      </c>
      <c r="N57" s="225">
        <v>0</v>
      </c>
      <c r="O57" s="226">
        <v>527.29999999999995</v>
      </c>
      <c r="P57" s="222" t="s">
        <v>212</v>
      </c>
      <c r="Q57" s="224">
        <v>71</v>
      </c>
      <c r="R57" s="225">
        <v>24</v>
      </c>
      <c r="S57" s="224">
        <v>0</v>
      </c>
      <c r="T57" s="533">
        <v>0</v>
      </c>
      <c r="U57" s="533"/>
      <c r="V57" s="224">
        <v>71</v>
      </c>
      <c r="W57" s="222" t="s">
        <v>212</v>
      </c>
      <c r="X57" s="534">
        <v>598.29999999999995</v>
      </c>
      <c r="Y57" s="534"/>
      <c r="Z57" s="222" t="s">
        <v>212</v>
      </c>
      <c r="AA57" s="227">
        <v>8443000</v>
      </c>
      <c r="AB57" s="228">
        <v>0</v>
      </c>
      <c r="AC57" s="215"/>
    </row>
    <row r="58" spans="1:29" ht="2.25" customHeight="1">
      <c r="A58" s="215"/>
      <c r="B58" s="529" t="s">
        <v>212</v>
      </c>
      <c r="C58" s="529"/>
      <c r="D58" s="219" t="s">
        <v>212</v>
      </c>
      <c r="E58" s="222" t="s">
        <v>212</v>
      </c>
      <c r="F58" s="531" t="s">
        <v>212</v>
      </c>
      <c r="G58" s="531"/>
      <c r="H58" s="222" t="s">
        <v>212</v>
      </c>
      <c r="I58" s="531" t="s">
        <v>212</v>
      </c>
      <c r="J58" s="531"/>
      <c r="K58" s="222" t="s">
        <v>212</v>
      </c>
      <c r="L58" s="222" t="s">
        <v>212</v>
      </c>
      <c r="M58" s="222" t="s">
        <v>212</v>
      </c>
      <c r="N58" s="222" t="s">
        <v>212</v>
      </c>
      <c r="O58" s="222" t="s">
        <v>212</v>
      </c>
      <c r="P58" s="222" t="s">
        <v>212</v>
      </c>
      <c r="Q58" s="222" t="s">
        <v>212</v>
      </c>
      <c r="R58" s="222" t="s">
        <v>212</v>
      </c>
      <c r="S58" s="222" t="s">
        <v>212</v>
      </c>
      <c r="T58" s="531" t="s">
        <v>212</v>
      </c>
      <c r="U58" s="531"/>
      <c r="V58" s="222" t="s">
        <v>212</v>
      </c>
      <c r="W58" s="222" t="s">
        <v>212</v>
      </c>
      <c r="X58" s="531" t="s">
        <v>212</v>
      </c>
      <c r="Y58" s="531"/>
      <c r="Z58" s="222" t="s">
        <v>212</v>
      </c>
      <c r="AA58" s="222" t="s">
        <v>212</v>
      </c>
      <c r="AB58" s="222" t="s">
        <v>212</v>
      </c>
      <c r="AC58" s="215"/>
    </row>
    <row r="59" spans="1:29" ht="13.5" customHeight="1">
      <c r="A59" s="215"/>
      <c r="B59" s="535">
        <v>39104</v>
      </c>
      <c r="C59" s="535"/>
      <c r="D59" s="219" t="s">
        <v>212</v>
      </c>
      <c r="E59" s="229">
        <v>103.2</v>
      </c>
      <c r="F59" s="536">
        <v>19</v>
      </c>
      <c r="G59" s="536"/>
      <c r="H59" s="229">
        <v>196</v>
      </c>
      <c r="I59" s="536">
        <v>24</v>
      </c>
      <c r="J59" s="536"/>
      <c r="K59" s="229">
        <v>253</v>
      </c>
      <c r="L59" s="230">
        <v>24</v>
      </c>
      <c r="M59" s="229">
        <v>0</v>
      </c>
      <c r="N59" s="230">
        <v>0</v>
      </c>
      <c r="O59" s="231">
        <v>552.20000000000005</v>
      </c>
      <c r="P59" s="222" t="s">
        <v>212</v>
      </c>
      <c r="Q59" s="229">
        <v>75</v>
      </c>
      <c r="R59" s="230">
        <v>24</v>
      </c>
      <c r="S59" s="229">
        <v>0</v>
      </c>
      <c r="T59" s="536">
        <v>0</v>
      </c>
      <c r="U59" s="536"/>
      <c r="V59" s="229">
        <v>75</v>
      </c>
      <c r="W59" s="222" t="s">
        <v>212</v>
      </c>
      <c r="X59" s="530">
        <v>627.20000000000005</v>
      </c>
      <c r="Y59" s="530"/>
      <c r="Z59" s="222" t="s">
        <v>212</v>
      </c>
      <c r="AA59" s="232">
        <v>9203300</v>
      </c>
      <c r="AB59" s="233">
        <v>0</v>
      </c>
      <c r="AC59" s="215"/>
    </row>
    <row r="60" spans="1:29" ht="2.25" customHeight="1">
      <c r="A60" s="215"/>
      <c r="B60" s="529" t="s">
        <v>212</v>
      </c>
      <c r="C60" s="529"/>
      <c r="D60" s="219" t="s">
        <v>212</v>
      </c>
      <c r="E60" s="222" t="s">
        <v>212</v>
      </c>
      <c r="F60" s="531" t="s">
        <v>212</v>
      </c>
      <c r="G60" s="531"/>
      <c r="H60" s="222" t="s">
        <v>212</v>
      </c>
      <c r="I60" s="531" t="s">
        <v>212</v>
      </c>
      <c r="J60" s="531"/>
      <c r="K60" s="222" t="s">
        <v>212</v>
      </c>
      <c r="L60" s="222" t="s">
        <v>212</v>
      </c>
      <c r="M60" s="222" t="s">
        <v>212</v>
      </c>
      <c r="N60" s="222" t="s">
        <v>212</v>
      </c>
      <c r="O60" s="222" t="s">
        <v>212</v>
      </c>
      <c r="P60" s="222" t="s">
        <v>212</v>
      </c>
      <c r="Q60" s="222" t="s">
        <v>212</v>
      </c>
      <c r="R60" s="222" t="s">
        <v>212</v>
      </c>
      <c r="S60" s="222" t="s">
        <v>212</v>
      </c>
      <c r="T60" s="531" t="s">
        <v>212</v>
      </c>
      <c r="U60" s="531"/>
      <c r="V60" s="222" t="s">
        <v>212</v>
      </c>
      <c r="W60" s="222" t="s">
        <v>212</v>
      </c>
      <c r="X60" s="531" t="s">
        <v>212</v>
      </c>
      <c r="Y60" s="531"/>
      <c r="Z60" s="222" t="s">
        <v>212</v>
      </c>
      <c r="AA60" s="222" t="s">
        <v>212</v>
      </c>
      <c r="AB60" s="222" t="s">
        <v>212</v>
      </c>
      <c r="AC60" s="215"/>
    </row>
    <row r="61" spans="1:29" ht="13.5" customHeight="1">
      <c r="A61" s="215"/>
      <c r="B61" s="532">
        <v>39105</v>
      </c>
      <c r="C61" s="532"/>
      <c r="D61" s="219" t="s">
        <v>212</v>
      </c>
      <c r="E61" s="224">
        <v>0</v>
      </c>
      <c r="F61" s="533">
        <v>0</v>
      </c>
      <c r="G61" s="533"/>
      <c r="H61" s="224">
        <v>307.7</v>
      </c>
      <c r="I61" s="533">
        <v>24</v>
      </c>
      <c r="J61" s="533"/>
      <c r="K61" s="224">
        <v>275.7</v>
      </c>
      <c r="L61" s="225">
        <v>24</v>
      </c>
      <c r="M61" s="224">
        <v>0</v>
      </c>
      <c r="N61" s="225">
        <v>0</v>
      </c>
      <c r="O61" s="226">
        <v>583.4</v>
      </c>
      <c r="P61" s="222" t="s">
        <v>212</v>
      </c>
      <c r="Q61" s="224">
        <v>86</v>
      </c>
      <c r="R61" s="225">
        <v>24</v>
      </c>
      <c r="S61" s="224">
        <v>0</v>
      </c>
      <c r="T61" s="533">
        <v>0</v>
      </c>
      <c r="U61" s="533"/>
      <c r="V61" s="224">
        <v>86</v>
      </c>
      <c r="W61" s="222" t="s">
        <v>212</v>
      </c>
      <c r="X61" s="534">
        <v>669.4</v>
      </c>
      <c r="Y61" s="534"/>
      <c r="Z61" s="222" t="s">
        <v>212</v>
      </c>
      <c r="AA61" s="227">
        <v>7955100</v>
      </c>
      <c r="AB61" s="228">
        <v>0</v>
      </c>
      <c r="AC61" s="215"/>
    </row>
    <row r="62" spans="1:29" ht="2.25" customHeight="1">
      <c r="A62" s="215"/>
      <c r="B62" s="529" t="s">
        <v>212</v>
      </c>
      <c r="C62" s="529"/>
      <c r="D62" s="219" t="s">
        <v>212</v>
      </c>
      <c r="E62" s="222" t="s">
        <v>212</v>
      </c>
      <c r="F62" s="531" t="s">
        <v>212</v>
      </c>
      <c r="G62" s="531"/>
      <c r="H62" s="222" t="s">
        <v>212</v>
      </c>
      <c r="I62" s="531" t="s">
        <v>212</v>
      </c>
      <c r="J62" s="531"/>
      <c r="K62" s="222" t="s">
        <v>212</v>
      </c>
      <c r="L62" s="222" t="s">
        <v>212</v>
      </c>
      <c r="M62" s="222" t="s">
        <v>212</v>
      </c>
      <c r="N62" s="222" t="s">
        <v>212</v>
      </c>
      <c r="O62" s="222" t="s">
        <v>212</v>
      </c>
      <c r="P62" s="222" t="s">
        <v>212</v>
      </c>
      <c r="Q62" s="222" t="s">
        <v>212</v>
      </c>
      <c r="R62" s="222" t="s">
        <v>212</v>
      </c>
      <c r="S62" s="222" t="s">
        <v>212</v>
      </c>
      <c r="T62" s="531" t="s">
        <v>212</v>
      </c>
      <c r="U62" s="531"/>
      <c r="V62" s="222" t="s">
        <v>212</v>
      </c>
      <c r="W62" s="222" t="s">
        <v>212</v>
      </c>
      <c r="X62" s="531" t="s">
        <v>212</v>
      </c>
      <c r="Y62" s="531"/>
      <c r="Z62" s="222" t="s">
        <v>212</v>
      </c>
      <c r="AA62" s="222" t="s">
        <v>212</v>
      </c>
      <c r="AB62" s="222" t="s">
        <v>212</v>
      </c>
      <c r="AC62" s="215"/>
    </row>
    <row r="63" spans="1:29" ht="13.5" customHeight="1">
      <c r="A63" s="215"/>
      <c r="B63" s="535">
        <v>39106</v>
      </c>
      <c r="C63" s="535"/>
      <c r="D63" s="219" t="s">
        <v>212</v>
      </c>
      <c r="E63" s="229">
        <v>0</v>
      </c>
      <c r="F63" s="536">
        <v>0</v>
      </c>
      <c r="G63" s="536"/>
      <c r="H63" s="229">
        <v>272.7</v>
      </c>
      <c r="I63" s="536">
        <v>24</v>
      </c>
      <c r="J63" s="536"/>
      <c r="K63" s="229">
        <v>244.4</v>
      </c>
      <c r="L63" s="230">
        <v>24</v>
      </c>
      <c r="M63" s="229">
        <v>0</v>
      </c>
      <c r="N63" s="230">
        <v>0</v>
      </c>
      <c r="O63" s="231">
        <v>517.1</v>
      </c>
      <c r="P63" s="222" t="s">
        <v>212</v>
      </c>
      <c r="Q63" s="229">
        <v>89</v>
      </c>
      <c r="R63" s="230">
        <v>24</v>
      </c>
      <c r="S63" s="229">
        <v>0</v>
      </c>
      <c r="T63" s="536">
        <v>0</v>
      </c>
      <c r="U63" s="536"/>
      <c r="V63" s="229">
        <v>89</v>
      </c>
      <c r="W63" s="222" t="s">
        <v>212</v>
      </c>
      <c r="X63" s="530">
        <v>606.1</v>
      </c>
      <c r="Y63" s="530"/>
      <c r="Z63" s="222" t="s">
        <v>212</v>
      </c>
      <c r="AA63" s="232">
        <v>7416300</v>
      </c>
      <c r="AB63" s="233">
        <v>0</v>
      </c>
      <c r="AC63" s="215"/>
    </row>
    <row r="64" spans="1:29" ht="2.25" customHeight="1">
      <c r="A64" s="215"/>
      <c r="B64" s="529" t="s">
        <v>212</v>
      </c>
      <c r="C64" s="529"/>
      <c r="D64" s="219" t="s">
        <v>212</v>
      </c>
      <c r="E64" s="222" t="s">
        <v>212</v>
      </c>
      <c r="F64" s="531" t="s">
        <v>212</v>
      </c>
      <c r="G64" s="531"/>
      <c r="H64" s="222" t="s">
        <v>212</v>
      </c>
      <c r="I64" s="531" t="s">
        <v>212</v>
      </c>
      <c r="J64" s="531"/>
      <c r="K64" s="222" t="s">
        <v>212</v>
      </c>
      <c r="L64" s="222" t="s">
        <v>212</v>
      </c>
      <c r="M64" s="222" t="s">
        <v>212</v>
      </c>
      <c r="N64" s="222" t="s">
        <v>212</v>
      </c>
      <c r="O64" s="222" t="s">
        <v>212</v>
      </c>
      <c r="P64" s="222" t="s">
        <v>212</v>
      </c>
      <c r="Q64" s="222" t="s">
        <v>212</v>
      </c>
      <c r="R64" s="222" t="s">
        <v>212</v>
      </c>
      <c r="S64" s="222" t="s">
        <v>212</v>
      </c>
      <c r="T64" s="531" t="s">
        <v>212</v>
      </c>
      <c r="U64" s="531"/>
      <c r="V64" s="222" t="s">
        <v>212</v>
      </c>
      <c r="W64" s="222" t="s">
        <v>212</v>
      </c>
      <c r="X64" s="531" t="s">
        <v>212</v>
      </c>
      <c r="Y64" s="531"/>
      <c r="Z64" s="222" t="s">
        <v>212</v>
      </c>
      <c r="AA64" s="222" t="s">
        <v>212</v>
      </c>
      <c r="AB64" s="222" t="s">
        <v>212</v>
      </c>
      <c r="AC64" s="215"/>
    </row>
    <row r="65" spans="1:29" ht="13.5" customHeight="1">
      <c r="A65" s="215"/>
      <c r="B65" s="532">
        <v>39107</v>
      </c>
      <c r="C65" s="532"/>
      <c r="D65" s="219" t="s">
        <v>212</v>
      </c>
      <c r="E65" s="224">
        <v>0</v>
      </c>
      <c r="F65" s="533">
        <v>0</v>
      </c>
      <c r="G65" s="533"/>
      <c r="H65" s="224">
        <v>312.60000000000002</v>
      </c>
      <c r="I65" s="533">
        <v>24</v>
      </c>
      <c r="J65" s="533"/>
      <c r="K65" s="224">
        <v>272.39999999999998</v>
      </c>
      <c r="L65" s="225">
        <v>24</v>
      </c>
      <c r="M65" s="224">
        <v>0</v>
      </c>
      <c r="N65" s="225">
        <v>0</v>
      </c>
      <c r="O65" s="226">
        <v>585</v>
      </c>
      <c r="P65" s="222" t="s">
        <v>212</v>
      </c>
      <c r="Q65" s="224">
        <v>91</v>
      </c>
      <c r="R65" s="225">
        <v>24</v>
      </c>
      <c r="S65" s="224">
        <v>0</v>
      </c>
      <c r="T65" s="533">
        <v>0</v>
      </c>
      <c r="U65" s="533"/>
      <c r="V65" s="224">
        <v>91</v>
      </c>
      <c r="W65" s="222" t="s">
        <v>212</v>
      </c>
      <c r="X65" s="534">
        <v>676</v>
      </c>
      <c r="Y65" s="534"/>
      <c r="Z65" s="222" t="s">
        <v>212</v>
      </c>
      <c r="AA65" s="227">
        <v>7998600</v>
      </c>
      <c r="AB65" s="228">
        <v>0</v>
      </c>
      <c r="AC65" s="215"/>
    </row>
    <row r="66" spans="1:29" ht="2.25" customHeight="1">
      <c r="A66" s="215"/>
      <c r="B66" s="529" t="s">
        <v>212</v>
      </c>
      <c r="C66" s="529"/>
      <c r="D66" s="219" t="s">
        <v>212</v>
      </c>
      <c r="E66" s="222" t="s">
        <v>212</v>
      </c>
      <c r="F66" s="531" t="s">
        <v>212</v>
      </c>
      <c r="G66" s="531"/>
      <c r="H66" s="222" t="s">
        <v>212</v>
      </c>
      <c r="I66" s="531" t="s">
        <v>212</v>
      </c>
      <c r="J66" s="531"/>
      <c r="K66" s="222" t="s">
        <v>212</v>
      </c>
      <c r="L66" s="222" t="s">
        <v>212</v>
      </c>
      <c r="M66" s="222" t="s">
        <v>212</v>
      </c>
      <c r="N66" s="222" t="s">
        <v>212</v>
      </c>
      <c r="O66" s="222" t="s">
        <v>212</v>
      </c>
      <c r="P66" s="222" t="s">
        <v>212</v>
      </c>
      <c r="Q66" s="222" t="s">
        <v>212</v>
      </c>
      <c r="R66" s="222" t="s">
        <v>212</v>
      </c>
      <c r="S66" s="222" t="s">
        <v>212</v>
      </c>
      <c r="T66" s="531" t="s">
        <v>212</v>
      </c>
      <c r="U66" s="531"/>
      <c r="V66" s="222" t="s">
        <v>212</v>
      </c>
      <c r="W66" s="222" t="s">
        <v>212</v>
      </c>
      <c r="X66" s="531" t="s">
        <v>212</v>
      </c>
      <c r="Y66" s="531"/>
      <c r="Z66" s="222" t="s">
        <v>212</v>
      </c>
      <c r="AA66" s="222" t="s">
        <v>212</v>
      </c>
      <c r="AB66" s="222" t="s">
        <v>212</v>
      </c>
      <c r="AC66" s="215"/>
    </row>
    <row r="67" spans="1:29" ht="13.5" customHeight="1">
      <c r="A67" s="215"/>
      <c r="B67" s="535">
        <v>39108</v>
      </c>
      <c r="C67" s="535"/>
      <c r="D67" s="219" t="s">
        <v>212</v>
      </c>
      <c r="E67" s="229">
        <v>0</v>
      </c>
      <c r="F67" s="536">
        <v>0</v>
      </c>
      <c r="G67" s="536"/>
      <c r="H67" s="229">
        <v>279.8</v>
      </c>
      <c r="I67" s="536">
        <v>24</v>
      </c>
      <c r="J67" s="536"/>
      <c r="K67" s="229">
        <v>259.39999999999998</v>
      </c>
      <c r="L67" s="230">
        <v>24</v>
      </c>
      <c r="M67" s="229">
        <v>0</v>
      </c>
      <c r="N67" s="230">
        <v>0</v>
      </c>
      <c r="O67" s="231">
        <v>539.20000000000005</v>
      </c>
      <c r="P67" s="222" t="s">
        <v>212</v>
      </c>
      <c r="Q67" s="229">
        <v>75</v>
      </c>
      <c r="R67" s="230">
        <v>24</v>
      </c>
      <c r="S67" s="229">
        <v>0</v>
      </c>
      <c r="T67" s="536">
        <v>0</v>
      </c>
      <c r="U67" s="536"/>
      <c r="V67" s="229">
        <v>75</v>
      </c>
      <c r="W67" s="222" t="s">
        <v>212</v>
      </c>
      <c r="X67" s="530">
        <v>614.20000000000005</v>
      </c>
      <c r="Y67" s="530"/>
      <c r="Z67" s="222" t="s">
        <v>212</v>
      </c>
      <c r="AA67" s="232">
        <v>7675200</v>
      </c>
      <c r="AB67" s="233">
        <v>0</v>
      </c>
      <c r="AC67" s="215"/>
    </row>
    <row r="68" spans="1:29" ht="2.25" customHeight="1">
      <c r="A68" s="215"/>
      <c r="B68" s="529" t="s">
        <v>212</v>
      </c>
      <c r="C68" s="529"/>
      <c r="D68" s="219" t="s">
        <v>212</v>
      </c>
      <c r="E68" s="222" t="s">
        <v>212</v>
      </c>
      <c r="F68" s="531" t="s">
        <v>212</v>
      </c>
      <c r="G68" s="531"/>
      <c r="H68" s="222" t="s">
        <v>212</v>
      </c>
      <c r="I68" s="531" t="s">
        <v>212</v>
      </c>
      <c r="J68" s="531"/>
      <c r="K68" s="222" t="s">
        <v>212</v>
      </c>
      <c r="L68" s="222" t="s">
        <v>212</v>
      </c>
      <c r="M68" s="222" t="s">
        <v>212</v>
      </c>
      <c r="N68" s="222" t="s">
        <v>212</v>
      </c>
      <c r="O68" s="222" t="s">
        <v>212</v>
      </c>
      <c r="P68" s="222" t="s">
        <v>212</v>
      </c>
      <c r="Q68" s="222" t="s">
        <v>212</v>
      </c>
      <c r="R68" s="222" t="s">
        <v>212</v>
      </c>
      <c r="S68" s="222" t="s">
        <v>212</v>
      </c>
      <c r="T68" s="531" t="s">
        <v>212</v>
      </c>
      <c r="U68" s="531"/>
      <c r="V68" s="222" t="s">
        <v>212</v>
      </c>
      <c r="W68" s="222" t="s">
        <v>212</v>
      </c>
      <c r="X68" s="531" t="s">
        <v>212</v>
      </c>
      <c r="Y68" s="531"/>
      <c r="Z68" s="222" t="s">
        <v>212</v>
      </c>
      <c r="AA68" s="222" t="s">
        <v>212</v>
      </c>
      <c r="AB68" s="222" t="s">
        <v>212</v>
      </c>
      <c r="AC68" s="215"/>
    </row>
    <row r="69" spans="1:29" ht="13.5" customHeight="1">
      <c r="A69" s="215"/>
      <c r="B69" s="532">
        <v>39109</v>
      </c>
      <c r="C69" s="532"/>
      <c r="D69" s="219" t="s">
        <v>212</v>
      </c>
      <c r="E69" s="224">
        <v>94.3</v>
      </c>
      <c r="F69" s="533">
        <v>12</v>
      </c>
      <c r="G69" s="533"/>
      <c r="H69" s="224">
        <v>278.8</v>
      </c>
      <c r="I69" s="533">
        <v>24</v>
      </c>
      <c r="J69" s="533"/>
      <c r="K69" s="224">
        <v>236.5</v>
      </c>
      <c r="L69" s="225">
        <v>24</v>
      </c>
      <c r="M69" s="224">
        <v>0</v>
      </c>
      <c r="N69" s="225">
        <v>0</v>
      </c>
      <c r="O69" s="226">
        <v>609.6</v>
      </c>
      <c r="P69" s="222" t="s">
        <v>212</v>
      </c>
      <c r="Q69" s="224">
        <v>78</v>
      </c>
      <c r="R69" s="225">
        <v>24</v>
      </c>
      <c r="S69" s="224">
        <v>0</v>
      </c>
      <c r="T69" s="533">
        <v>0</v>
      </c>
      <c r="U69" s="533"/>
      <c r="V69" s="224">
        <v>78</v>
      </c>
      <c r="W69" s="222" t="s">
        <v>212</v>
      </c>
      <c r="X69" s="534">
        <v>687.6</v>
      </c>
      <c r="Y69" s="534"/>
      <c r="Z69" s="222" t="s">
        <v>212</v>
      </c>
      <c r="AA69" s="227">
        <v>8870100</v>
      </c>
      <c r="AB69" s="228">
        <v>420</v>
      </c>
      <c r="AC69" s="215"/>
    </row>
    <row r="70" spans="1:29" ht="2.25" customHeight="1">
      <c r="A70" s="215"/>
      <c r="B70" s="529" t="s">
        <v>212</v>
      </c>
      <c r="C70" s="529"/>
      <c r="D70" s="219" t="s">
        <v>212</v>
      </c>
      <c r="E70" s="222" t="s">
        <v>212</v>
      </c>
      <c r="F70" s="531" t="s">
        <v>212</v>
      </c>
      <c r="G70" s="531"/>
      <c r="H70" s="222" t="s">
        <v>212</v>
      </c>
      <c r="I70" s="531" t="s">
        <v>212</v>
      </c>
      <c r="J70" s="531"/>
      <c r="K70" s="222" t="s">
        <v>212</v>
      </c>
      <c r="L70" s="222" t="s">
        <v>212</v>
      </c>
      <c r="M70" s="222" t="s">
        <v>212</v>
      </c>
      <c r="N70" s="222" t="s">
        <v>212</v>
      </c>
      <c r="O70" s="222" t="s">
        <v>212</v>
      </c>
      <c r="P70" s="222" t="s">
        <v>212</v>
      </c>
      <c r="Q70" s="222" t="s">
        <v>212</v>
      </c>
      <c r="R70" s="222" t="s">
        <v>212</v>
      </c>
      <c r="S70" s="222" t="s">
        <v>212</v>
      </c>
      <c r="T70" s="531" t="s">
        <v>212</v>
      </c>
      <c r="U70" s="531"/>
      <c r="V70" s="222" t="s">
        <v>212</v>
      </c>
      <c r="W70" s="222" t="s">
        <v>212</v>
      </c>
      <c r="X70" s="531" t="s">
        <v>212</v>
      </c>
      <c r="Y70" s="531"/>
      <c r="Z70" s="222" t="s">
        <v>212</v>
      </c>
      <c r="AA70" s="222" t="s">
        <v>212</v>
      </c>
      <c r="AB70" s="222" t="s">
        <v>212</v>
      </c>
      <c r="AC70" s="215"/>
    </row>
    <row r="71" spans="1:29" ht="13.5" customHeight="1">
      <c r="A71" s="215"/>
      <c r="B71" s="535">
        <v>39110</v>
      </c>
      <c r="C71" s="535"/>
      <c r="D71" s="219" t="s">
        <v>212</v>
      </c>
      <c r="E71" s="229">
        <v>196</v>
      </c>
      <c r="F71" s="536">
        <v>24</v>
      </c>
      <c r="G71" s="536"/>
      <c r="H71" s="229">
        <v>251.9</v>
      </c>
      <c r="I71" s="536">
        <v>24</v>
      </c>
      <c r="J71" s="536"/>
      <c r="K71" s="229">
        <v>167.6</v>
      </c>
      <c r="L71" s="230">
        <v>24</v>
      </c>
      <c r="M71" s="229">
        <v>0</v>
      </c>
      <c r="N71" s="230">
        <v>0</v>
      </c>
      <c r="O71" s="231">
        <v>615.5</v>
      </c>
      <c r="P71" s="222" t="s">
        <v>212</v>
      </c>
      <c r="Q71" s="229">
        <v>80</v>
      </c>
      <c r="R71" s="230">
        <v>24</v>
      </c>
      <c r="S71" s="229">
        <v>0</v>
      </c>
      <c r="T71" s="536">
        <v>0</v>
      </c>
      <c r="U71" s="536"/>
      <c r="V71" s="229">
        <v>80</v>
      </c>
      <c r="W71" s="222" t="s">
        <v>212</v>
      </c>
      <c r="X71" s="530">
        <v>695.5</v>
      </c>
      <c r="Y71" s="530"/>
      <c r="Z71" s="222" t="s">
        <v>212</v>
      </c>
      <c r="AA71" s="232">
        <v>9997300</v>
      </c>
      <c r="AB71" s="233">
        <v>0</v>
      </c>
      <c r="AC71" s="215"/>
    </row>
    <row r="72" spans="1:29" ht="2.25" customHeight="1">
      <c r="A72" s="215"/>
      <c r="B72" s="529" t="s">
        <v>212</v>
      </c>
      <c r="C72" s="529"/>
      <c r="D72" s="219" t="s">
        <v>212</v>
      </c>
      <c r="E72" s="222" t="s">
        <v>212</v>
      </c>
      <c r="F72" s="531" t="s">
        <v>212</v>
      </c>
      <c r="G72" s="531"/>
      <c r="H72" s="222" t="s">
        <v>212</v>
      </c>
      <c r="I72" s="531" t="s">
        <v>212</v>
      </c>
      <c r="J72" s="531"/>
      <c r="K72" s="222" t="s">
        <v>212</v>
      </c>
      <c r="L72" s="222" t="s">
        <v>212</v>
      </c>
      <c r="M72" s="222" t="s">
        <v>212</v>
      </c>
      <c r="N72" s="222" t="s">
        <v>212</v>
      </c>
      <c r="O72" s="222" t="s">
        <v>212</v>
      </c>
      <c r="P72" s="222" t="s">
        <v>212</v>
      </c>
      <c r="Q72" s="222" t="s">
        <v>212</v>
      </c>
      <c r="R72" s="222" t="s">
        <v>212</v>
      </c>
      <c r="S72" s="222" t="s">
        <v>212</v>
      </c>
      <c r="T72" s="531" t="s">
        <v>212</v>
      </c>
      <c r="U72" s="531"/>
      <c r="V72" s="222" t="s">
        <v>212</v>
      </c>
      <c r="W72" s="222" t="s">
        <v>212</v>
      </c>
      <c r="X72" s="531" t="s">
        <v>212</v>
      </c>
      <c r="Y72" s="531"/>
      <c r="Z72" s="222" t="s">
        <v>212</v>
      </c>
      <c r="AA72" s="222" t="s">
        <v>212</v>
      </c>
      <c r="AB72" s="222" t="s">
        <v>212</v>
      </c>
      <c r="AC72" s="215"/>
    </row>
    <row r="73" spans="1:29" ht="13.5" customHeight="1">
      <c r="A73" s="215"/>
      <c r="B73" s="532">
        <v>39111</v>
      </c>
      <c r="C73" s="532"/>
      <c r="D73" s="219" t="s">
        <v>212</v>
      </c>
      <c r="E73" s="224">
        <v>192</v>
      </c>
      <c r="F73" s="533">
        <v>24</v>
      </c>
      <c r="G73" s="533"/>
      <c r="H73" s="224">
        <v>210.5</v>
      </c>
      <c r="I73" s="533">
        <v>24</v>
      </c>
      <c r="J73" s="533"/>
      <c r="K73" s="224">
        <v>174</v>
      </c>
      <c r="L73" s="225">
        <v>24</v>
      </c>
      <c r="M73" s="224">
        <v>0</v>
      </c>
      <c r="N73" s="225">
        <v>0</v>
      </c>
      <c r="O73" s="226">
        <v>576.5</v>
      </c>
      <c r="P73" s="222" t="s">
        <v>212</v>
      </c>
      <c r="Q73" s="224">
        <v>85</v>
      </c>
      <c r="R73" s="225">
        <v>24</v>
      </c>
      <c r="S73" s="224">
        <v>0</v>
      </c>
      <c r="T73" s="533">
        <v>0</v>
      </c>
      <c r="U73" s="533"/>
      <c r="V73" s="224">
        <v>85</v>
      </c>
      <c r="W73" s="222" t="s">
        <v>212</v>
      </c>
      <c r="X73" s="534">
        <v>661.5</v>
      </c>
      <c r="Y73" s="534"/>
      <c r="Z73" s="222" t="s">
        <v>212</v>
      </c>
      <c r="AA73" s="227">
        <v>9582500</v>
      </c>
      <c r="AB73" s="228">
        <v>0</v>
      </c>
      <c r="AC73" s="215"/>
    </row>
    <row r="74" spans="1:29" ht="2.25" customHeight="1">
      <c r="A74" s="215"/>
      <c r="B74" s="529" t="s">
        <v>212</v>
      </c>
      <c r="C74" s="529"/>
      <c r="D74" s="219" t="s">
        <v>212</v>
      </c>
      <c r="E74" s="222" t="s">
        <v>212</v>
      </c>
      <c r="F74" s="531" t="s">
        <v>212</v>
      </c>
      <c r="G74" s="531"/>
      <c r="H74" s="222" t="s">
        <v>212</v>
      </c>
      <c r="I74" s="531" t="s">
        <v>212</v>
      </c>
      <c r="J74" s="531"/>
      <c r="K74" s="222" t="s">
        <v>212</v>
      </c>
      <c r="L74" s="222" t="s">
        <v>212</v>
      </c>
      <c r="M74" s="222" t="s">
        <v>212</v>
      </c>
      <c r="N74" s="222" t="s">
        <v>212</v>
      </c>
      <c r="O74" s="222" t="s">
        <v>212</v>
      </c>
      <c r="P74" s="222" t="s">
        <v>212</v>
      </c>
      <c r="Q74" s="222" t="s">
        <v>212</v>
      </c>
      <c r="R74" s="222" t="s">
        <v>212</v>
      </c>
      <c r="S74" s="222" t="s">
        <v>212</v>
      </c>
      <c r="T74" s="531" t="s">
        <v>212</v>
      </c>
      <c r="U74" s="531"/>
      <c r="V74" s="222" t="s">
        <v>212</v>
      </c>
      <c r="W74" s="222" t="s">
        <v>212</v>
      </c>
      <c r="X74" s="531" t="s">
        <v>212</v>
      </c>
      <c r="Y74" s="531"/>
      <c r="Z74" s="222" t="s">
        <v>212</v>
      </c>
      <c r="AA74" s="222" t="s">
        <v>212</v>
      </c>
      <c r="AB74" s="222" t="s">
        <v>212</v>
      </c>
      <c r="AC74" s="215"/>
    </row>
    <row r="75" spans="1:29" ht="13.5" customHeight="1">
      <c r="A75" s="215"/>
      <c r="B75" s="535">
        <v>39112</v>
      </c>
      <c r="C75" s="535"/>
      <c r="D75" s="219" t="s">
        <v>212</v>
      </c>
      <c r="E75" s="229">
        <v>93.2</v>
      </c>
      <c r="F75" s="536">
        <v>24</v>
      </c>
      <c r="G75" s="536"/>
      <c r="H75" s="229">
        <v>181.9</v>
      </c>
      <c r="I75" s="536">
        <v>24</v>
      </c>
      <c r="J75" s="536"/>
      <c r="K75" s="229">
        <v>209.2</v>
      </c>
      <c r="L75" s="230">
        <v>24</v>
      </c>
      <c r="M75" s="229">
        <v>0</v>
      </c>
      <c r="N75" s="230">
        <v>0</v>
      </c>
      <c r="O75" s="231">
        <v>484.3</v>
      </c>
      <c r="P75" s="222" t="s">
        <v>212</v>
      </c>
      <c r="Q75" s="229">
        <v>83</v>
      </c>
      <c r="R75" s="230">
        <v>24</v>
      </c>
      <c r="S75" s="229">
        <v>0</v>
      </c>
      <c r="T75" s="536">
        <v>0</v>
      </c>
      <c r="U75" s="536"/>
      <c r="V75" s="229">
        <v>83</v>
      </c>
      <c r="W75" s="222" t="s">
        <v>212</v>
      </c>
      <c r="X75" s="530">
        <v>567.29999999999995</v>
      </c>
      <c r="Y75" s="530"/>
      <c r="Z75" s="222" t="s">
        <v>212</v>
      </c>
      <c r="AA75" s="232">
        <v>8197900</v>
      </c>
      <c r="AB75" s="233">
        <v>59345</v>
      </c>
      <c r="AC75" s="215"/>
    </row>
    <row r="76" spans="1:29" ht="2.25" customHeight="1">
      <c r="A76" s="215"/>
      <c r="B76" s="529" t="s">
        <v>212</v>
      </c>
      <c r="C76" s="529"/>
      <c r="D76" s="219" t="s">
        <v>212</v>
      </c>
      <c r="E76" s="222" t="s">
        <v>212</v>
      </c>
      <c r="F76" s="531" t="s">
        <v>212</v>
      </c>
      <c r="G76" s="531"/>
      <c r="H76" s="222" t="s">
        <v>212</v>
      </c>
      <c r="I76" s="531" t="s">
        <v>212</v>
      </c>
      <c r="J76" s="531"/>
      <c r="K76" s="222" t="s">
        <v>212</v>
      </c>
      <c r="L76" s="222" t="s">
        <v>212</v>
      </c>
      <c r="M76" s="222" t="s">
        <v>212</v>
      </c>
      <c r="N76" s="222" t="s">
        <v>212</v>
      </c>
      <c r="O76" s="222" t="s">
        <v>212</v>
      </c>
      <c r="P76" s="222" t="s">
        <v>212</v>
      </c>
      <c r="Q76" s="222" t="s">
        <v>212</v>
      </c>
      <c r="R76" s="222" t="s">
        <v>212</v>
      </c>
      <c r="S76" s="222" t="s">
        <v>212</v>
      </c>
      <c r="T76" s="531" t="s">
        <v>212</v>
      </c>
      <c r="U76" s="531"/>
      <c r="V76" s="222" t="s">
        <v>212</v>
      </c>
      <c r="W76" s="222" t="s">
        <v>212</v>
      </c>
      <c r="X76" s="531" t="s">
        <v>212</v>
      </c>
      <c r="Y76" s="531"/>
      <c r="Z76" s="222" t="s">
        <v>212</v>
      </c>
      <c r="AA76" s="222" t="s">
        <v>212</v>
      </c>
      <c r="AB76" s="222" t="s">
        <v>212</v>
      </c>
      <c r="AC76" s="215"/>
    </row>
    <row r="77" spans="1:29" ht="13.5" customHeight="1">
      <c r="A77" s="215"/>
      <c r="B77" s="532">
        <v>39113</v>
      </c>
      <c r="C77" s="532"/>
      <c r="D77" s="219" t="s">
        <v>212</v>
      </c>
      <c r="E77" s="224">
        <v>253.4</v>
      </c>
      <c r="F77" s="533">
        <v>24</v>
      </c>
      <c r="G77" s="533"/>
      <c r="H77" s="224">
        <v>197.3</v>
      </c>
      <c r="I77" s="533">
        <v>19</v>
      </c>
      <c r="J77" s="533"/>
      <c r="K77" s="224">
        <v>139.1</v>
      </c>
      <c r="L77" s="225">
        <v>24</v>
      </c>
      <c r="M77" s="224">
        <v>0</v>
      </c>
      <c r="N77" s="225">
        <v>0</v>
      </c>
      <c r="O77" s="226">
        <v>589.79999999999995</v>
      </c>
      <c r="P77" s="222" t="s">
        <v>212</v>
      </c>
      <c r="Q77" s="224">
        <v>37</v>
      </c>
      <c r="R77" s="225">
        <v>12</v>
      </c>
      <c r="S77" s="224">
        <v>0</v>
      </c>
      <c r="T77" s="533">
        <v>0</v>
      </c>
      <c r="U77" s="533"/>
      <c r="V77" s="224">
        <v>37</v>
      </c>
      <c r="W77" s="222" t="s">
        <v>212</v>
      </c>
      <c r="X77" s="534">
        <v>626.79999999999995</v>
      </c>
      <c r="Y77" s="534"/>
      <c r="Z77" s="222" t="s">
        <v>212</v>
      </c>
      <c r="AA77" s="227">
        <v>3569300</v>
      </c>
      <c r="AB77" s="228">
        <v>217660</v>
      </c>
      <c r="AC77" s="215"/>
    </row>
    <row r="78" spans="1:29" ht="2.25" customHeight="1">
      <c r="A78" s="215"/>
      <c r="B78" s="529" t="s">
        <v>212</v>
      </c>
      <c r="C78" s="529"/>
      <c r="D78" s="219" t="s">
        <v>212</v>
      </c>
      <c r="E78" s="222" t="s">
        <v>212</v>
      </c>
      <c r="F78" s="531" t="s">
        <v>212</v>
      </c>
      <c r="G78" s="531"/>
      <c r="H78" s="222" t="s">
        <v>212</v>
      </c>
      <c r="I78" s="531" t="s">
        <v>212</v>
      </c>
      <c r="J78" s="531"/>
      <c r="K78" s="222" t="s">
        <v>212</v>
      </c>
      <c r="L78" s="222" t="s">
        <v>212</v>
      </c>
      <c r="M78" s="222" t="s">
        <v>212</v>
      </c>
      <c r="N78" s="222" t="s">
        <v>212</v>
      </c>
      <c r="O78" s="222" t="s">
        <v>212</v>
      </c>
      <c r="P78" s="222" t="s">
        <v>212</v>
      </c>
      <c r="Q78" s="222" t="s">
        <v>212</v>
      </c>
      <c r="R78" s="222" t="s">
        <v>212</v>
      </c>
      <c r="S78" s="222" t="s">
        <v>212</v>
      </c>
      <c r="T78" s="531" t="s">
        <v>212</v>
      </c>
      <c r="U78" s="531"/>
      <c r="V78" s="222" t="s">
        <v>212</v>
      </c>
      <c r="W78" s="222" t="s">
        <v>212</v>
      </c>
      <c r="X78" s="531" t="s">
        <v>212</v>
      </c>
      <c r="Y78" s="531"/>
      <c r="Z78" s="222" t="s">
        <v>212</v>
      </c>
      <c r="AA78" s="222" t="s">
        <v>212</v>
      </c>
      <c r="AB78" s="222" t="s">
        <v>212</v>
      </c>
      <c r="AC78" s="215"/>
    </row>
    <row r="79" spans="1:29" ht="13.5" customHeight="1">
      <c r="A79" s="215"/>
      <c r="B79" s="535">
        <v>39114</v>
      </c>
      <c r="C79" s="535"/>
      <c r="D79" s="219" t="s">
        <v>212</v>
      </c>
      <c r="E79" s="229">
        <v>252</v>
      </c>
      <c r="F79" s="536">
        <v>24</v>
      </c>
      <c r="G79" s="536"/>
      <c r="H79" s="229">
        <v>0</v>
      </c>
      <c r="I79" s="536">
        <v>0</v>
      </c>
      <c r="J79" s="536"/>
      <c r="K79" s="229">
        <v>237.9</v>
      </c>
      <c r="L79" s="230">
        <v>24</v>
      </c>
      <c r="M79" s="229">
        <v>0</v>
      </c>
      <c r="N79" s="230">
        <v>0</v>
      </c>
      <c r="O79" s="231">
        <v>489.9</v>
      </c>
      <c r="P79" s="222" t="s">
        <v>212</v>
      </c>
      <c r="Q79" s="229">
        <v>86</v>
      </c>
      <c r="R79" s="230">
        <v>24</v>
      </c>
      <c r="S79" s="229">
        <v>0</v>
      </c>
      <c r="T79" s="536">
        <v>0</v>
      </c>
      <c r="U79" s="536"/>
      <c r="V79" s="229">
        <v>86</v>
      </c>
      <c r="W79" s="222" t="s">
        <v>212</v>
      </c>
      <c r="X79" s="530">
        <v>575.9</v>
      </c>
      <c r="Y79" s="530"/>
      <c r="Z79" s="222" t="s">
        <v>212</v>
      </c>
      <c r="AA79" s="232">
        <v>7356900</v>
      </c>
      <c r="AB79" s="233">
        <v>0</v>
      </c>
      <c r="AC79" s="215"/>
    </row>
    <row r="80" spans="1:29" ht="2.25" customHeight="1">
      <c r="A80" s="215"/>
      <c r="B80" s="529" t="s">
        <v>212</v>
      </c>
      <c r="C80" s="529"/>
      <c r="D80" s="219" t="s">
        <v>212</v>
      </c>
      <c r="E80" s="222" t="s">
        <v>212</v>
      </c>
      <c r="F80" s="531" t="s">
        <v>212</v>
      </c>
      <c r="G80" s="531"/>
      <c r="H80" s="222" t="s">
        <v>212</v>
      </c>
      <c r="I80" s="531" t="s">
        <v>212</v>
      </c>
      <c r="J80" s="531"/>
      <c r="K80" s="222" t="s">
        <v>212</v>
      </c>
      <c r="L80" s="222" t="s">
        <v>212</v>
      </c>
      <c r="M80" s="222" t="s">
        <v>212</v>
      </c>
      <c r="N80" s="222" t="s">
        <v>212</v>
      </c>
      <c r="O80" s="222" t="s">
        <v>212</v>
      </c>
      <c r="P80" s="222" t="s">
        <v>212</v>
      </c>
      <c r="Q80" s="222" t="s">
        <v>212</v>
      </c>
      <c r="R80" s="222" t="s">
        <v>212</v>
      </c>
      <c r="S80" s="222" t="s">
        <v>212</v>
      </c>
      <c r="T80" s="531" t="s">
        <v>212</v>
      </c>
      <c r="U80" s="531"/>
      <c r="V80" s="222" t="s">
        <v>212</v>
      </c>
      <c r="W80" s="222" t="s">
        <v>212</v>
      </c>
      <c r="X80" s="531" t="s">
        <v>212</v>
      </c>
      <c r="Y80" s="531"/>
      <c r="Z80" s="222" t="s">
        <v>212</v>
      </c>
      <c r="AA80" s="222" t="s">
        <v>212</v>
      </c>
      <c r="AB80" s="222" t="s">
        <v>212</v>
      </c>
      <c r="AC80" s="215"/>
    </row>
    <row r="81" spans="1:29" ht="13.5" customHeight="1">
      <c r="A81" s="215"/>
      <c r="B81" s="532">
        <v>39115</v>
      </c>
      <c r="C81" s="532"/>
      <c r="D81" s="219" t="s">
        <v>212</v>
      </c>
      <c r="E81" s="224">
        <v>266.60000000000002</v>
      </c>
      <c r="F81" s="533">
        <v>24</v>
      </c>
      <c r="G81" s="533"/>
      <c r="H81" s="224">
        <v>0</v>
      </c>
      <c r="I81" s="533">
        <v>0</v>
      </c>
      <c r="J81" s="533"/>
      <c r="K81" s="224">
        <v>262.60000000000002</v>
      </c>
      <c r="L81" s="225">
        <v>24</v>
      </c>
      <c r="M81" s="224">
        <v>0</v>
      </c>
      <c r="N81" s="225">
        <v>0</v>
      </c>
      <c r="O81" s="226">
        <v>529.20000000000005</v>
      </c>
      <c r="P81" s="222" t="s">
        <v>212</v>
      </c>
      <c r="Q81" s="224">
        <v>111</v>
      </c>
      <c r="R81" s="225">
        <v>24</v>
      </c>
      <c r="S81" s="224">
        <v>0</v>
      </c>
      <c r="T81" s="533">
        <v>0</v>
      </c>
      <c r="U81" s="533"/>
      <c r="V81" s="224">
        <v>111</v>
      </c>
      <c r="W81" s="222" t="s">
        <v>212</v>
      </c>
      <c r="X81" s="534">
        <v>640.20000000000005</v>
      </c>
      <c r="Y81" s="534"/>
      <c r="Z81" s="222" t="s">
        <v>212</v>
      </c>
      <c r="AA81" s="227">
        <v>7619300</v>
      </c>
      <c r="AB81" s="228">
        <v>0</v>
      </c>
      <c r="AC81" s="215"/>
    </row>
    <row r="82" spans="1:29" ht="2.25" customHeight="1">
      <c r="A82" s="215"/>
      <c r="B82" s="529" t="s">
        <v>212</v>
      </c>
      <c r="C82" s="529"/>
      <c r="D82" s="219" t="s">
        <v>212</v>
      </c>
      <c r="E82" s="222" t="s">
        <v>212</v>
      </c>
      <c r="F82" s="531" t="s">
        <v>212</v>
      </c>
      <c r="G82" s="531"/>
      <c r="H82" s="222" t="s">
        <v>212</v>
      </c>
      <c r="I82" s="531" t="s">
        <v>212</v>
      </c>
      <c r="J82" s="531"/>
      <c r="K82" s="222" t="s">
        <v>212</v>
      </c>
      <c r="L82" s="222" t="s">
        <v>212</v>
      </c>
      <c r="M82" s="222" t="s">
        <v>212</v>
      </c>
      <c r="N82" s="222" t="s">
        <v>212</v>
      </c>
      <c r="O82" s="222" t="s">
        <v>212</v>
      </c>
      <c r="P82" s="222" t="s">
        <v>212</v>
      </c>
      <c r="Q82" s="222" t="s">
        <v>212</v>
      </c>
      <c r="R82" s="222" t="s">
        <v>212</v>
      </c>
      <c r="S82" s="222" t="s">
        <v>212</v>
      </c>
      <c r="T82" s="531" t="s">
        <v>212</v>
      </c>
      <c r="U82" s="531"/>
      <c r="V82" s="222" t="s">
        <v>212</v>
      </c>
      <c r="W82" s="222" t="s">
        <v>212</v>
      </c>
      <c r="X82" s="531" t="s">
        <v>212</v>
      </c>
      <c r="Y82" s="531"/>
      <c r="Z82" s="222" t="s">
        <v>212</v>
      </c>
      <c r="AA82" s="222" t="s">
        <v>212</v>
      </c>
      <c r="AB82" s="222" t="s">
        <v>212</v>
      </c>
      <c r="AC82" s="215"/>
    </row>
    <row r="83" spans="1:29" ht="13.5" customHeight="1">
      <c r="A83" s="215"/>
      <c r="B83" s="535">
        <v>39116</v>
      </c>
      <c r="C83" s="535"/>
      <c r="D83" s="219" t="s">
        <v>212</v>
      </c>
      <c r="E83" s="229">
        <v>303.2</v>
      </c>
      <c r="F83" s="536">
        <v>24</v>
      </c>
      <c r="G83" s="536"/>
      <c r="H83" s="229">
        <v>0</v>
      </c>
      <c r="I83" s="536">
        <v>0</v>
      </c>
      <c r="J83" s="536"/>
      <c r="K83" s="229">
        <v>305.5</v>
      </c>
      <c r="L83" s="230">
        <v>24</v>
      </c>
      <c r="M83" s="229">
        <v>0</v>
      </c>
      <c r="N83" s="230">
        <v>0</v>
      </c>
      <c r="O83" s="231">
        <v>608.70000000000005</v>
      </c>
      <c r="P83" s="222" t="s">
        <v>212</v>
      </c>
      <c r="Q83" s="229">
        <v>59</v>
      </c>
      <c r="R83" s="230">
        <v>12</v>
      </c>
      <c r="S83" s="229">
        <v>0</v>
      </c>
      <c r="T83" s="536">
        <v>0</v>
      </c>
      <c r="U83" s="536"/>
      <c r="V83" s="229">
        <v>59</v>
      </c>
      <c r="W83" s="222" t="s">
        <v>212</v>
      </c>
      <c r="X83" s="530">
        <v>667.7</v>
      </c>
      <c r="Y83" s="530"/>
      <c r="Z83" s="222" t="s">
        <v>212</v>
      </c>
      <c r="AA83" s="232">
        <v>8355200</v>
      </c>
      <c r="AB83" s="233">
        <v>0</v>
      </c>
      <c r="AC83" s="215"/>
    </row>
    <row r="84" spans="1:29" ht="2.25" customHeight="1">
      <c r="A84" s="215"/>
      <c r="B84" s="529" t="s">
        <v>212</v>
      </c>
      <c r="C84" s="529"/>
      <c r="D84" s="219" t="s">
        <v>212</v>
      </c>
      <c r="E84" s="222" t="s">
        <v>212</v>
      </c>
      <c r="F84" s="531" t="s">
        <v>212</v>
      </c>
      <c r="G84" s="531"/>
      <c r="H84" s="222" t="s">
        <v>212</v>
      </c>
      <c r="I84" s="531" t="s">
        <v>212</v>
      </c>
      <c r="J84" s="531"/>
      <c r="K84" s="222" t="s">
        <v>212</v>
      </c>
      <c r="L84" s="222" t="s">
        <v>212</v>
      </c>
      <c r="M84" s="222" t="s">
        <v>212</v>
      </c>
      <c r="N84" s="222" t="s">
        <v>212</v>
      </c>
      <c r="O84" s="222" t="s">
        <v>212</v>
      </c>
      <c r="P84" s="222" t="s">
        <v>212</v>
      </c>
      <c r="Q84" s="222" t="s">
        <v>212</v>
      </c>
      <c r="R84" s="222" t="s">
        <v>212</v>
      </c>
      <c r="S84" s="222" t="s">
        <v>212</v>
      </c>
      <c r="T84" s="531" t="s">
        <v>212</v>
      </c>
      <c r="U84" s="531"/>
      <c r="V84" s="222" t="s">
        <v>212</v>
      </c>
      <c r="W84" s="222" t="s">
        <v>212</v>
      </c>
      <c r="X84" s="531" t="s">
        <v>212</v>
      </c>
      <c r="Y84" s="531"/>
      <c r="Z84" s="222" t="s">
        <v>212</v>
      </c>
      <c r="AA84" s="222" t="s">
        <v>212</v>
      </c>
      <c r="AB84" s="222" t="s">
        <v>212</v>
      </c>
      <c r="AC84" s="215"/>
    </row>
    <row r="85" spans="1:29" ht="13.5" customHeight="1">
      <c r="A85" s="215"/>
      <c r="B85" s="532">
        <v>39117</v>
      </c>
      <c r="C85" s="532"/>
      <c r="D85" s="219" t="s">
        <v>212</v>
      </c>
      <c r="E85" s="224">
        <v>263.7</v>
      </c>
      <c r="F85" s="533">
        <v>24</v>
      </c>
      <c r="G85" s="533"/>
      <c r="H85" s="224">
        <v>16.3</v>
      </c>
      <c r="I85" s="533">
        <v>4</v>
      </c>
      <c r="J85" s="533"/>
      <c r="K85" s="224">
        <v>251.7</v>
      </c>
      <c r="L85" s="225">
        <v>24</v>
      </c>
      <c r="M85" s="224">
        <v>0</v>
      </c>
      <c r="N85" s="225">
        <v>0</v>
      </c>
      <c r="O85" s="226">
        <v>531.70000000000005</v>
      </c>
      <c r="P85" s="222" t="s">
        <v>212</v>
      </c>
      <c r="Q85" s="224">
        <v>0</v>
      </c>
      <c r="R85" s="225">
        <v>0</v>
      </c>
      <c r="S85" s="224">
        <v>0</v>
      </c>
      <c r="T85" s="533">
        <v>0</v>
      </c>
      <c r="U85" s="533"/>
      <c r="V85" s="224">
        <v>0</v>
      </c>
      <c r="W85" s="222" t="s">
        <v>212</v>
      </c>
      <c r="X85" s="534">
        <v>531.70000000000005</v>
      </c>
      <c r="Y85" s="534"/>
      <c r="Z85" s="222" t="s">
        <v>212</v>
      </c>
      <c r="AA85" s="227">
        <v>7962500</v>
      </c>
      <c r="AB85" s="228">
        <v>190</v>
      </c>
      <c r="AC85" s="215"/>
    </row>
    <row r="86" spans="1:29" ht="2.25" customHeight="1">
      <c r="A86" s="215"/>
      <c r="B86" s="529" t="s">
        <v>212</v>
      </c>
      <c r="C86" s="529"/>
      <c r="D86" s="219" t="s">
        <v>212</v>
      </c>
      <c r="E86" s="222" t="s">
        <v>212</v>
      </c>
      <c r="F86" s="531" t="s">
        <v>212</v>
      </c>
      <c r="G86" s="531"/>
      <c r="H86" s="222" t="s">
        <v>212</v>
      </c>
      <c r="I86" s="531" t="s">
        <v>212</v>
      </c>
      <c r="J86" s="531"/>
      <c r="K86" s="222" t="s">
        <v>212</v>
      </c>
      <c r="L86" s="222" t="s">
        <v>212</v>
      </c>
      <c r="M86" s="222" t="s">
        <v>212</v>
      </c>
      <c r="N86" s="222" t="s">
        <v>212</v>
      </c>
      <c r="O86" s="222" t="s">
        <v>212</v>
      </c>
      <c r="P86" s="222" t="s">
        <v>212</v>
      </c>
      <c r="Q86" s="222" t="s">
        <v>212</v>
      </c>
      <c r="R86" s="222" t="s">
        <v>212</v>
      </c>
      <c r="S86" s="222" t="s">
        <v>212</v>
      </c>
      <c r="T86" s="531" t="s">
        <v>212</v>
      </c>
      <c r="U86" s="531"/>
      <c r="V86" s="222" t="s">
        <v>212</v>
      </c>
      <c r="W86" s="222" t="s">
        <v>212</v>
      </c>
      <c r="X86" s="531" t="s">
        <v>212</v>
      </c>
      <c r="Y86" s="531"/>
      <c r="Z86" s="222" t="s">
        <v>212</v>
      </c>
      <c r="AA86" s="222" t="s">
        <v>212</v>
      </c>
      <c r="AB86" s="222" t="s">
        <v>212</v>
      </c>
      <c r="AC86" s="215"/>
    </row>
    <row r="87" spans="1:29" ht="13.5" customHeight="1">
      <c r="A87" s="215"/>
      <c r="B87" s="535">
        <v>39118</v>
      </c>
      <c r="C87" s="535"/>
      <c r="D87" s="219" t="s">
        <v>212</v>
      </c>
      <c r="E87" s="229">
        <v>320</v>
      </c>
      <c r="F87" s="536">
        <v>24</v>
      </c>
      <c r="G87" s="536"/>
      <c r="H87" s="229">
        <v>0</v>
      </c>
      <c r="I87" s="536">
        <v>0</v>
      </c>
      <c r="J87" s="536"/>
      <c r="K87" s="229">
        <v>325</v>
      </c>
      <c r="L87" s="230">
        <v>24</v>
      </c>
      <c r="M87" s="229">
        <v>0</v>
      </c>
      <c r="N87" s="230">
        <v>0</v>
      </c>
      <c r="O87" s="231">
        <v>645</v>
      </c>
      <c r="P87" s="222" t="s">
        <v>212</v>
      </c>
      <c r="Q87" s="229">
        <v>0</v>
      </c>
      <c r="R87" s="230">
        <v>0</v>
      </c>
      <c r="S87" s="229">
        <v>0</v>
      </c>
      <c r="T87" s="536">
        <v>0</v>
      </c>
      <c r="U87" s="536"/>
      <c r="V87" s="229">
        <v>0</v>
      </c>
      <c r="W87" s="222" t="s">
        <v>212</v>
      </c>
      <c r="X87" s="530">
        <v>645</v>
      </c>
      <c r="Y87" s="530"/>
      <c r="Z87" s="222" t="s">
        <v>212</v>
      </c>
      <c r="AA87" s="232">
        <v>8445200</v>
      </c>
      <c r="AB87" s="233">
        <v>0</v>
      </c>
      <c r="AC87" s="215"/>
    </row>
    <row r="88" spans="1:29" ht="2.25" customHeight="1">
      <c r="A88" s="215"/>
      <c r="B88" s="529" t="s">
        <v>212</v>
      </c>
      <c r="C88" s="529"/>
      <c r="D88" s="219" t="s">
        <v>212</v>
      </c>
      <c r="E88" s="222" t="s">
        <v>212</v>
      </c>
      <c r="F88" s="531" t="s">
        <v>212</v>
      </c>
      <c r="G88" s="531"/>
      <c r="H88" s="222" t="s">
        <v>212</v>
      </c>
      <c r="I88" s="531" t="s">
        <v>212</v>
      </c>
      <c r="J88" s="531"/>
      <c r="K88" s="222" t="s">
        <v>212</v>
      </c>
      <c r="L88" s="222" t="s">
        <v>212</v>
      </c>
      <c r="M88" s="222" t="s">
        <v>212</v>
      </c>
      <c r="N88" s="222" t="s">
        <v>212</v>
      </c>
      <c r="O88" s="222" t="s">
        <v>212</v>
      </c>
      <c r="P88" s="222" t="s">
        <v>212</v>
      </c>
      <c r="Q88" s="222" t="s">
        <v>212</v>
      </c>
      <c r="R88" s="222" t="s">
        <v>212</v>
      </c>
      <c r="S88" s="222" t="s">
        <v>212</v>
      </c>
      <c r="T88" s="531" t="s">
        <v>212</v>
      </c>
      <c r="U88" s="531"/>
      <c r="V88" s="222" t="s">
        <v>212</v>
      </c>
      <c r="W88" s="222" t="s">
        <v>212</v>
      </c>
      <c r="X88" s="531" t="s">
        <v>212</v>
      </c>
      <c r="Y88" s="531"/>
      <c r="Z88" s="222" t="s">
        <v>212</v>
      </c>
      <c r="AA88" s="222" t="s">
        <v>212</v>
      </c>
      <c r="AB88" s="222" t="s">
        <v>212</v>
      </c>
      <c r="AC88" s="215"/>
    </row>
    <row r="89" spans="1:29" ht="13.5" customHeight="1">
      <c r="A89" s="215"/>
      <c r="B89" s="532">
        <v>39119</v>
      </c>
      <c r="C89" s="532"/>
      <c r="D89" s="219" t="s">
        <v>212</v>
      </c>
      <c r="E89" s="224">
        <v>300.8</v>
      </c>
      <c r="F89" s="533">
        <v>24</v>
      </c>
      <c r="G89" s="533"/>
      <c r="H89" s="224">
        <v>167.1</v>
      </c>
      <c r="I89" s="533">
        <v>13</v>
      </c>
      <c r="J89" s="533"/>
      <c r="K89" s="224">
        <v>166.8</v>
      </c>
      <c r="L89" s="225">
        <v>13</v>
      </c>
      <c r="M89" s="224">
        <v>0</v>
      </c>
      <c r="N89" s="225">
        <v>0</v>
      </c>
      <c r="O89" s="226">
        <v>634.70000000000005</v>
      </c>
      <c r="P89" s="222" t="s">
        <v>212</v>
      </c>
      <c r="Q89" s="224">
        <v>0</v>
      </c>
      <c r="R89" s="225">
        <v>0</v>
      </c>
      <c r="S89" s="224">
        <v>0</v>
      </c>
      <c r="T89" s="533">
        <v>0</v>
      </c>
      <c r="U89" s="533"/>
      <c r="V89" s="224">
        <v>0</v>
      </c>
      <c r="W89" s="222" t="s">
        <v>212</v>
      </c>
      <c r="X89" s="534">
        <v>634.70000000000005</v>
      </c>
      <c r="Y89" s="534"/>
      <c r="Z89" s="222" t="s">
        <v>212</v>
      </c>
      <c r="AA89" s="227">
        <v>8685400</v>
      </c>
      <c r="AB89" s="228">
        <v>0</v>
      </c>
      <c r="AC89" s="215"/>
    </row>
    <row r="90" spans="1:29" ht="2.25" customHeight="1">
      <c r="A90" s="215"/>
      <c r="B90" s="529" t="s">
        <v>212</v>
      </c>
      <c r="C90" s="529"/>
      <c r="D90" s="219" t="s">
        <v>212</v>
      </c>
      <c r="E90" s="222" t="s">
        <v>212</v>
      </c>
      <c r="F90" s="531" t="s">
        <v>212</v>
      </c>
      <c r="G90" s="531"/>
      <c r="H90" s="222" t="s">
        <v>212</v>
      </c>
      <c r="I90" s="531" t="s">
        <v>212</v>
      </c>
      <c r="J90" s="531"/>
      <c r="K90" s="222" t="s">
        <v>212</v>
      </c>
      <c r="L90" s="222" t="s">
        <v>212</v>
      </c>
      <c r="M90" s="222" t="s">
        <v>212</v>
      </c>
      <c r="N90" s="222" t="s">
        <v>212</v>
      </c>
      <c r="O90" s="222" t="s">
        <v>212</v>
      </c>
      <c r="P90" s="222" t="s">
        <v>212</v>
      </c>
      <c r="Q90" s="222" t="s">
        <v>212</v>
      </c>
      <c r="R90" s="222" t="s">
        <v>212</v>
      </c>
      <c r="S90" s="222" t="s">
        <v>212</v>
      </c>
      <c r="T90" s="531" t="s">
        <v>212</v>
      </c>
      <c r="U90" s="531"/>
      <c r="V90" s="222" t="s">
        <v>212</v>
      </c>
      <c r="W90" s="222" t="s">
        <v>212</v>
      </c>
      <c r="X90" s="531" t="s">
        <v>212</v>
      </c>
      <c r="Y90" s="531"/>
      <c r="Z90" s="222" t="s">
        <v>212</v>
      </c>
      <c r="AA90" s="222" t="s">
        <v>212</v>
      </c>
      <c r="AB90" s="222" t="s">
        <v>212</v>
      </c>
      <c r="AC90" s="215"/>
    </row>
    <row r="91" spans="1:29" ht="13.5" customHeight="1">
      <c r="A91" s="215"/>
      <c r="B91" s="535">
        <v>39120</v>
      </c>
      <c r="C91" s="535"/>
      <c r="D91" s="219" t="s">
        <v>212</v>
      </c>
      <c r="E91" s="229">
        <v>281.2</v>
      </c>
      <c r="F91" s="536">
        <v>24</v>
      </c>
      <c r="G91" s="536"/>
      <c r="H91" s="229">
        <v>323.89999999999998</v>
      </c>
      <c r="I91" s="536">
        <v>24</v>
      </c>
      <c r="J91" s="536"/>
      <c r="K91" s="229">
        <v>0</v>
      </c>
      <c r="L91" s="230">
        <v>0</v>
      </c>
      <c r="M91" s="229">
        <v>0</v>
      </c>
      <c r="N91" s="230">
        <v>0</v>
      </c>
      <c r="O91" s="231">
        <v>605.1</v>
      </c>
      <c r="P91" s="222" t="s">
        <v>212</v>
      </c>
      <c r="Q91" s="229">
        <v>0</v>
      </c>
      <c r="R91" s="230">
        <v>24</v>
      </c>
      <c r="S91" s="229">
        <v>0</v>
      </c>
      <c r="T91" s="536">
        <v>0</v>
      </c>
      <c r="U91" s="536"/>
      <c r="V91" s="229">
        <v>0</v>
      </c>
      <c r="W91" s="222" t="s">
        <v>212</v>
      </c>
      <c r="X91" s="530">
        <v>605.1</v>
      </c>
      <c r="Y91" s="530"/>
      <c r="Z91" s="222" t="s">
        <v>212</v>
      </c>
      <c r="AA91" s="232">
        <v>8113900</v>
      </c>
      <c r="AB91" s="233">
        <v>0</v>
      </c>
      <c r="AC91" s="215"/>
    </row>
    <row r="92" spans="1:29" ht="2.25" customHeight="1">
      <c r="A92" s="215"/>
      <c r="B92" s="529" t="s">
        <v>212</v>
      </c>
      <c r="C92" s="529"/>
      <c r="D92" s="219" t="s">
        <v>212</v>
      </c>
      <c r="E92" s="222" t="s">
        <v>212</v>
      </c>
      <c r="F92" s="531" t="s">
        <v>212</v>
      </c>
      <c r="G92" s="531"/>
      <c r="H92" s="222" t="s">
        <v>212</v>
      </c>
      <c r="I92" s="531" t="s">
        <v>212</v>
      </c>
      <c r="J92" s="531"/>
      <c r="K92" s="222" t="s">
        <v>212</v>
      </c>
      <c r="L92" s="222" t="s">
        <v>212</v>
      </c>
      <c r="M92" s="222" t="s">
        <v>212</v>
      </c>
      <c r="N92" s="222" t="s">
        <v>212</v>
      </c>
      <c r="O92" s="222" t="s">
        <v>212</v>
      </c>
      <c r="P92" s="222" t="s">
        <v>212</v>
      </c>
      <c r="Q92" s="222" t="s">
        <v>212</v>
      </c>
      <c r="R92" s="222" t="s">
        <v>212</v>
      </c>
      <c r="S92" s="222" t="s">
        <v>212</v>
      </c>
      <c r="T92" s="531" t="s">
        <v>212</v>
      </c>
      <c r="U92" s="531"/>
      <c r="V92" s="222" t="s">
        <v>212</v>
      </c>
      <c r="W92" s="222" t="s">
        <v>212</v>
      </c>
      <c r="X92" s="531" t="s">
        <v>212</v>
      </c>
      <c r="Y92" s="531"/>
      <c r="Z92" s="222" t="s">
        <v>212</v>
      </c>
      <c r="AA92" s="222" t="s">
        <v>212</v>
      </c>
      <c r="AB92" s="222" t="s">
        <v>212</v>
      </c>
      <c r="AC92" s="215"/>
    </row>
    <row r="93" spans="1:29" ht="13.5" customHeight="1">
      <c r="A93" s="215"/>
      <c r="B93" s="532">
        <v>39121</v>
      </c>
      <c r="C93" s="532"/>
      <c r="D93" s="219" t="s">
        <v>212</v>
      </c>
      <c r="E93" s="224">
        <v>304</v>
      </c>
      <c r="F93" s="533">
        <v>24</v>
      </c>
      <c r="G93" s="533"/>
      <c r="H93" s="224">
        <v>332.6</v>
      </c>
      <c r="I93" s="533">
        <v>24</v>
      </c>
      <c r="J93" s="533"/>
      <c r="K93" s="224">
        <v>0</v>
      </c>
      <c r="L93" s="225">
        <v>0</v>
      </c>
      <c r="M93" s="224">
        <v>0</v>
      </c>
      <c r="N93" s="225">
        <v>0</v>
      </c>
      <c r="O93" s="226">
        <v>636.6</v>
      </c>
      <c r="P93" s="222" t="s">
        <v>212</v>
      </c>
      <c r="Q93" s="224">
        <v>19</v>
      </c>
      <c r="R93" s="225">
        <v>6</v>
      </c>
      <c r="S93" s="224">
        <v>0</v>
      </c>
      <c r="T93" s="533">
        <v>0</v>
      </c>
      <c r="U93" s="533"/>
      <c r="V93" s="224">
        <v>19</v>
      </c>
      <c r="W93" s="222" t="s">
        <v>212</v>
      </c>
      <c r="X93" s="534">
        <v>655.6</v>
      </c>
      <c r="Y93" s="534"/>
      <c r="Z93" s="222" t="s">
        <v>212</v>
      </c>
      <c r="AA93" s="227">
        <v>8360800</v>
      </c>
      <c r="AB93" s="228">
        <v>0</v>
      </c>
      <c r="AC93" s="215"/>
    </row>
    <row r="94" spans="1:29" ht="2.25" customHeight="1">
      <c r="A94" s="215"/>
      <c r="B94" s="529" t="s">
        <v>212</v>
      </c>
      <c r="C94" s="529"/>
      <c r="D94" s="219" t="s">
        <v>212</v>
      </c>
      <c r="E94" s="222" t="s">
        <v>212</v>
      </c>
      <c r="F94" s="531" t="s">
        <v>212</v>
      </c>
      <c r="G94" s="531"/>
      <c r="H94" s="222" t="s">
        <v>212</v>
      </c>
      <c r="I94" s="531" t="s">
        <v>212</v>
      </c>
      <c r="J94" s="531"/>
      <c r="K94" s="222" t="s">
        <v>212</v>
      </c>
      <c r="L94" s="222" t="s">
        <v>212</v>
      </c>
      <c r="M94" s="222" t="s">
        <v>212</v>
      </c>
      <c r="N94" s="222" t="s">
        <v>212</v>
      </c>
      <c r="O94" s="222" t="s">
        <v>212</v>
      </c>
      <c r="P94" s="222" t="s">
        <v>212</v>
      </c>
      <c r="Q94" s="222" t="s">
        <v>212</v>
      </c>
      <c r="R94" s="222" t="s">
        <v>212</v>
      </c>
      <c r="S94" s="222" t="s">
        <v>212</v>
      </c>
      <c r="T94" s="531" t="s">
        <v>212</v>
      </c>
      <c r="U94" s="531"/>
      <c r="V94" s="222" t="s">
        <v>212</v>
      </c>
      <c r="W94" s="222" t="s">
        <v>212</v>
      </c>
      <c r="X94" s="531" t="s">
        <v>212</v>
      </c>
      <c r="Y94" s="531"/>
      <c r="Z94" s="222" t="s">
        <v>212</v>
      </c>
      <c r="AA94" s="222" t="s">
        <v>212</v>
      </c>
      <c r="AB94" s="222" t="s">
        <v>212</v>
      </c>
      <c r="AC94" s="215"/>
    </row>
    <row r="95" spans="1:29" ht="13.5" customHeight="1">
      <c r="A95" s="215"/>
      <c r="B95" s="535">
        <v>39122</v>
      </c>
      <c r="C95" s="535"/>
      <c r="D95" s="219" t="s">
        <v>212</v>
      </c>
      <c r="E95" s="229">
        <v>283.2</v>
      </c>
      <c r="F95" s="536">
        <v>24</v>
      </c>
      <c r="G95" s="536"/>
      <c r="H95" s="229">
        <v>308.2</v>
      </c>
      <c r="I95" s="536">
        <v>24</v>
      </c>
      <c r="J95" s="536"/>
      <c r="K95" s="229">
        <v>0</v>
      </c>
      <c r="L95" s="230">
        <v>0</v>
      </c>
      <c r="M95" s="229">
        <v>0</v>
      </c>
      <c r="N95" s="230">
        <v>0</v>
      </c>
      <c r="O95" s="231">
        <v>591.4</v>
      </c>
      <c r="P95" s="222" t="s">
        <v>212</v>
      </c>
      <c r="Q95" s="229">
        <v>50</v>
      </c>
      <c r="R95" s="230">
        <v>24</v>
      </c>
      <c r="S95" s="229">
        <v>0</v>
      </c>
      <c r="T95" s="536">
        <v>0</v>
      </c>
      <c r="U95" s="536"/>
      <c r="V95" s="229">
        <v>50</v>
      </c>
      <c r="W95" s="222" t="s">
        <v>212</v>
      </c>
      <c r="X95" s="530">
        <v>641.4</v>
      </c>
      <c r="Y95" s="530"/>
      <c r="Z95" s="222" t="s">
        <v>212</v>
      </c>
      <c r="AA95" s="232">
        <v>8059500</v>
      </c>
      <c r="AB95" s="233">
        <v>0</v>
      </c>
      <c r="AC95" s="215"/>
    </row>
    <row r="96" spans="1:29" ht="2.25" customHeight="1">
      <c r="A96" s="215"/>
      <c r="B96" s="529" t="s">
        <v>212</v>
      </c>
      <c r="C96" s="529"/>
      <c r="D96" s="219" t="s">
        <v>212</v>
      </c>
      <c r="E96" s="222" t="s">
        <v>212</v>
      </c>
      <c r="F96" s="531" t="s">
        <v>212</v>
      </c>
      <c r="G96" s="531"/>
      <c r="H96" s="222" t="s">
        <v>212</v>
      </c>
      <c r="I96" s="531" t="s">
        <v>212</v>
      </c>
      <c r="J96" s="531"/>
      <c r="K96" s="222" t="s">
        <v>212</v>
      </c>
      <c r="L96" s="222" t="s">
        <v>212</v>
      </c>
      <c r="M96" s="222" t="s">
        <v>212</v>
      </c>
      <c r="N96" s="222" t="s">
        <v>212</v>
      </c>
      <c r="O96" s="222" t="s">
        <v>212</v>
      </c>
      <c r="P96" s="222" t="s">
        <v>212</v>
      </c>
      <c r="Q96" s="222" t="s">
        <v>212</v>
      </c>
      <c r="R96" s="222" t="s">
        <v>212</v>
      </c>
      <c r="S96" s="222" t="s">
        <v>212</v>
      </c>
      <c r="T96" s="531" t="s">
        <v>212</v>
      </c>
      <c r="U96" s="531"/>
      <c r="V96" s="222" t="s">
        <v>212</v>
      </c>
      <c r="W96" s="222" t="s">
        <v>212</v>
      </c>
      <c r="X96" s="531" t="s">
        <v>212</v>
      </c>
      <c r="Y96" s="531"/>
      <c r="Z96" s="222" t="s">
        <v>212</v>
      </c>
      <c r="AA96" s="222" t="s">
        <v>212</v>
      </c>
      <c r="AB96" s="222" t="s">
        <v>212</v>
      </c>
      <c r="AC96" s="215"/>
    </row>
    <row r="97" spans="1:29" ht="13.5" customHeight="1">
      <c r="A97" s="215"/>
      <c r="B97" s="532">
        <v>39123</v>
      </c>
      <c r="C97" s="532"/>
      <c r="D97" s="219" t="s">
        <v>212</v>
      </c>
      <c r="E97" s="224">
        <v>215.6</v>
      </c>
      <c r="F97" s="533">
        <v>24</v>
      </c>
      <c r="G97" s="533"/>
      <c r="H97" s="224">
        <v>226.5</v>
      </c>
      <c r="I97" s="533">
        <v>24</v>
      </c>
      <c r="J97" s="533"/>
      <c r="K97" s="224">
        <v>143</v>
      </c>
      <c r="L97" s="225">
        <v>16</v>
      </c>
      <c r="M97" s="224">
        <v>0</v>
      </c>
      <c r="N97" s="225">
        <v>0</v>
      </c>
      <c r="O97" s="226">
        <v>585.1</v>
      </c>
      <c r="P97" s="222" t="s">
        <v>212</v>
      </c>
      <c r="Q97" s="224">
        <v>76</v>
      </c>
      <c r="R97" s="225">
        <v>13</v>
      </c>
      <c r="S97" s="224">
        <v>0</v>
      </c>
      <c r="T97" s="533">
        <v>0</v>
      </c>
      <c r="U97" s="533"/>
      <c r="V97" s="224">
        <v>76</v>
      </c>
      <c r="W97" s="222" t="s">
        <v>212</v>
      </c>
      <c r="X97" s="534">
        <v>661.1</v>
      </c>
      <c r="Y97" s="534"/>
      <c r="Z97" s="222" t="s">
        <v>212</v>
      </c>
      <c r="AA97" s="227">
        <v>8206820</v>
      </c>
      <c r="AB97" s="228">
        <v>27691</v>
      </c>
      <c r="AC97" s="215"/>
    </row>
    <row r="98" spans="1:29" ht="2.25" customHeight="1">
      <c r="A98" s="215"/>
      <c r="B98" s="529" t="s">
        <v>212</v>
      </c>
      <c r="C98" s="529"/>
      <c r="D98" s="219" t="s">
        <v>212</v>
      </c>
      <c r="E98" s="222" t="s">
        <v>212</v>
      </c>
      <c r="F98" s="531" t="s">
        <v>212</v>
      </c>
      <c r="G98" s="531"/>
      <c r="H98" s="222" t="s">
        <v>212</v>
      </c>
      <c r="I98" s="531" t="s">
        <v>212</v>
      </c>
      <c r="J98" s="531"/>
      <c r="K98" s="222" t="s">
        <v>212</v>
      </c>
      <c r="L98" s="222" t="s">
        <v>212</v>
      </c>
      <c r="M98" s="222" t="s">
        <v>212</v>
      </c>
      <c r="N98" s="222" t="s">
        <v>212</v>
      </c>
      <c r="O98" s="222" t="s">
        <v>212</v>
      </c>
      <c r="P98" s="222" t="s">
        <v>212</v>
      </c>
      <c r="Q98" s="222" t="s">
        <v>212</v>
      </c>
      <c r="R98" s="222" t="s">
        <v>212</v>
      </c>
      <c r="S98" s="222" t="s">
        <v>212</v>
      </c>
      <c r="T98" s="531" t="s">
        <v>212</v>
      </c>
      <c r="U98" s="531"/>
      <c r="V98" s="222" t="s">
        <v>212</v>
      </c>
      <c r="W98" s="222" t="s">
        <v>212</v>
      </c>
      <c r="X98" s="531" t="s">
        <v>212</v>
      </c>
      <c r="Y98" s="531"/>
      <c r="Z98" s="222" t="s">
        <v>212</v>
      </c>
      <c r="AA98" s="222" t="s">
        <v>212</v>
      </c>
      <c r="AB98" s="222" t="s">
        <v>212</v>
      </c>
      <c r="AC98" s="215"/>
    </row>
    <row r="99" spans="1:29" ht="13.5" customHeight="1">
      <c r="A99" s="215"/>
      <c r="B99" s="535">
        <v>39124</v>
      </c>
      <c r="C99" s="535"/>
      <c r="D99" s="219" t="s">
        <v>212</v>
      </c>
      <c r="E99" s="229">
        <v>240.2</v>
      </c>
      <c r="F99" s="536">
        <v>24</v>
      </c>
      <c r="G99" s="536"/>
      <c r="H99" s="229">
        <v>234.8</v>
      </c>
      <c r="I99" s="536">
        <v>24</v>
      </c>
      <c r="J99" s="536"/>
      <c r="K99" s="229">
        <v>241.7</v>
      </c>
      <c r="L99" s="230">
        <v>24</v>
      </c>
      <c r="M99" s="229">
        <v>0</v>
      </c>
      <c r="N99" s="230">
        <v>0</v>
      </c>
      <c r="O99" s="231">
        <v>716.7</v>
      </c>
      <c r="P99" s="222" t="s">
        <v>212</v>
      </c>
      <c r="Q99" s="229">
        <v>0</v>
      </c>
      <c r="R99" s="230">
        <v>24</v>
      </c>
      <c r="S99" s="229">
        <v>0</v>
      </c>
      <c r="T99" s="536">
        <v>0</v>
      </c>
      <c r="U99" s="536"/>
      <c r="V99" s="229">
        <v>0</v>
      </c>
      <c r="W99" s="222" t="s">
        <v>212</v>
      </c>
      <c r="X99" s="530">
        <v>716.7</v>
      </c>
      <c r="Y99" s="530"/>
      <c r="Z99" s="222" t="s">
        <v>212</v>
      </c>
      <c r="AA99" s="232">
        <v>10744000</v>
      </c>
      <c r="AB99" s="233">
        <v>0</v>
      </c>
      <c r="AC99" s="215"/>
    </row>
    <row r="100" spans="1:29" ht="2.25" customHeight="1">
      <c r="A100" s="215"/>
      <c r="B100" s="529" t="s">
        <v>212</v>
      </c>
      <c r="C100" s="529"/>
      <c r="D100" s="219" t="s">
        <v>212</v>
      </c>
      <c r="E100" s="222" t="s">
        <v>212</v>
      </c>
      <c r="F100" s="531" t="s">
        <v>212</v>
      </c>
      <c r="G100" s="531"/>
      <c r="H100" s="222" t="s">
        <v>212</v>
      </c>
      <c r="I100" s="531" t="s">
        <v>212</v>
      </c>
      <c r="J100" s="531"/>
      <c r="K100" s="222" t="s">
        <v>212</v>
      </c>
      <c r="L100" s="222" t="s">
        <v>212</v>
      </c>
      <c r="M100" s="222" t="s">
        <v>212</v>
      </c>
      <c r="N100" s="222" t="s">
        <v>212</v>
      </c>
      <c r="O100" s="222" t="s">
        <v>212</v>
      </c>
      <c r="P100" s="222" t="s">
        <v>212</v>
      </c>
      <c r="Q100" s="222" t="s">
        <v>212</v>
      </c>
      <c r="R100" s="222" t="s">
        <v>212</v>
      </c>
      <c r="S100" s="222" t="s">
        <v>212</v>
      </c>
      <c r="T100" s="531" t="s">
        <v>212</v>
      </c>
      <c r="U100" s="531"/>
      <c r="V100" s="222" t="s">
        <v>212</v>
      </c>
      <c r="W100" s="222" t="s">
        <v>212</v>
      </c>
      <c r="X100" s="531" t="s">
        <v>212</v>
      </c>
      <c r="Y100" s="531"/>
      <c r="Z100" s="222" t="s">
        <v>212</v>
      </c>
      <c r="AA100" s="222" t="s">
        <v>212</v>
      </c>
      <c r="AB100" s="222" t="s">
        <v>212</v>
      </c>
      <c r="AC100" s="215"/>
    </row>
    <row r="101" spans="1:29" ht="13.5" customHeight="1">
      <c r="A101" s="215"/>
      <c r="B101" s="532">
        <v>39125</v>
      </c>
      <c r="C101" s="532"/>
      <c r="D101" s="219" t="s">
        <v>212</v>
      </c>
      <c r="E101" s="224">
        <v>208.5</v>
      </c>
      <c r="F101" s="533">
        <v>24</v>
      </c>
      <c r="G101" s="533"/>
      <c r="H101" s="224">
        <v>223.5</v>
      </c>
      <c r="I101" s="533">
        <v>24</v>
      </c>
      <c r="J101" s="533"/>
      <c r="K101" s="224">
        <v>215</v>
      </c>
      <c r="L101" s="225">
        <v>24</v>
      </c>
      <c r="M101" s="224">
        <v>0</v>
      </c>
      <c r="N101" s="225">
        <v>0</v>
      </c>
      <c r="O101" s="226">
        <v>647</v>
      </c>
      <c r="P101" s="222" t="s">
        <v>212</v>
      </c>
      <c r="Q101" s="224">
        <v>0</v>
      </c>
      <c r="R101" s="225">
        <v>0</v>
      </c>
      <c r="S101" s="224">
        <v>0</v>
      </c>
      <c r="T101" s="533">
        <v>0</v>
      </c>
      <c r="U101" s="533"/>
      <c r="V101" s="224">
        <v>0</v>
      </c>
      <c r="W101" s="222" t="s">
        <v>212</v>
      </c>
      <c r="X101" s="534">
        <v>647</v>
      </c>
      <c r="Y101" s="534"/>
      <c r="Z101" s="222" t="s">
        <v>212</v>
      </c>
      <c r="AA101" s="227">
        <v>10463100</v>
      </c>
      <c r="AB101" s="228">
        <v>0</v>
      </c>
      <c r="AC101" s="215"/>
    </row>
    <row r="102" spans="1:29" ht="2.25" customHeight="1">
      <c r="A102" s="215"/>
      <c r="B102" s="529" t="s">
        <v>212</v>
      </c>
      <c r="C102" s="529"/>
      <c r="D102" s="219" t="s">
        <v>212</v>
      </c>
      <c r="E102" s="222" t="s">
        <v>212</v>
      </c>
      <c r="F102" s="531" t="s">
        <v>212</v>
      </c>
      <c r="G102" s="531"/>
      <c r="H102" s="222" t="s">
        <v>212</v>
      </c>
      <c r="I102" s="531" t="s">
        <v>212</v>
      </c>
      <c r="J102" s="531"/>
      <c r="K102" s="222" t="s">
        <v>212</v>
      </c>
      <c r="L102" s="222" t="s">
        <v>212</v>
      </c>
      <c r="M102" s="222" t="s">
        <v>212</v>
      </c>
      <c r="N102" s="222" t="s">
        <v>212</v>
      </c>
      <c r="O102" s="222" t="s">
        <v>212</v>
      </c>
      <c r="P102" s="222" t="s">
        <v>212</v>
      </c>
      <c r="Q102" s="222" t="s">
        <v>212</v>
      </c>
      <c r="R102" s="222" t="s">
        <v>212</v>
      </c>
      <c r="S102" s="222" t="s">
        <v>212</v>
      </c>
      <c r="T102" s="531" t="s">
        <v>212</v>
      </c>
      <c r="U102" s="531"/>
      <c r="V102" s="222" t="s">
        <v>212</v>
      </c>
      <c r="W102" s="222" t="s">
        <v>212</v>
      </c>
      <c r="X102" s="531" t="s">
        <v>212</v>
      </c>
      <c r="Y102" s="531"/>
      <c r="Z102" s="222" t="s">
        <v>212</v>
      </c>
      <c r="AA102" s="222" t="s">
        <v>212</v>
      </c>
      <c r="AB102" s="222" t="s">
        <v>212</v>
      </c>
      <c r="AC102" s="215"/>
    </row>
    <row r="103" spans="1:29" ht="13.5" customHeight="1">
      <c r="A103" s="215"/>
      <c r="B103" s="535">
        <v>39126</v>
      </c>
      <c r="C103" s="535"/>
      <c r="D103" s="219" t="s">
        <v>212</v>
      </c>
      <c r="E103" s="229">
        <v>262</v>
      </c>
      <c r="F103" s="536">
        <v>24</v>
      </c>
      <c r="G103" s="536"/>
      <c r="H103" s="229">
        <v>89.3</v>
      </c>
      <c r="I103" s="536">
        <v>9</v>
      </c>
      <c r="J103" s="536"/>
      <c r="K103" s="229">
        <v>273</v>
      </c>
      <c r="L103" s="230">
        <v>24</v>
      </c>
      <c r="M103" s="229">
        <v>0</v>
      </c>
      <c r="N103" s="230">
        <v>0</v>
      </c>
      <c r="O103" s="231">
        <v>624.29999999999995</v>
      </c>
      <c r="P103" s="222" t="s">
        <v>212</v>
      </c>
      <c r="Q103" s="229">
        <v>41</v>
      </c>
      <c r="R103" s="230">
        <v>12</v>
      </c>
      <c r="S103" s="229">
        <v>0</v>
      </c>
      <c r="T103" s="536">
        <v>0</v>
      </c>
      <c r="U103" s="536"/>
      <c r="V103" s="229">
        <v>41</v>
      </c>
      <c r="W103" s="222" t="s">
        <v>212</v>
      </c>
      <c r="X103" s="530">
        <v>665.3</v>
      </c>
      <c r="Y103" s="530"/>
      <c r="Z103" s="222" t="s">
        <v>212</v>
      </c>
      <c r="AA103" s="232">
        <v>8987500</v>
      </c>
      <c r="AB103" s="233">
        <v>0</v>
      </c>
      <c r="AC103" s="215"/>
    </row>
    <row r="104" spans="1:29" ht="2.25" customHeight="1">
      <c r="A104" s="215"/>
      <c r="B104" s="529" t="s">
        <v>212</v>
      </c>
      <c r="C104" s="529"/>
      <c r="D104" s="219" t="s">
        <v>212</v>
      </c>
      <c r="E104" s="222" t="s">
        <v>212</v>
      </c>
      <c r="F104" s="531" t="s">
        <v>212</v>
      </c>
      <c r="G104" s="531"/>
      <c r="H104" s="222" t="s">
        <v>212</v>
      </c>
      <c r="I104" s="531" t="s">
        <v>212</v>
      </c>
      <c r="J104" s="531"/>
      <c r="K104" s="222" t="s">
        <v>212</v>
      </c>
      <c r="L104" s="222" t="s">
        <v>212</v>
      </c>
      <c r="M104" s="222" t="s">
        <v>212</v>
      </c>
      <c r="N104" s="222" t="s">
        <v>212</v>
      </c>
      <c r="O104" s="222" t="s">
        <v>212</v>
      </c>
      <c r="P104" s="222" t="s">
        <v>212</v>
      </c>
      <c r="Q104" s="222" t="s">
        <v>212</v>
      </c>
      <c r="R104" s="222" t="s">
        <v>212</v>
      </c>
      <c r="S104" s="222" t="s">
        <v>212</v>
      </c>
      <c r="T104" s="531" t="s">
        <v>212</v>
      </c>
      <c r="U104" s="531"/>
      <c r="V104" s="222" t="s">
        <v>212</v>
      </c>
      <c r="W104" s="222" t="s">
        <v>212</v>
      </c>
      <c r="X104" s="531" t="s">
        <v>212</v>
      </c>
      <c r="Y104" s="531"/>
      <c r="Z104" s="222" t="s">
        <v>212</v>
      </c>
      <c r="AA104" s="222" t="s">
        <v>212</v>
      </c>
      <c r="AB104" s="222" t="s">
        <v>212</v>
      </c>
      <c r="AC104" s="215"/>
    </row>
    <row r="105" spans="1:29" ht="13.5" customHeight="1">
      <c r="A105" s="215"/>
      <c r="B105" s="532">
        <v>39127</v>
      </c>
      <c r="C105" s="532"/>
      <c r="D105" s="219" t="s">
        <v>212</v>
      </c>
      <c r="E105" s="224">
        <v>263.89999999999998</v>
      </c>
      <c r="F105" s="533">
        <v>24</v>
      </c>
      <c r="G105" s="533"/>
      <c r="H105" s="224">
        <v>0</v>
      </c>
      <c r="I105" s="533">
        <v>0</v>
      </c>
      <c r="J105" s="533"/>
      <c r="K105" s="224">
        <v>286.10000000000002</v>
      </c>
      <c r="L105" s="225">
        <v>24</v>
      </c>
      <c r="M105" s="224">
        <v>0</v>
      </c>
      <c r="N105" s="225">
        <v>0</v>
      </c>
      <c r="O105" s="226">
        <v>550</v>
      </c>
      <c r="P105" s="222" t="s">
        <v>212</v>
      </c>
      <c r="Q105" s="224">
        <v>116</v>
      </c>
      <c r="R105" s="225">
        <v>24</v>
      </c>
      <c r="S105" s="224">
        <v>0</v>
      </c>
      <c r="T105" s="533">
        <v>0</v>
      </c>
      <c r="U105" s="533"/>
      <c r="V105" s="224">
        <v>116</v>
      </c>
      <c r="W105" s="222" t="s">
        <v>212</v>
      </c>
      <c r="X105" s="534">
        <v>666</v>
      </c>
      <c r="Y105" s="534"/>
      <c r="Z105" s="222" t="s">
        <v>212</v>
      </c>
      <c r="AA105" s="227">
        <v>7859500</v>
      </c>
      <c r="AB105" s="228">
        <v>0</v>
      </c>
      <c r="AC105" s="215"/>
    </row>
    <row r="106" spans="1:29" ht="2.25" customHeight="1">
      <c r="A106" s="215"/>
      <c r="B106" s="529" t="s">
        <v>212</v>
      </c>
      <c r="C106" s="529"/>
      <c r="D106" s="219" t="s">
        <v>212</v>
      </c>
      <c r="E106" s="222" t="s">
        <v>212</v>
      </c>
      <c r="F106" s="531" t="s">
        <v>212</v>
      </c>
      <c r="G106" s="531"/>
      <c r="H106" s="222" t="s">
        <v>212</v>
      </c>
      <c r="I106" s="531" t="s">
        <v>212</v>
      </c>
      <c r="J106" s="531"/>
      <c r="K106" s="222" t="s">
        <v>212</v>
      </c>
      <c r="L106" s="222" t="s">
        <v>212</v>
      </c>
      <c r="M106" s="222" t="s">
        <v>212</v>
      </c>
      <c r="N106" s="222" t="s">
        <v>212</v>
      </c>
      <c r="O106" s="222" t="s">
        <v>212</v>
      </c>
      <c r="P106" s="222" t="s">
        <v>212</v>
      </c>
      <c r="Q106" s="222" t="s">
        <v>212</v>
      </c>
      <c r="R106" s="222" t="s">
        <v>212</v>
      </c>
      <c r="S106" s="222" t="s">
        <v>212</v>
      </c>
      <c r="T106" s="531" t="s">
        <v>212</v>
      </c>
      <c r="U106" s="531"/>
      <c r="V106" s="222" t="s">
        <v>212</v>
      </c>
      <c r="W106" s="222" t="s">
        <v>212</v>
      </c>
      <c r="X106" s="531" t="s">
        <v>212</v>
      </c>
      <c r="Y106" s="531"/>
      <c r="Z106" s="222" t="s">
        <v>212</v>
      </c>
      <c r="AA106" s="222" t="s">
        <v>212</v>
      </c>
      <c r="AB106" s="222" t="s">
        <v>212</v>
      </c>
      <c r="AC106" s="215"/>
    </row>
    <row r="107" spans="1:29" ht="13.5" customHeight="1">
      <c r="A107" s="215"/>
      <c r="B107" s="535">
        <v>39128</v>
      </c>
      <c r="C107" s="535"/>
      <c r="D107" s="219" t="s">
        <v>212</v>
      </c>
      <c r="E107" s="229">
        <v>282.60000000000002</v>
      </c>
      <c r="F107" s="536">
        <v>24</v>
      </c>
      <c r="G107" s="536"/>
      <c r="H107" s="229">
        <v>0</v>
      </c>
      <c r="I107" s="536">
        <v>0</v>
      </c>
      <c r="J107" s="536"/>
      <c r="K107" s="229">
        <v>321.89999999999998</v>
      </c>
      <c r="L107" s="230">
        <v>24</v>
      </c>
      <c r="M107" s="229">
        <v>0</v>
      </c>
      <c r="N107" s="230">
        <v>0</v>
      </c>
      <c r="O107" s="231">
        <v>604.5</v>
      </c>
      <c r="P107" s="222" t="s">
        <v>212</v>
      </c>
      <c r="Q107" s="229">
        <v>27</v>
      </c>
      <c r="R107" s="230">
        <v>24</v>
      </c>
      <c r="S107" s="229">
        <v>0</v>
      </c>
      <c r="T107" s="536">
        <v>0</v>
      </c>
      <c r="U107" s="536"/>
      <c r="V107" s="229">
        <v>27</v>
      </c>
      <c r="W107" s="222" t="s">
        <v>212</v>
      </c>
      <c r="X107" s="530">
        <v>631.5</v>
      </c>
      <c r="Y107" s="530"/>
      <c r="Z107" s="222" t="s">
        <v>212</v>
      </c>
      <c r="AA107" s="232">
        <v>8371300</v>
      </c>
      <c r="AB107" s="233">
        <v>0</v>
      </c>
      <c r="AC107" s="215"/>
    </row>
    <row r="108" spans="1:29" ht="2.25" customHeight="1">
      <c r="A108" s="215"/>
      <c r="B108" s="529" t="s">
        <v>212</v>
      </c>
      <c r="C108" s="529"/>
      <c r="D108" s="219" t="s">
        <v>212</v>
      </c>
      <c r="E108" s="222" t="s">
        <v>212</v>
      </c>
      <c r="F108" s="531" t="s">
        <v>212</v>
      </c>
      <c r="G108" s="531"/>
      <c r="H108" s="222" t="s">
        <v>212</v>
      </c>
      <c r="I108" s="531" t="s">
        <v>212</v>
      </c>
      <c r="J108" s="531"/>
      <c r="K108" s="222" t="s">
        <v>212</v>
      </c>
      <c r="L108" s="222" t="s">
        <v>212</v>
      </c>
      <c r="M108" s="222" t="s">
        <v>212</v>
      </c>
      <c r="N108" s="222" t="s">
        <v>212</v>
      </c>
      <c r="O108" s="222" t="s">
        <v>212</v>
      </c>
      <c r="P108" s="222" t="s">
        <v>212</v>
      </c>
      <c r="Q108" s="222" t="s">
        <v>212</v>
      </c>
      <c r="R108" s="222" t="s">
        <v>212</v>
      </c>
      <c r="S108" s="222" t="s">
        <v>212</v>
      </c>
      <c r="T108" s="531" t="s">
        <v>212</v>
      </c>
      <c r="U108" s="531"/>
      <c r="V108" s="222" t="s">
        <v>212</v>
      </c>
      <c r="W108" s="222" t="s">
        <v>212</v>
      </c>
      <c r="X108" s="531" t="s">
        <v>212</v>
      </c>
      <c r="Y108" s="531"/>
      <c r="Z108" s="222" t="s">
        <v>212</v>
      </c>
      <c r="AA108" s="222" t="s">
        <v>212</v>
      </c>
      <c r="AB108" s="222" t="s">
        <v>212</v>
      </c>
      <c r="AC108" s="215"/>
    </row>
    <row r="109" spans="1:29" ht="13.5" customHeight="1">
      <c r="A109" s="215"/>
      <c r="B109" s="532">
        <v>39129</v>
      </c>
      <c r="C109" s="532"/>
      <c r="D109" s="219" t="s">
        <v>212</v>
      </c>
      <c r="E109" s="224">
        <v>224</v>
      </c>
      <c r="F109" s="533">
        <v>24</v>
      </c>
      <c r="G109" s="533"/>
      <c r="H109" s="224">
        <v>42.9</v>
      </c>
      <c r="I109" s="533">
        <v>4</v>
      </c>
      <c r="J109" s="533"/>
      <c r="K109" s="224">
        <v>280.8</v>
      </c>
      <c r="L109" s="225">
        <v>24</v>
      </c>
      <c r="M109" s="224">
        <v>0</v>
      </c>
      <c r="N109" s="225">
        <v>0</v>
      </c>
      <c r="O109" s="226">
        <v>547.70000000000005</v>
      </c>
      <c r="P109" s="222" t="s">
        <v>212</v>
      </c>
      <c r="Q109" s="224">
        <v>120</v>
      </c>
      <c r="R109" s="225">
        <v>24</v>
      </c>
      <c r="S109" s="224">
        <v>0</v>
      </c>
      <c r="T109" s="533">
        <v>0</v>
      </c>
      <c r="U109" s="533"/>
      <c r="V109" s="224">
        <v>120</v>
      </c>
      <c r="W109" s="222" t="s">
        <v>212</v>
      </c>
      <c r="X109" s="534">
        <v>667.7</v>
      </c>
      <c r="Y109" s="534"/>
      <c r="Z109" s="222" t="s">
        <v>212</v>
      </c>
      <c r="AA109" s="227">
        <v>8150000</v>
      </c>
      <c r="AB109" s="228">
        <v>234</v>
      </c>
      <c r="AC109" s="215"/>
    </row>
    <row r="110" spans="1:29" ht="2.25" customHeight="1">
      <c r="A110" s="215"/>
      <c r="B110" s="529" t="s">
        <v>212</v>
      </c>
      <c r="C110" s="529"/>
      <c r="D110" s="219" t="s">
        <v>212</v>
      </c>
      <c r="E110" s="222" t="s">
        <v>212</v>
      </c>
      <c r="F110" s="531" t="s">
        <v>212</v>
      </c>
      <c r="G110" s="531"/>
      <c r="H110" s="222" t="s">
        <v>212</v>
      </c>
      <c r="I110" s="531" t="s">
        <v>212</v>
      </c>
      <c r="J110" s="531"/>
      <c r="K110" s="222" t="s">
        <v>212</v>
      </c>
      <c r="L110" s="222" t="s">
        <v>212</v>
      </c>
      <c r="M110" s="222" t="s">
        <v>212</v>
      </c>
      <c r="N110" s="222" t="s">
        <v>212</v>
      </c>
      <c r="O110" s="222" t="s">
        <v>212</v>
      </c>
      <c r="P110" s="222" t="s">
        <v>212</v>
      </c>
      <c r="Q110" s="222" t="s">
        <v>212</v>
      </c>
      <c r="R110" s="222" t="s">
        <v>212</v>
      </c>
      <c r="S110" s="222" t="s">
        <v>212</v>
      </c>
      <c r="T110" s="531" t="s">
        <v>212</v>
      </c>
      <c r="U110" s="531"/>
      <c r="V110" s="222" t="s">
        <v>212</v>
      </c>
      <c r="W110" s="222" t="s">
        <v>212</v>
      </c>
      <c r="X110" s="531" t="s">
        <v>212</v>
      </c>
      <c r="Y110" s="531"/>
      <c r="Z110" s="222" t="s">
        <v>212</v>
      </c>
      <c r="AA110" s="222" t="s">
        <v>212</v>
      </c>
      <c r="AB110" s="222" t="s">
        <v>212</v>
      </c>
      <c r="AC110" s="215"/>
    </row>
    <row r="111" spans="1:29" ht="13.5" customHeight="1">
      <c r="A111" s="215"/>
      <c r="B111" s="535">
        <v>39130</v>
      </c>
      <c r="C111" s="535"/>
      <c r="D111" s="219" t="s">
        <v>212</v>
      </c>
      <c r="E111" s="229">
        <v>17.7</v>
      </c>
      <c r="F111" s="536">
        <v>3</v>
      </c>
      <c r="G111" s="536"/>
      <c r="H111" s="229">
        <v>325.7</v>
      </c>
      <c r="I111" s="536">
        <v>24</v>
      </c>
      <c r="J111" s="536"/>
      <c r="K111" s="229">
        <v>255</v>
      </c>
      <c r="L111" s="230">
        <v>23</v>
      </c>
      <c r="M111" s="229">
        <v>0</v>
      </c>
      <c r="N111" s="230">
        <v>0</v>
      </c>
      <c r="O111" s="231">
        <v>598.4</v>
      </c>
      <c r="P111" s="222" t="s">
        <v>212</v>
      </c>
      <c r="Q111" s="229">
        <v>0</v>
      </c>
      <c r="R111" s="230">
        <v>0</v>
      </c>
      <c r="S111" s="229">
        <v>0</v>
      </c>
      <c r="T111" s="536">
        <v>0</v>
      </c>
      <c r="U111" s="536"/>
      <c r="V111" s="229">
        <v>0</v>
      </c>
      <c r="W111" s="222" t="s">
        <v>212</v>
      </c>
      <c r="X111" s="530">
        <v>598.4</v>
      </c>
      <c r="Y111" s="530"/>
      <c r="Z111" s="222" t="s">
        <v>212</v>
      </c>
      <c r="AA111" s="232">
        <v>7962232</v>
      </c>
      <c r="AB111" s="233">
        <v>0</v>
      </c>
      <c r="AC111" s="215"/>
    </row>
    <row r="112" spans="1:29" ht="2.25" customHeight="1">
      <c r="A112" s="215"/>
      <c r="B112" s="529" t="s">
        <v>212</v>
      </c>
      <c r="C112" s="529"/>
      <c r="D112" s="219" t="s">
        <v>212</v>
      </c>
      <c r="E112" s="222" t="s">
        <v>212</v>
      </c>
      <c r="F112" s="531" t="s">
        <v>212</v>
      </c>
      <c r="G112" s="531"/>
      <c r="H112" s="222" t="s">
        <v>212</v>
      </c>
      <c r="I112" s="531" t="s">
        <v>212</v>
      </c>
      <c r="J112" s="531"/>
      <c r="K112" s="222" t="s">
        <v>212</v>
      </c>
      <c r="L112" s="222" t="s">
        <v>212</v>
      </c>
      <c r="M112" s="222" t="s">
        <v>212</v>
      </c>
      <c r="N112" s="222" t="s">
        <v>212</v>
      </c>
      <c r="O112" s="222" t="s">
        <v>212</v>
      </c>
      <c r="P112" s="222" t="s">
        <v>212</v>
      </c>
      <c r="Q112" s="222" t="s">
        <v>212</v>
      </c>
      <c r="R112" s="222" t="s">
        <v>212</v>
      </c>
      <c r="S112" s="222" t="s">
        <v>212</v>
      </c>
      <c r="T112" s="531" t="s">
        <v>212</v>
      </c>
      <c r="U112" s="531"/>
      <c r="V112" s="222" t="s">
        <v>212</v>
      </c>
      <c r="W112" s="222" t="s">
        <v>212</v>
      </c>
      <c r="X112" s="531" t="s">
        <v>212</v>
      </c>
      <c r="Y112" s="531"/>
      <c r="Z112" s="222" t="s">
        <v>212</v>
      </c>
      <c r="AA112" s="222" t="s">
        <v>212</v>
      </c>
      <c r="AB112" s="222" t="s">
        <v>212</v>
      </c>
      <c r="AC112" s="215"/>
    </row>
    <row r="113" spans="1:29" ht="13.5" customHeight="1">
      <c r="A113" s="215"/>
      <c r="B113" s="532">
        <v>39131</v>
      </c>
      <c r="C113" s="532"/>
      <c r="D113" s="219" t="s">
        <v>212</v>
      </c>
      <c r="E113" s="224">
        <v>284.8</v>
      </c>
      <c r="F113" s="533">
        <v>24</v>
      </c>
      <c r="G113" s="533"/>
      <c r="H113" s="224">
        <v>347.7</v>
      </c>
      <c r="I113" s="533">
        <v>24</v>
      </c>
      <c r="J113" s="533"/>
      <c r="K113" s="224">
        <v>0</v>
      </c>
      <c r="L113" s="225">
        <v>2</v>
      </c>
      <c r="M113" s="224">
        <v>0</v>
      </c>
      <c r="N113" s="225">
        <v>0</v>
      </c>
      <c r="O113" s="226">
        <v>632.5</v>
      </c>
      <c r="P113" s="222" t="s">
        <v>212</v>
      </c>
      <c r="Q113" s="224">
        <v>0</v>
      </c>
      <c r="R113" s="225">
        <v>0</v>
      </c>
      <c r="S113" s="224">
        <v>0</v>
      </c>
      <c r="T113" s="533">
        <v>0</v>
      </c>
      <c r="U113" s="533"/>
      <c r="V113" s="224">
        <v>0</v>
      </c>
      <c r="W113" s="222" t="s">
        <v>212</v>
      </c>
      <c r="X113" s="534">
        <v>632.5</v>
      </c>
      <c r="Y113" s="534"/>
      <c r="Z113" s="222" t="s">
        <v>212</v>
      </c>
      <c r="AA113" s="227">
        <v>8541500</v>
      </c>
      <c r="AB113" s="228">
        <v>0</v>
      </c>
      <c r="AC113" s="215"/>
    </row>
    <row r="114" spans="1:29" ht="2.25" customHeight="1">
      <c r="A114" s="215"/>
      <c r="B114" s="529" t="s">
        <v>212</v>
      </c>
      <c r="C114" s="529"/>
      <c r="D114" s="219" t="s">
        <v>212</v>
      </c>
      <c r="E114" s="222" t="s">
        <v>212</v>
      </c>
      <c r="F114" s="531" t="s">
        <v>212</v>
      </c>
      <c r="G114" s="531"/>
      <c r="H114" s="222" t="s">
        <v>212</v>
      </c>
      <c r="I114" s="531" t="s">
        <v>212</v>
      </c>
      <c r="J114" s="531"/>
      <c r="K114" s="222" t="s">
        <v>212</v>
      </c>
      <c r="L114" s="222" t="s">
        <v>212</v>
      </c>
      <c r="M114" s="222" t="s">
        <v>212</v>
      </c>
      <c r="N114" s="222" t="s">
        <v>212</v>
      </c>
      <c r="O114" s="222" t="s">
        <v>212</v>
      </c>
      <c r="P114" s="222" t="s">
        <v>212</v>
      </c>
      <c r="Q114" s="222" t="s">
        <v>212</v>
      </c>
      <c r="R114" s="222" t="s">
        <v>212</v>
      </c>
      <c r="S114" s="222" t="s">
        <v>212</v>
      </c>
      <c r="T114" s="531" t="s">
        <v>212</v>
      </c>
      <c r="U114" s="531"/>
      <c r="V114" s="222" t="s">
        <v>212</v>
      </c>
      <c r="W114" s="222" t="s">
        <v>212</v>
      </c>
      <c r="X114" s="531" t="s">
        <v>212</v>
      </c>
      <c r="Y114" s="531"/>
      <c r="Z114" s="222" t="s">
        <v>212</v>
      </c>
      <c r="AA114" s="222" t="s">
        <v>212</v>
      </c>
      <c r="AB114" s="222" t="s">
        <v>212</v>
      </c>
      <c r="AC114" s="215"/>
    </row>
    <row r="115" spans="1:29" ht="13.5" customHeight="1">
      <c r="A115" s="215"/>
      <c r="B115" s="535">
        <v>39132</v>
      </c>
      <c r="C115" s="535"/>
      <c r="D115" s="219" t="s">
        <v>212</v>
      </c>
      <c r="E115" s="229">
        <v>290.5</v>
      </c>
      <c r="F115" s="536">
        <v>24</v>
      </c>
      <c r="G115" s="536"/>
      <c r="H115" s="229">
        <v>326.5</v>
      </c>
      <c r="I115" s="536">
        <v>24</v>
      </c>
      <c r="J115" s="536"/>
      <c r="K115" s="229">
        <v>39.4</v>
      </c>
      <c r="L115" s="230">
        <v>8</v>
      </c>
      <c r="M115" s="229">
        <v>0</v>
      </c>
      <c r="N115" s="230">
        <v>0</v>
      </c>
      <c r="O115" s="231">
        <v>656.4</v>
      </c>
      <c r="P115" s="222" t="s">
        <v>212</v>
      </c>
      <c r="Q115" s="229">
        <v>0</v>
      </c>
      <c r="R115" s="230">
        <v>0</v>
      </c>
      <c r="S115" s="229">
        <v>0</v>
      </c>
      <c r="T115" s="536">
        <v>0</v>
      </c>
      <c r="U115" s="536"/>
      <c r="V115" s="229">
        <v>0</v>
      </c>
      <c r="W115" s="222" t="s">
        <v>212</v>
      </c>
      <c r="X115" s="530">
        <v>656.4</v>
      </c>
      <c r="Y115" s="530"/>
      <c r="Z115" s="222" t="s">
        <v>212</v>
      </c>
      <c r="AA115" s="232">
        <v>9194000</v>
      </c>
      <c r="AB115" s="233">
        <v>0</v>
      </c>
      <c r="AC115" s="215"/>
    </row>
    <row r="116" spans="1:29" ht="2.25" customHeight="1">
      <c r="A116" s="215"/>
      <c r="B116" s="529" t="s">
        <v>212</v>
      </c>
      <c r="C116" s="529"/>
      <c r="D116" s="219" t="s">
        <v>212</v>
      </c>
      <c r="E116" s="222" t="s">
        <v>212</v>
      </c>
      <c r="F116" s="531" t="s">
        <v>212</v>
      </c>
      <c r="G116" s="531"/>
      <c r="H116" s="222" t="s">
        <v>212</v>
      </c>
      <c r="I116" s="531" t="s">
        <v>212</v>
      </c>
      <c r="J116" s="531"/>
      <c r="K116" s="222" t="s">
        <v>212</v>
      </c>
      <c r="L116" s="222" t="s">
        <v>212</v>
      </c>
      <c r="M116" s="222" t="s">
        <v>212</v>
      </c>
      <c r="N116" s="222" t="s">
        <v>212</v>
      </c>
      <c r="O116" s="222" t="s">
        <v>212</v>
      </c>
      <c r="P116" s="222" t="s">
        <v>212</v>
      </c>
      <c r="Q116" s="222" t="s">
        <v>212</v>
      </c>
      <c r="R116" s="222" t="s">
        <v>212</v>
      </c>
      <c r="S116" s="222" t="s">
        <v>212</v>
      </c>
      <c r="T116" s="531" t="s">
        <v>212</v>
      </c>
      <c r="U116" s="531"/>
      <c r="V116" s="222" t="s">
        <v>212</v>
      </c>
      <c r="W116" s="222" t="s">
        <v>212</v>
      </c>
      <c r="X116" s="531" t="s">
        <v>212</v>
      </c>
      <c r="Y116" s="531"/>
      <c r="Z116" s="222" t="s">
        <v>212</v>
      </c>
      <c r="AA116" s="222" t="s">
        <v>212</v>
      </c>
      <c r="AB116" s="222" t="s">
        <v>212</v>
      </c>
      <c r="AC116" s="215"/>
    </row>
    <row r="117" spans="1:29" ht="13.5" customHeight="1">
      <c r="A117" s="215"/>
      <c r="B117" s="532">
        <v>39133</v>
      </c>
      <c r="C117" s="532"/>
      <c r="D117" s="219" t="s">
        <v>212</v>
      </c>
      <c r="E117" s="224">
        <v>300.10000000000002</v>
      </c>
      <c r="F117" s="533">
        <v>24</v>
      </c>
      <c r="G117" s="533"/>
      <c r="H117" s="224">
        <v>369.8</v>
      </c>
      <c r="I117" s="533">
        <v>24</v>
      </c>
      <c r="J117" s="533"/>
      <c r="K117" s="224">
        <v>0</v>
      </c>
      <c r="L117" s="225">
        <v>0</v>
      </c>
      <c r="M117" s="224">
        <v>0</v>
      </c>
      <c r="N117" s="225">
        <v>0</v>
      </c>
      <c r="O117" s="226">
        <v>669.9</v>
      </c>
      <c r="P117" s="222" t="s">
        <v>212</v>
      </c>
      <c r="Q117" s="224">
        <v>0</v>
      </c>
      <c r="R117" s="225">
        <v>0</v>
      </c>
      <c r="S117" s="224">
        <v>0</v>
      </c>
      <c r="T117" s="533">
        <v>0</v>
      </c>
      <c r="U117" s="533"/>
      <c r="V117" s="224">
        <v>0</v>
      </c>
      <c r="W117" s="222" t="s">
        <v>212</v>
      </c>
      <c r="X117" s="534">
        <v>669.9</v>
      </c>
      <c r="Y117" s="534"/>
      <c r="Z117" s="222" t="s">
        <v>212</v>
      </c>
      <c r="AA117" s="227">
        <v>8567200</v>
      </c>
      <c r="AB117" s="228">
        <v>0</v>
      </c>
      <c r="AC117" s="215"/>
    </row>
    <row r="118" spans="1:29" ht="2.25" customHeight="1">
      <c r="A118" s="215"/>
      <c r="B118" s="529" t="s">
        <v>212</v>
      </c>
      <c r="C118" s="529"/>
      <c r="D118" s="219" t="s">
        <v>212</v>
      </c>
      <c r="E118" s="222" t="s">
        <v>212</v>
      </c>
      <c r="F118" s="531" t="s">
        <v>212</v>
      </c>
      <c r="G118" s="531"/>
      <c r="H118" s="222" t="s">
        <v>212</v>
      </c>
      <c r="I118" s="531" t="s">
        <v>212</v>
      </c>
      <c r="J118" s="531"/>
      <c r="K118" s="222" t="s">
        <v>212</v>
      </c>
      <c r="L118" s="222" t="s">
        <v>212</v>
      </c>
      <c r="M118" s="222" t="s">
        <v>212</v>
      </c>
      <c r="N118" s="222" t="s">
        <v>212</v>
      </c>
      <c r="O118" s="222" t="s">
        <v>212</v>
      </c>
      <c r="P118" s="222" t="s">
        <v>212</v>
      </c>
      <c r="Q118" s="222" t="s">
        <v>212</v>
      </c>
      <c r="R118" s="222" t="s">
        <v>212</v>
      </c>
      <c r="S118" s="222" t="s">
        <v>212</v>
      </c>
      <c r="T118" s="531" t="s">
        <v>212</v>
      </c>
      <c r="U118" s="531"/>
      <c r="V118" s="222" t="s">
        <v>212</v>
      </c>
      <c r="W118" s="222" t="s">
        <v>212</v>
      </c>
      <c r="X118" s="531" t="s">
        <v>212</v>
      </c>
      <c r="Y118" s="531"/>
      <c r="Z118" s="222" t="s">
        <v>212</v>
      </c>
      <c r="AA118" s="222" t="s">
        <v>212</v>
      </c>
      <c r="AB118" s="222" t="s">
        <v>212</v>
      </c>
      <c r="AC118" s="215"/>
    </row>
    <row r="119" spans="1:29" ht="13.5" customHeight="1">
      <c r="A119" s="215"/>
      <c r="B119" s="535">
        <v>39134</v>
      </c>
      <c r="C119" s="535"/>
      <c r="D119" s="219" t="s">
        <v>212</v>
      </c>
      <c r="E119" s="229">
        <v>301.10000000000002</v>
      </c>
      <c r="F119" s="536">
        <v>24</v>
      </c>
      <c r="G119" s="536"/>
      <c r="H119" s="229">
        <v>331.6</v>
      </c>
      <c r="I119" s="536">
        <v>24</v>
      </c>
      <c r="J119" s="536"/>
      <c r="K119" s="229">
        <v>25</v>
      </c>
      <c r="L119" s="230">
        <v>4</v>
      </c>
      <c r="M119" s="229">
        <v>0</v>
      </c>
      <c r="N119" s="230">
        <v>0</v>
      </c>
      <c r="O119" s="231">
        <v>657.7</v>
      </c>
      <c r="P119" s="222" t="s">
        <v>212</v>
      </c>
      <c r="Q119" s="229">
        <v>0</v>
      </c>
      <c r="R119" s="230">
        <v>24</v>
      </c>
      <c r="S119" s="229">
        <v>0</v>
      </c>
      <c r="T119" s="536">
        <v>0</v>
      </c>
      <c r="U119" s="536"/>
      <c r="V119" s="229">
        <v>0</v>
      </c>
      <c r="W119" s="222" t="s">
        <v>212</v>
      </c>
      <c r="X119" s="530">
        <v>657.7</v>
      </c>
      <c r="Y119" s="530"/>
      <c r="Z119" s="222" t="s">
        <v>212</v>
      </c>
      <c r="AA119" s="232">
        <v>8968900</v>
      </c>
      <c r="AB119" s="233">
        <v>0</v>
      </c>
      <c r="AC119" s="215"/>
    </row>
    <row r="120" spans="1:29" ht="2.25" customHeight="1">
      <c r="A120" s="215"/>
      <c r="B120" s="529" t="s">
        <v>212</v>
      </c>
      <c r="C120" s="529"/>
      <c r="D120" s="219" t="s">
        <v>212</v>
      </c>
      <c r="E120" s="222" t="s">
        <v>212</v>
      </c>
      <c r="F120" s="531" t="s">
        <v>212</v>
      </c>
      <c r="G120" s="531"/>
      <c r="H120" s="222" t="s">
        <v>212</v>
      </c>
      <c r="I120" s="531" t="s">
        <v>212</v>
      </c>
      <c r="J120" s="531"/>
      <c r="K120" s="222" t="s">
        <v>212</v>
      </c>
      <c r="L120" s="222" t="s">
        <v>212</v>
      </c>
      <c r="M120" s="222" t="s">
        <v>212</v>
      </c>
      <c r="N120" s="222" t="s">
        <v>212</v>
      </c>
      <c r="O120" s="222" t="s">
        <v>212</v>
      </c>
      <c r="P120" s="222" t="s">
        <v>212</v>
      </c>
      <c r="Q120" s="222" t="s">
        <v>212</v>
      </c>
      <c r="R120" s="222" t="s">
        <v>212</v>
      </c>
      <c r="S120" s="222" t="s">
        <v>212</v>
      </c>
      <c r="T120" s="531" t="s">
        <v>212</v>
      </c>
      <c r="U120" s="531"/>
      <c r="V120" s="222" t="s">
        <v>212</v>
      </c>
      <c r="W120" s="222" t="s">
        <v>212</v>
      </c>
      <c r="X120" s="531" t="s">
        <v>212</v>
      </c>
      <c r="Y120" s="531"/>
      <c r="Z120" s="222" t="s">
        <v>212</v>
      </c>
      <c r="AA120" s="222" t="s">
        <v>212</v>
      </c>
      <c r="AB120" s="222" t="s">
        <v>212</v>
      </c>
      <c r="AC120" s="215"/>
    </row>
    <row r="121" spans="1:29" ht="13.5" customHeight="1">
      <c r="A121" s="215"/>
      <c r="B121" s="532">
        <v>39135</v>
      </c>
      <c r="C121" s="532"/>
      <c r="D121" s="219" t="s">
        <v>212</v>
      </c>
      <c r="E121" s="224">
        <v>282.5</v>
      </c>
      <c r="F121" s="533">
        <v>24</v>
      </c>
      <c r="G121" s="533"/>
      <c r="H121" s="224">
        <v>326.60000000000002</v>
      </c>
      <c r="I121" s="533">
        <v>24</v>
      </c>
      <c r="J121" s="533"/>
      <c r="K121" s="224">
        <v>88.2</v>
      </c>
      <c r="L121" s="225">
        <v>13</v>
      </c>
      <c r="M121" s="224">
        <v>0</v>
      </c>
      <c r="N121" s="225">
        <v>0</v>
      </c>
      <c r="O121" s="226">
        <v>697.3</v>
      </c>
      <c r="P121" s="222" t="s">
        <v>212</v>
      </c>
      <c r="Q121" s="224">
        <v>0</v>
      </c>
      <c r="R121" s="225">
        <v>24</v>
      </c>
      <c r="S121" s="224">
        <v>0</v>
      </c>
      <c r="T121" s="533">
        <v>0</v>
      </c>
      <c r="U121" s="533"/>
      <c r="V121" s="224">
        <v>0</v>
      </c>
      <c r="W121" s="222" t="s">
        <v>212</v>
      </c>
      <c r="X121" s="534">
        <v>697.3</v>
      </c>
      <c r="Y121" s="534"/>
      <c r="Z121" s="222" t="s">
        <v>212</v>
      </c>
      <c r="AA121" s="227">
        <v>9905900</v>
      </c>
      <c r="AB121" s="228">
        <v>0</v>
      </c>
      <c r="AC121" s="215"/>
    </row>
    <row r="122" spans="1:29" ht="2.25" customHeight="1">
      <c r="A122" s="215"/>
      <c r="B122" s="529" t="s">
        <v>212</v>
      </c>
      <c r="C122" s="529"/>
      <c r="D122" s="219" t="s">
        <v>212</v>
      </c>
      <c r="E122" s="222" t="s">
        <v>212</v>
      </c>
      <c r="F122" s="531" t="s">
        <v>212</v>
      </c>
      <c r="G122" s="531"/>
      <c r="H122" s="222" t="s">
        <v>212</v>
      </c>
      <c r="I122" s="531" t="s">
        <v>212</v>
      </c>
      <c r="J122" s="531"/>
      <c r="K122" s="222" t="s">
        <v>212</v>
      </c>
      <c r="L122" s="222" t="s">
        <v>212</v>
      </c>
      <c r="M122" s="222" t="s">
        <v>212</v>
      </c>
      <c r="N122" s="222" t="s">
        <v>212</v>
      </c>
      <c r="O122" s="222" t="s">
        <v>212</v>
      </c>
      <c r="P122" s="222" t="s">
        <v>212</v>
      </c>
      <c r="Q122" s="222" t="s">
        <v>212</v>
      </c>
      <c r="R122" s="222" t="s">
        <v>212</v>
      </c>
      <c r="S122" s="222" t="s">
        <v>212</v>
      </c>
      <c r="T122" s="531" t="s">
        <v>212</v>
      </c>
      <c r="U122" s="531"/>
      <c r="V122" s="222" t="s">
        <v>212</v>
      </c>
      <c r="W122" s="222" t="s">
        <v>212</v>
      </c>
      <c r="X122" s="531" t="s">
        <v>212</v>
      </c>
      <c r="Y122" s="531"/>
      <c r="Z122" s="222" t="s">
        <v>212</v>
      </c>
      <c r="AA122" s="222" t="s">
        <v>212</v>
      </c>
      <c r="AB122" s="222" t="s">
        <v>212</v>
      </c>
      <c r="AC122" s="215"/>
    </row>
    <row r="123" spans="1:29" ht="13.5" customHeight="1">
      <c r="A123" s="215"/>
      <c r="B123" s="535">
        <v>39136</v>
      </c>
      <c r="C123" s="535"/>
      <c r="D123" s="219" t="s">
        <v>212</v>
      </c>
      <c r="E123" s="229">
        <v>261.5</v>
      </c>
      <c r="F123" s="536">
        <v>24</v>
      </c>
      <c r="G123" s="536"/>
      <c r="H123" s="229">
        <v>298</v>
      </c>
      <c r="I123" s="536">
        <v>24</v>
      </c>
      <c r="J123" s="536"/>
      <c r="K123" s="229">
        <v>186.7</v>
      </c>
      <c r="L123" s="230">
        <v>24</v>
      </c>
      <c r="M123" s="229">
        <v>0</v>
      </c>
      <c r="N123" s="230">
        <v>0</v>
      </c>
      <c r="O123" s="231">
        <v>746.2</v>
      </c>
      <c r="P123" s="222" t="s">
        <v>212</v>
      </c>
      <c r="Q123" s="229">
        <v>0</v>
      </c>
      <c r="R123" s="230">
        <v>0</v>
      </c>
      <c r="S123" s="229">
        <v>0</v>
      </c>
      <c r="T123" s="536">
        <v>0</v>
      </c>
      <c r="U123" s="536"/>
      <c r="V123" s="229">
        <v>0</v>
      </c>
      <c r="W123" s="222" t="s">
        <v>212</v>
      </c>
      <c r="X123" s="530">
        <v>746.2</v>
      </c>
      <c r="Y123" s="530"/>
      <c r="Z123" s="222" t="s">
        <v>212</v>
      </c>
      <c r="AA123" s="232">
        <v>11098000</v>
      </c>
      <c r="AB123" s="233">
        <v>0</v>
      </c>
      <c r="AC123" s="215"/>
    </row>
    <row r="124" spans="1:29" ht="2.25" customHeight="1">
      <c r="A124" s="215"/>
      <c r="B124" s="529" t="s">
        <v>212</v>
      </c>
      <c r="C124" s="529"/>
      <c r="D124" s="219" t="s">
        <v>212</v>
      </c>
      <c r="E124" s="222" t="s">
        <v>212</v>
      </c>
      <c r="F124" s="531" t="s">
        <v>212</v>
      </c>
      <c r="G124" s="531"/>
      <c r="H124" s="222" t="s">
        <v>212</v>
      </c>
      <c r="I124" s="531" t="s">
        <v>212</v>
      </c>
      <c r="J124" s="531"/>
      <c r="K124" s="222" t="s">
        <v>212</v>
      </c>
      <c r="L124" s="222" t="s">
        <v>212</v>
      </c>
      <c r="M124" s="222" t="s">
        <v>212</v>
      </c>
      <c r="N124" s="222" t="s">
        <v>212</v>
      </c>
      <c r="O124" s="222" t="s">
        <v>212</v>
      </c>
      <c r="P124" s="222" t="s">
        <v>212</v>
      </c>
      <c r="Q124" s="222" t="s">
        <v>212</v>
      </c>
      <c r="R124" s="222" t="s">
        <v>212</v>
      </c>
      <c r="S124" s="222" t="s">
        <v>212</v>
      </c>
      <c r="T124" s="531" t="s">
        <v>212</v>
      </c>
      <c r="U124" s="531"/>
      <c r="V124" s="222" t="s">
        <v>212</v>
      </c>
      <c r="W124" s="222" t="s">
        <v>212</v>
      </c>
      <c r="X124" s="531" t="s">
        <v>212</v>
      </c>
      <c r="Y124" s="531"/>
      <c r="Z124" s="222" t="s">
        <v>212</v>
      </c>
      <c r="AA124" s="222" t="s">
        <v>212</v>
      </c>
      <c r="AB124" s="222" t="s">
        <v>212</v>
      </c>
      <c r="AC124" s="215"/>
    </row>
    <row r="125" spans="1:29" ht="13.5" customHeight="1">
      <c r="A125" s="215"/>
      <c r="B125" s="532">
        <v>39137</v>
      </c>
      <c r="C125" s="532"/>
      <c r="D125" s="219" t="s">
        <v>212</v>
      </c>
      <c r="E125" s="224">
        <v>256.10000000000002</v>
      </c>
      <c r="F125" s="533">
        <v>24</v>
      </c>
      <c r="G125" s="533"/>
      <c r="H125" s="224">
        <v>283.7</v>
      </c>
      <c r="I125" s="533">
        <v>24</v>
      </c>
      <c r="J125" s="533"/>
      <c r="K125" s="224">
        <v>116.4</v>
      </c>
      <c r="L125" s="225">
        <v>17</v>
      </c>
      <c r="M125" s="224">
        <v>0</v>
      </c>
      <c r="N125" s="225">
        <v>0</v>
      </c>
      <c r="O125" s="226">
        <v>656.2</v>
      </c>
      <c r="P125" s="222" t="s">
        <v>212</v>
      </c>
      <c r="Q125" s="224">
        <v>0</v>
      </c>
      <c r="R125" s="225">
        <v>0</v>
      </c>
      <c r="S125" s="224">
        <v>0</v>
      </c>
      <c r="T125" s="533">
        <v>0</v>
      </c>
      <c r="U125" s="533"/>
      <c r="V125" s="224">
        <v>0</v>
      </c>
      <c r="W125" s="222" t="s">
        <v>212</v>
      </c>
      <c r="X125" s="534">
        <v>656.2</v>
      </c>
      <c r="Y125" s="534"/>
      <c r="Z125" s="222" t="s">
        <v>212</v>
      </c>
      <c r="AA125" s="227">
        <v>8778600</v>
      </c>
      <c r="AB125" s="228">
        <v>37087</v>
      </c>
      <c r="AC125" s="215"/>
    </row>
    <row r="126" spans="1:29" ht="2.25" customHeight="1">
      <c r="A126" s="215"/>
      <c r="B126" s="529" t="s">
        <v>212</v>
      </c>
      <c r="C126" s="529"/>
      <c r="D126" s="219" t="s">
        <v>212</v>
      </c>
      <c r="E126" s="222" t="s">
        <v>212</v>
      </c>
      <c r="F126" s="531" t="s">
        <v>212</v>
      </c>
      <c r="G126" s="531"/>
      <c r="H126" s="222" t="s">
        <v>212</v>
      </c>
      <c r="I126" s="531" t="s">
        <v>212</v>
      </c>
      <c r="J126" s="531"/>
      <c r="K126" s="222" t="s">
        <v>212</v>
      </c>
      <c r="L126" s="222" t="s">
        <v>212</v>
      </c>
      <c r="M126" s="222" t="s">
        <v>212</v>
      </c>
      <c r="N126" s="222" t="s">
        <v>212</v>
      </c>
      <c r="O126" s="222" t="s">
        <v>212</v>
      </c>
      <c r="P126" s="222" t="s">
        <v>212</v>
      </c>
      <c r="Q126" s="222" t="s">
        <v>212</v>
      </c>
      <c r="R126" s="222" t="s">
        <v>212</v>
      </c>
      <c r="S126" s="222" t="s">
        <v>212</v>
      </c>
      <c r="T126" s="531" t="s">
        <v>212</v>
      </c>
      <c r="U126" s="531"/>
      <c r="V126" s="222" t="s">
        <v>212</v>
      </c>
      <c r="W126" s="222" t="s">
        <v>212</v>
      </c>
      <c r="X126" s="531" t="s">
        <v>212</v>
      </c>
      <c r="Y126" s="531"/>
      <c r="Z126" s="222" t="s">
        <v>212</v>
      </c>
      <c r="AA126" s="222" t="s">
        <v>212</v>
      </c>
      <c r="AB126" s="222" t="s">
        <v>212</v>
      </c>
      <c r="AC126" s="215"/>
    </row>
    <row r="127" spans="1:29" ht="13.5" customHeight="1">
      <c r="A127" s="215"/>
      <c r="B127" s="535">
        <v>39138</v>
      </c>
      <c r="C127" s="535"/>
      <c r="D127" s="219" t="s">
        <v>212</v>
      </c>
      <c r="E127" s="229">
        <v>265.7</v>
      </c>
      <c r="F127" s="536">
        <v>24</v>
      </c>
      <c r="G127" s="536"/>
      <c r="H127" s="229">
        <v>332.3</v>
      </c>
      <c r="I127" s="536">
        <v>24</v>
      </c>
      <c r="J127" s="536"/>
      <c r="K127" s="229">
        <v>0</v>
      </c>
      <c r="L127" s="230">
        <v>0</v>
      </c>
      <c r="M127" s="229">
        <v>0</v>
      </c>
      <c r="N127" s="230">
        <v>0</v>
      </c>
      <c r="O127" s="231">
        <v>598</v>
      </c>
      <c r="P127" s="222" t="s">
        <v>212</v>
      </c>
      <c r="Q127" s="229">
        <v>0</v>
      </c>
      <c r="R127" s="230">
        <v>0</v>
      </c>
      <c r="S127" s="229">
        <v>0</v>
      </c>
      <c r="T127" s="536">
        <v>0</v>
      </c>
      <c r="U127" s="536"/>
      <c r="V127" s="229">
        <v>0</v>
      </c>
      <c r="W127" s="222" t="s">
        <v>212</v>
      </c>
      <c r="X127" s="530">
        <v>598</v>
      </c>
      <c r="Y127" s="530"/>
      <c r="Z127" s="222" t="s">
        <v>212</v>
      </c>
      <c r="AA127" s="232">
        <v>8114900</v>
      </c>
      <c r="AB127" s="233">
        <v>0</v>
      </c>
      <c r="AC127" s="215"/>
    </row>
    <row r="128" spans="1:29" ht="2.25" customHeight="1">
      <c r="A128" s="215"/>
      <c r="B128" s="529" t="s">
        <v>212</v>
      </c>
      <c r="C128" s="529"/>
      <c r="D128" s="219" t="s">
        <v>212</v>
      </c>
      <c r="E128" s="222" t="s">
        <v>212</v>
      </c>
      <c r="F128" s="531" t="s">
        <v>212</v>
      </c>
      <c r="G128" s="531"/>
      <c r="H128" s="222" t="s">
        <v>212</v>
      </c>
      <c r="I128" s="531" t="s">
        <v>212</v>
      </c>
      <c r="J128" s="531"/>
      <c r="K128" s="222" t="s">
        <v>212</v>
      </c>
      <c r="L128" s="222" t="s">
        <v>212</v>
      </c>
      <c r="M128" s="222" t="s">
        <v>212</v>
      </c>
      <c r="N128" s="222" t="s">
        <v>212</v>
      </c>
      <c r="O128" s="222" t="s">
        <v>212</v>
      </c>
      <c r="P128" s="222" t="s">
        <v>212</v>
      </c>
      <c r="Q128" s="222" t="s">
        <v>212</v>
      </c>
      <c r="R128" s="222" t="s">
        <v>212</v>
      </c>
      <c r="S128" s="222" t="s">
        <v>212</v>
      </c>
      <c r="T128" s="531" t="s">
        <v>212</v>
      </c>
      <c r="U128" s="531"/>
      <c r="V128" s="222" t="s">
        <v>212</v>
      </c>
      <c r="W128" s="222" t="s">
        <v>212</v>
      </c>
      <c r="X128" s="531" t="s">
        <v>212</v>
      </c>
      <c r="Y128" s="531"/>
      <c r="Z128" s="222" t="s">
        <v>212</v>
      </c>
      <c r="AA128" s="222" t="s">
        <v>212</v>
      </c>
      <c r="AB128" s="222" t="s">
        <v>212</v>
      </c>
      <c r="AC128" s="215"/>
    </row>
    <row r="129" spans="1:29" ht="13.5" customHeight="1">
      <c r="A129" s="215"/>
      <c r="B129" s="532">
        <v>39139</v>
      </c>
      <c r="C129" s="532"/>
      <c r="D129" s="219" t="s">
        <v>212</v>
      </c>
      <c r="E129" s="224">
        <v>275.5</v>
      </c>
      <c r="F129" s="533">
        <v>24</v>
      </c>
      <c r="G129" s="533"/>
      <c r="H129" s="224">
        <v>348</v>
      </c>
      <c r="I129" s="533">
        <v>24</v>
      </c>
      <c r="J129" s="533"/>
      <c r="K129" s="224">
        <v>0</v>
      </c>
      <c r="L129" s="225">
        <v>0</v>
      </c>
      <c r="M129" s="224">
        <v>0</v>
      </c>
      <c r="N129" s="225">
        <v>0</v>
      </c>
      <c r="O129" s="226">
        <v>623.5</v>
      </c>
      <c r="P129" s="222" t="s">
        <v>212</v>
      </c>
      <c r="Q129" s="224">
        <v>0</v>
      </c>
      <c r="R129" s="225">
        <v>0</v>
      </c>
      <c r="S129" s="224">
        <v>0</v>
      </c>
      <c r="T129" s="533">
        <v>0</v>
      </c>
      <c r="U129" s="533"/>
      <c r="V129" s="224">
        <v>0</v>
      </c>
      <c r="W129" s="222" t="s">
        <v>212</v>
      </c>
      <c r="X129" s="534">
        <v>623.5</v>
      </c>
      <c r="Y129" s="534"/>
      <c r="Z129" s="222" t="s">
        <v>212</v>
      </c>
      <c r="AA129" s="227">
        <v>8217800</v>
      </c>
      <c r="AB129" s="228">
        <v>0</v>
      </c>
      <c r="AC129" s="215"/>
    </row>
    <row r="130" spans="1:29" ht="2.25" customHeight="1">
      <c r="A130" s="215"/>
      <c r="B130" s="529" t="s">
        <v>212</v>
      </c>
      <c r="C130" s="529"/>
      <c r="D130" s="219" t="s">
        <v>212</v>
      </c>
      <c r="E130" s="222" t="s">
        <v>212</v>
      </c>
      <c r="F130" s="531" t="s">
        <v>212</v>
      </c>
      <c r="G130" s="531"/>
      <c r="H130" s="222" t="s">
        <v>212</v>
      </c>
      <c r="I130" s="531" t="s">
        <v>212</v>
      </c>
      <c r="J130" s="531"/>
      <c r="K130" s="222" t="s">
        <v>212</v>
      </c>
      <c r="L130" s="222" t="s">
        <v>212</v>
      </c>
      <c r="M130" s="222" t="s">
        <v>212</v>
      </c>
      <c r="N130" s="222" t="s">
        <v>212</v>
      </c>
      <c r="O130" s="222" t="s">
        <v>212</v>
      </c>
      <c r="P130" s="222" t="s">
        <v>212</v>
      </c>
      <c r="Q130" s="222" t="s">
        <v>212</v>
      </c>
      <c r="R130" s="222" t="s">
        <v>212</v>
      </c>
      <c r="S130" s="222" t="s">
        <v>212</v>
      </c>
      <c r="T130" s="531" t="s">
        <v>212</v>
      </c>
      <c r="U130" s="531"/>
      <c r="V130" s="222" t="s">
        <v>212</v>
      </c>
      <c r="W130" s="222" t="s">
        <v>212</v>
      </c>
      <c r="X130" s="531" t="s">
        <v>212</v>
      </c>
      <c r="Y130" s="531"/>
      <c r="Z130" s="222" t="s">
        <v>212</v>
      </c>
      <c r="AA130" s="222" t="s">
        <v>212</v>
      </c>
      <c r="AB130" s="222" t="s">
        <v>212</v>
      </c>
      <c r="AC130" s="215"/>
    </row>
    <row r="131" spans="1:29" ht="13.5" customHeight="1">
      <c r="A131" s="215"/>
      <c r="B131" s="535">
        <v>39140</v>
      </c>
      <c r="C131" s="535"/>
      <c r="D131" s="219" t="s">
        <v>212</v>
      </c>
      <c r="E131" s="229">
        <v>297.39999999999998</v>
      </c>
      <c r="F131" s="536">
        <v>24</v>
      </c>
      <c r="G131" s="536"/>
      <c r="H131" s="229">
        <v>175.6</v>
      </c>
      <c r="I131" s="536">
        <v>13</v>
      </c>
      <c r="J131" s="536"/>
      <c r="K131" s="229">
        <v>146.6</v>
      </c>
      <c r="L131" s="230">
        <v>12</v>
      </c>
      <c r="M131" s="229">
        <v>0</v>
      </c>
      <c r="N131" s="230">
        <v>0</v>
      </c>
      <c r="O131" s="231">
        <v>619.6</v>
      </c>
      <c r="P131" s="222" t="s">
        <v>212</v>
      </c>
      <c r="Q131" s="229">
        <v>38</v>
      </c>
      <c r="R131" s="230">
        <v>11</v>
      </c>
      <c r="S131" s="229">
        <v>0</v>
      </c>
      <c r="T131" s="536">
        <v>0</v>
      </c>
      <c r="U131" s="536"/>
      <c r="V131" s="229">
        <v>38</v>
      </c>
      <c r="W131" s="222" t="s">
        <v>212</v>
      </c>
      <c r="X131" s="530">
        <v>657.6</v>
      </c>
      <c r="Y131" s="530"/>
      <c r="Z131" s="222" t="s">
        <v>212</v>
      </c>
      <c r="AA131" s="232">
        <v>8346400</v>
      </c>
      <c r="AB131" s="233">
        <v>0</v>
      </c>
      <c r="AC131" s="215"/>
    </row>
    <row r="132" spans="1:29" ht="2.25" customHeight="1">
      <c r="A132" s="215"/>
      <c r="B132" s="529" t="s">
        <v>212</v>
      </c>
      <c r="C132" s="529"/>
      <c r="D132" s="219" t="s">
        <v>212</v>
      </c>
      <c r="E132" s="222" t="s">
        <v>212</v>
      </c>
      <c r="F132" s="531" t="s">
        <v>212</v>
      </c>
      <c r="G132" s="531"/>
      <c r="H132" s="222" t="s">
        <v>212</v>
      </c>
      <c r="I132" s="531" t="s">
        <v>212</v>
      </c>
      <c r="J132" s="531"/>
      <c r="K132" s="222" t="s">
        <v>212</v>
      </c>
      <c r="L132" s="222" t="s">
        <v>212</v>
      </c>
      <c r="M132" s="222" t="s">
        <v>212</v>
      </c>
      <c r="N132" s="222" t="s">
        <v>212</v>
      </c>
      <c r="O132" s="222" t="s">
        <v>212</v>
      </c>
      <c r="P132" s="222" t="s">
        <v>212</v>
      </c>
      <c r="Q132" s="222" t="s">
        <v>212</v>
      </c>
      <c r="R132" s="222" t="s">
        <v>212</v>
      </c>
      <c r="S132" s="222" t="s">
        <v>212</v>
      </c>
      <c r="T132" s="531" t="s">
        <v>212</v>
      </c>
      <c r="U132" s="531"/>
      <c r="V132" s="222" t="s">
        <v>212</v>
      </c>
      <c r="W132" s="222" t="s">
        <v>212</v>
      </c>
      <c r="X132" s="531" t="s">
        <v>212</v>
      </c>
      <c r="Y132" s="531"/>
      <c r="Z132" s="222" t="s">
        <v>212</v>
      </c>
      <c r="AA132" s="222" t="s">
        <v>212</v>
      </c>
      <c r="AB132" s="222" t="s">
        <v>212</v>
      </c>
      <c r="AC132" s="215"/>
    </row>
    <row r="133" spans="1:29" ht="13.5" customHeight="1">
      <c r="A133" s="215"/>
      <c r="B133" s="532">
        <v>39141</v>
      </c>
      <c r="C133" s="532"/>
      <c r="D133" s="219" t="s">
        <v>212</v>
      </c>
      <c r="E133" s="224">
        <v>283.3</v>
      </c>
      <c r="F133" s="533">
        <v>24</v>
      </c>
      <c r="G133" s="533"/>
      <c r="H133" s="224">
        <v>0</v>
      </c>
      <c r="I133" s="533">
        <v>0</v>
      </c>
      <c r="J133" s="533"/>
      <c r="K133" s="224">
        <v>322.3</v>
      </c>
      <c r="L133" s="225">
        <v>24</v>
      </c>
      <c r="M133" s="224">
        <v>0</v>
      </c>
      <c r="N133" s="225">
        <v>0</v>
      </c>
      <c r="O133" s="226">
        <v>605.6</v>
      </c>
      <c r="P133" s="222" t="s">
        <v>212</v>
      </c>
      <c r="Q133" s="224">
        <v>72</v>
      </c>
      <c r="R133" s="225">
        <v>22</v>
      </c>
      <c r="S133" s="224">
        <v>0</v>
      </c>
      <c r="T133" s="533">
        <v>0</v>
      </c>
      <c r="U133" s="533"/>
      <c r="V133" s="224">
        <v>72</v>
      </c>
      <c r="W133" s="222" t="s">
        <v>212</v>
      </c>
      <c r="X133" s="534">
        <v>677.6</v>
      </c>
      <c r="Y133" s="534"/>
      <c r="Z133" s="222" t="s">
        <v>212</v>
      </c>
      <c r="AA133" s="227">
        <v>8310700</v>
      </c>
      <c r="AB133" s="228">
        <v>0</v>
      </c>
      <c r="AC133" s="215"/>
    </row>
    <row r="134" spans="1:29" ht="2.25" customHeight="1">
      <c r="A134" s="215"/>
      <c r="B134" s="529" t="s">
        <v>212</v>
      </c>
      <c r="C134" s="529"/>
      <c r="D134" s="219" t="s">
        <v>212</v>
      </c>
      <c r="E134" s="222" t="s">
        <v>212</v>
      </c>
      <c r="F134" s="531" t="s">
        <v>212</v>
      </c>
      <c r="G134" s="531"/>
      <c r="H134" s="222" t="s">
        <v>212</v>
      </c>
      <c r="I134" s="531" t="s">
        <v>212</v>
      </c>
      <c r="J134" s="531"/>
      <c r="K134" s="222" t="s">
        <v>212</v>
      </c>
      <c r="L134" s="222" t="s">
        <v>212</v>
      </c>
      <c r="M134" s="222" t="s">
        <v>212</v>
      </c>
      <c r="N134" s="222" t="s">
        <v>212</v>
      </c>
      <c r="O134" s="222" t="s">
        <v>212</v>
      </c>
      <c r="P134" s="222" t="s">
        <v>212</v>
      </c>
      <c r="Q134" s="222" t="s">
        <v>212</v>
      </c>
      <c r="R134" s="222" t="s">
        <v>212</v>
      </c>
      <c r="S134" s="222" t="s">
        <v>212</v>
      </c>
      <c r="T134" s="531" t="s">
        <v>212</v>
      </c>
      <c r="U134" s="531"/>
      <c r="V134" s="222" t="s">
        <v>212</v>
      </c>
      <c r="W134" s="222" t="s">
        <v>212</v>
      </c>
      <c r="X134" s="531" t="s">
        <v>212</v>
      </c>
      <c r="Y134" s="531"/>
      <c r="Z134" s="222" t="s">
        <v>212</v>
      </c>
      <c r="AA134" s="222" t="s">
        <v>212</v>
      </c>
      <c r="AB134" s="222" t="s">
        <v>212</v>
      </c>
      <c r="AC134" s="215"/>
    </row>
    <row r="135" spans="1:29" ht="13.5" customHeight="1">
      <c r="A135" s="215"/>
      <c r="B135" s="535">
        <v>39142</v>
      </c>
      <c r="C135" s="535"/>
      <c r="D135" s="219" t="s">
        <v>212</v>
      </c>
      <c r="E135" s="229">
        <v>197.5</v>
      </c>
      <c r="F135" s="536">
        <v>21</v>
      </c>
      <c r="G135" s="536"/>
      <c r="H135" s="229">
        <v>98.9</v>
      </c>
      <c r="I135" s="536">
        <v>9</v>
      </c>
      <c r="J135" s="536"/>
      <c r="K135" s="229">
        <v>302</v>
      </c>
      <c r="L135" s="230">
        <v>24</v>
      </c>
      <c r="M135" s="229">
        <v>0</v>
      </c>
      <c r="N135" s="230">
        <v>0</v>
      </c>
      <c r="O135" s="231">
        <v>598.4</v>
      </c>
      <c r="P135" s="222" t="s">
        <v>212</v>
      </c>
      <c r="Q135" s="229">
        <v>26</v>
      </c>
      <c r="R135" s="230">
        <v>24</v>
      </c>
      <c r="S135" s="229">
        <v>0</v>
      </c>
      <c r="T135" s="536">
        <v>0</v>
      </c>
      <c r="U135" s="536"/>
      <c r="V135" s="229">
        <v>26</v>
      </c>
      <c r="W135" s="222" t="s">
        <v>212</v>
      </c>
      <c r="X135" s="530">
        <v>624.4</v>
      </c>
      <c r="Y135" s="530"/>
      <c r="Z135" s="222" t="s">
        <v>212</v>
      </c>
      <c r="AA135" s="232">
        <v>8569000</v>
      </c>
      <c r="AB135" s="233">
        <v>1099</v>
      </c>
      <c r="AC135" s="215"/>
    </row>
    <row r="136" spans="1:29" ht="2.25" customHeight="1">
      <c r="A136" s="215"/>
      <c r="B136" s="529" t="s">
        <v>212</v>
      </c>
      <c r="C136" s="529"/>
      <c r="D136" s="219" t="s">
        <v>212</v>
      </c>
      <c r="E136" s="222" t="s">
        <v>212</v>
      </c>
      <c r="F136" s="531" t="s">
        <v>212</v>
      </c>
      <c r="G136" s="531"/>
      <c r="H136" s="222" t="s">
        <v>212</v>
      </c>
      <c r="I136" s="531" t="s">
        <v>212</v>
      </c>
      <c r="J136" s="531"/>
      <c r="K136" s="222" t="s">
        <v>212</v>
      </c>
      <c r="L136" s="222" t="s">
        <v>212</v>
      </c>
      <c r="M136" s="222" t="s">
        <v>212</v>
      </c>
      <c r="N136" s="222" t="s">
        <v>212</v>
      </c>
      <c r="O136" s="222" t="s">
        <v>212</v>
      </c>
      <c r="P136" s="222" t="s">
        <v>212</v>
      </c>
      <c r="Q136" s="222" t="s">
        <v>212</v>
      </c>
      <c r="R136" s="222" t="s">
        <v>212</v>
      </c>
      <c r="S136" s="222" t="s">
        <v>212</v>
      </c>
      <c r="T136" s="531" t="s">
        <v>212</v>
      </c>
      <c r="U136" s="531"/>
      <c r="V136" s="222" t="s">
        <v>212</v>
      </c>
      <c r="W136" s="222" t="s">
        <v>212</v>
      </c>
      <c r="X136" s="531" t="s">
        <v>212</v>
      </c>
      <c r="Y136" s="531"/>
      <c r="Z136" s="222" t="s">
        <v>212</v>
      </c>
      <c r="AA136" s="222" t="s">
        <v>212</v>
      </c>
      <c r="AB136" s="222" t="s">
        <v>212</v>
      </c>
      <c r="AC136" s="215"/>
    </row>
    <row r="137" spans="1:29" ht="13.5" customHeight="1">
      <c r="A137" s="215"/>
      <c r="B137" s="532">
        <v>39143</v>
      </c>
      <c r="C137" s="532"/>
      <c r="D137" s="219" t="s">
        <v>212</v>
      </c>
      <c r="E137" s="224">
        <v>96.3</v>
      </c>
      <c r="F137" s="533">
        <v>13</v>
      </c>
      <c r="G137" s="533"/>
      <c r="H137" s="224">
        <v>306.5</v>
      </c>
      <c r="I137" s="533">
        <v>24</v>
      </c>
      <c r="J137" s="533"/>
      <c r="K137" s="224">
        <v>279.39999999999998</v>
      </c>
      <c r="L137" s="225">
        <v>24</v>
      </c>
      <c r="M137" s="224">
        <v>0</v>
      </c>
      <c r="N137" s="225">
        <v>0</v>
      </c>
      <c r="O137" s="226">
        <v>682.2</v>
      </c>
      <c r="P137" s="222" t="s">
        <v>212</v>
      </c>
      <c r="Q137" s="224">
        <v>0</v>
      </c>
      <c r="R137" s="225">
        <v>0</v>
      </c>
      <c r="S137" s="224">
        <v>0</v>
      </c>
      <c r="T137" s="533">
        <v>0</v>
      </c>
      <c r="U137" s="533"/>
      <c r="V137" s="224">
        <v>0</v>
      </c>
      <c r="W137" s="222" t="s">
        <v>212</v>
      </c>
      <c r="X137" s="534">
        <v>682.2</v>
      </c>
      <c r="Y137" s="534"/>
      <c r="Z137" s="222" t="s">
        <v>212</v>
      </c>
      <c r="AA137" s="227">
        <v>9752800</v>
      </c>
      <c r="AB137" s="228">
        <v>0</v>
      </c>
      <c r="AC137" s="215"/>
    </row>
    <row r="138" spans="1:29" ht="2.25" customHeight="1">
      <c r="A138" s="215"/>
      <c r="B138" s="529" t="s">
        <v>212</v>
      </c>
      <c r="C138" s="529"/>
      <c r="D138" s="219" t="s">
        <v>212</v>
      </c>
      <c r="E138" s="222" t="s">
        <v>212</v>
      </c>
      <c r="F138" s="531" t="s">
        <v>212</v>
      </c>
      <c r="G138" s="531"/>
      <c r="H138" s="222" t="s">
        <v>212</v>
      </c>
      <c r="I138" s="531" t="s">
        <v>212</v>
      </c>
      <c r="J138" s="531"/>
      <c r="K138" s="222" t="s">
        <v>212</v>
      </c>
      <c r="L138" s="222" t="s">
        <v>212</v>
      </c>
      <c r="M138" s="222" t="s">
        <v>212</v>
      </c>
      <c r="N138" s="222" t="s">
        <v>212</v>
      </c>
      <c r="O138" s="222" t="s">
        <v>212</v>
      </c>
      <c r="P138" s="222" t="s">
        <v>212</v>
      </c>
      <c r="Q138" s="222" t="s">
        <v>212</v>
      </c>
      <c r="R138" s="222" t="s">
        <v>212</v>
      </c>
      <c r="S138" s="222" t="s">
        <v>212</v>
      </c>
      <c r="T138" s="531" t="s">
        <v>212</v>
      </c>
      <c r="U138" s="531"/>
      <c r="V138" s="222" t="s">
        <v>212</v>
      </c>
      <c r="W138" s="222" t="s">
        <v>212</v>
      </c>
      <c r="X138" s="531" t="s">
        <v>212</v>
      </c>
      <c r="Y138" s="531"/>
      <c r="Z138" s="222" t="s">
        <v>212</v>
      </c>
      <c r="AA138" s="222" t="s">
        <v>212</v>
      </c>
      <c r="AB138" s="222" t="s">
        <v>212</v>
      </c>
      <c r="AC138" s="215"/>
    </row>
    <row r="139" spans="1:29" ht="13.5" customHeight="1">
      <c r="A139" s="215"/>
      <c r="B139" s="535">
        <v>39144</v>
      </c>
      <c r="C139" s="535"/>
      <c r="D139" s="219" t="s">
        <v>212</v>
      </c>
      <c r="E139" s="229">
        <v>179</v>
      </c>
      <c r="F139" s="536">
        <v>24</v>
      </c>
      <c r="G139" s="536"/>
      <c r="H139" s="229">
        <v>295.7</v>
      </c>
      <c r="I139" s="536">
        <v>24</v>
      </c>
      <c r="J139" s="536"/>
      <c r="K139" s="229">
        <v>218.4</v>
      </c>
      <c r="L139" s="230">
        <v>23</v>
      </c>
      <c r="M139" s="229">
        <v>0</v>
      </c>
      <c r="N139" s="230">
        <v>0</v>
      </c>
      <c r="O139" s="231">
        <v>693.1</v>
      </c>
      <c r="P139" s="222" t="s">
        <v>212</v>
      </c>
      <c r="Q139" s="229">
        <v>0</v>
      </c>
      <c r="R139" s="230">
        <v>0</v>
      </c>
      <c r="S139" s="229">
        <v>0</v>
      </c>
      <c r="T139" s="536">
        <v>0</v>
      </c>
      <c r="U139" s="536"/>
      <c r="V139" s="229">
        <v>0</v>
      </c>
      <c r="W139" s="222" t="s">
        <v>212</v>
      </c>
      <c r="X139" s="530">
        <v>693.1</v>
      </c>
      <c r="Y139" s="530"/>
      <c r="Z139" s="222" t="s">
        <v>212</v>
      </c>
      <c r="AA139" s="232">
        <v>10472600</v>
      </c>
      <c r="AB139" s="233">
        <v>0</v>
      </c>
      <c r="AC139" s="215"/>
    </row>
    <row r="140" spans="1:29" ht="2.25" customHeight="1">
      <c r="A140" s="215"/>
      <c r="B140" s="529" t="s">
        <v>212</v>
      </c>
      <c r="C140" s="529"/>
      <c r="D140" s="219" t="s">
        <v>212</v>
      </c>
      <c r="E140" s="222" t="s">
        <v>212</v>
      </c>
      <c r="F140" s="531" t="s">
        <v>212</v>
      </c>
      <c r="G140" s="531"/>
      <c r="H140" s="222" t="s">
        <v>212</v>
      </c>
      <c r="I140" s="531" t="s">
        <v>212</v>
      </c>
      <c r="J140" s="531"/>
      <c r="K140" s="222" t="s">
        <v>212</v>
      </c>
      <c r="L140" s="222" t="s">
        <v>212</v>
      </c>
      <c r="M140" s="222" t="s">
        <v>212</v>
      </c>
      <c r="N140" s="222" t="s">
        <v>212</v>
      </c>
      <c r="O140" s="222" t="s">
        <v>212</v>
      </c>
      <c r="P140" s="222" t="s">
        <v>212</v>
      </c>
      <c r="Q140" s="222" t="s">
        <v>212</v>
      </c>
      <c r="R140" s="222" t="s">
        <v>212</v>
      </c>
      <c r="S140" s="222" t="s">
        <v>212</v>
      </c>
      <c r="T140" s="531" t="s">
        <v>212</v>
      </c>
      <c r="U140" s="531"/>
      <c r="V140" s="222" t="s">
        <v>212</v>
      </c>
      <c r="W140" s="222" t="s">
        <v>212</v>
      </c>
      <c r="X140" s="531" t="s">
        <v>212</v>
      </c>
      <c r="Y140" s="531"/>
      <c r="Z140" s="222" t="s">
        <v>212</v>
      </c>
      <c r="AA140" s="222" t="s">
        <v>212</v>
      </c>
      <c r="AB140" s="222" t="s">
        <v>212</v>
      </c>
      <c r="AC140" s="215"/>
    </row>
    <row r="141" spans="1:29" ht="13.5" customHeight="1">
      <c r="A141" s="215"/>
      <c r="B141" s="532">
        <v>39145</v>
      </c>
      <c r="C141" s="532"/>
      <c r="D141" s="219" t="s">
        <v>212</v>
      </c>
      <c r="E141" s="224">
        <v>296</v>
      </c>
      <c r="F141" s="533">
        <v>24</v>
      </c>
      <c r="G141" s="533"/>
      <c r="H141" s="224">
        <v>354.3</v>
      </c>
      <c r="I141" s="533">
        <v>24</v>
      </c>
      <c r="J141" s="533"/>
      <c r="K141" s="224">
        <v>0</v>
      </c>
      <c r="L141" s="225">
        <v>0</v>
      </c>
      <c r="M141" s="224">
        <v>0</v>
      </c>
      <c r="N141" s="225">
        <v>0</v>
      </c>
      <c r="O141" s="226">
        <v>650.29999999999995</v>
      </c>
      <c r="P141" s="222" t="s">
        <v>212</v>
      </c>
      <c r="Q141" s="224">
        <v>0</v>
      </c>
      <c r="R141" s="225">
        <v>0</v>
      </c>
      <c r="S141" s="224">
        <v>0</v>
      </c>
      <c r="T141" s="533">
        <v>0</v>
      </c>
      <c r="U141" s="533"/>
      <c r="V141" s="224">
        <v>0</v>
      </c>
      <c r="W141" s="222" t="s">
        <v>212</v>
      </c>
      <c r="X141" s="534">
        <v>650.29999999999995</v>
      </c>
      <c r="Y141" s="534"/>
      <c r="Z141" s="222" t="s">
        <v>212</v>
      </c>
      <c r="AA141" s="227">
        <v>8458000</v>
      </c>
      <c r="AB141" s="228">
        <v>0</v>
      </c>
      <c r="AC141" s="215"/>
    </row>
    <row r="142" spans="1:29" ht="2.25" customHeight="1">
      <c r="A142" s="215"/>
      <c r="B142" s="529" t="s">
        <v>212</v>
      </c>
      <c r="C142" s="529"/>
      <c r="D142" s="219" t="s">
        <v>212</v>
      </c>
      <c r="E142" s="222" t="s">
        <v>212</v>
      </c>
      <c r="F142" s="531" t="s">
        <v>212</v>
      </c>
      <c r="G142" s="531"/>
      <c r="H142" s="222" t="s">
        <v>212</v>
      </c>
      <c r="I142" s="531" t="s">
        <v>212</v>
      </c>
      <c r="J142" s="531"/>
      <c r="K142" s="222" t="s">
        <v>212</v>
      </c>
      <c r="L142" s="222" t="s">
        <v>212</v>
      </c>
      <c r="M142" s="222" t="s">
        <v>212</v>
      </c>
      <c r="N142" s="222" t="s">
        <v>212</v>
      </c>
      <c r="O142" s="222" t="s">
        <v>212</v>
      </c>
      <c r="P142" s="222" t="s">
        <v>212</v>
      </c>
      <c r="Q142" s="222" t="s">
        <v>212</v>
      </c>
      <c r="R142" s="222" t="s">
        <v>212</v>
      </c>
      <c r="S142" s="222" t="s">
        <v>212</v>
      </c>
      <c r="T142" s="531" t="s">
        <v>212</v>
      </c>
      <c r="U142" s="531"/>
      <c r="V142" s="222" t="s">
        <v>212</v>
      </c>
      <c r="W142" s="222" t="s">
        <v>212</v>
      </c>
      <c r="X142" s="531" t="s">
        <v>212</v>
      </c>
      <c r="Y142" s="531"/>
      <c r="Z142" s="222" t="s">
        <v>212</v>
      </c>
      <c r="AA142" s="222" t="s">
        <v>212</v>
      </c>
      <c r="AB142" s="222" t="s">
        <v>212</v>
      </c>
      <c r="AC142" s="215"/>
    </row>
    <row r="143" spans="1:29" ht="13.5" customHeight="1">
      <c r="A143" s="215"/>
      <c r="B143" s="535">
        <v>39146</v>
      </c>
      <c r="C143" s="535"/>
      <c r="D143" s="219" t="s">
        <v>212</v>
      </c>
      <c r="E143" s="229">
        <v>287</v>
      </c>
      <c r="F143" s="536">
        <v>24</v>
      </c>
      <c r="G143" s="536"/>
      <c r="H143" s="229">
        <v>349</v>
      </c>
      <c r="I143" s="536">
        <v>24</v>
      </c>
      <c r="J143" s="536"/>
      <c r="K143" s="229">
        <v>0</v>
      </c>
      <c r="L143" s="230">
        <v>0</v>
      </c>
      <c r="M143" s="229">
        <v>0</v>
      </c>
      <c r="N143" s="230">
        <v>0</v>
      </c>
      <c r="O143" s="231">
        <v>636</v>
      </c>
      <c r="P143" s="222" t="s">
        <v>212</v>
      </c>
      <c r="Q143" s="229">
        <v>0</v>
      </c>
      <c r="R143" s="230">
        <v>0</v>
      </c>
      <c r="S143" s="229">
        <v>0</v>
      </c>
      <c r="T143" s="536">
        <v>0</v>
      </c>
      <c r="U143" s="536"/>
      <c r="V143" s="229">
        <v>0</v>
      </c>
      <c r="W143" s="222" t="s">
        <v>212</v>
      </c>
      <c r="X143" s="530">
        <v>636</v>
      </c>
      <c r="Y143" s="530"/>
      <c r="Z143" s="222" t="s">
        <v>212</v>
      </c>
      <c r="AA143" s="232">
        <v>8344400</v>
      </c>
      <c r="AB143" s="233">
        <v>0</v>
      </c>
      <c r="AC143" s="215"/>
    </row>
    <row r="144" spans="1:29" ht="2.25" customHeight="1">
      <c r="A144" s="215"/>
      <c r="B144" s="529" t="s">
        <v>212</v>
      </c>
      <c r="C144" s="529"/>
      <c r="D144" s="219" t="s">
        <v>212</v>
      </c>
      <c r="E144" s="222" t="s">
        <v>212</v>
      </c>
      <c r="F144" s="531" t="s">
        <v>212</v>
      </c>
      <c r="G144" s="531"/>
      <c r="H144" s="222" t="s">
        <v>212</v>
      </c>
      <c r="I144" s="531" t="s">
        <v>212</v>
      </c>
      <c r="J144" s="531"/>
      <c r="K144" s="222" t="s">
        <v>212</v>
      </c>
      <c r="L144" s="222" t="s">
        <v>212</v>
      </c>
      <c r="M144" s="222" t="s">
        <v>212</v>
      </c>
      <c r="N144" s="222" t="s">
        <v>212</v>
      </c>
      <c r="O144" s="222" t="s">
        <v>212</v>
      </c>
      <c r="P144" s="222" t="s">
        <v>212</v>
      </c>
      <c r="Q144" s="222" t="s">
        <v>212</v>
      </c>
      <c r="R144" s="222" t="s">
        <v>212</v>
      </c>
      <c r="S144" s="222" t="s">
        <v>212</v>
      </c>
      <c r="T144" s="531" t="s">
        <v>212</v>
      </c>
      <c r="U144" s="531"/>
      <c r="V144" s="222" t="s">
        <v>212</v>
      </c>
      <c r="W144" s="222" t="s">
        <v>212</v>
      </c>
      <c r="X144" s="531" t="s">
        <v>212</v>
      </c>
      <c r="Y144" s="531"/>
      <c r="Z144" s="222" t="s">
        <v>212</v>
      </c>
      <c r="AA144" s="222" t="s">
        <v>212</v>
      </c>
      <c r="AB144" s="222" t="s">
        <v>212</v>
      </c>
      <c r="AC144" s="215"/>
    </row>
    <row r="145" spans="1:29" ht="13.5" customHeight="1">
      <c r="A145" s="215"/>
      <c r="B145" s="532">
        <v>39147</v>
      </c>
      <c r="C145" s="532"/>
      <c r="D145" s="219" t="s">
        <v>212</v>
      </c>
      <c r="E145" s="224">
        <v>301.8</v>
      </c>
      <c r="F145" s="533">
        <v>24</v>
      </c>
      <c r="G145" s="533"/>
      <c r="H145" s="224">
        <v>375.5</v>
      </c>
      <c r="I145" s="533">
        <v>24</v>
      </c>
      <c r="J145" s="533"/>
      <c r="K145" s="224">
        <v>0</v>
      </c>
      <c r="L145" s="225">
        <v>0</v>
      </c>
      <c r="M145" s="224">
        <v>0</v>
      </c>
      <c r="N145" s="225">
        <v>0</v>
      </c>
      <c r="O145" s="226">
        <v>677.3</v>
      </c>
      <c r="P145" s="222" t="s">
        <v>212</v>
      </c>
      <c r="Q145" s="224">
        <v>0</v>
      </c>
      <c r="R145" s="225">
        <v>0</v>
      </c>
      <c r="S145" s="224">
        <v>0</v>
      </c>
      <c r="T145" s="533">
        <v>0</v>
      </c>
      <c r="U145" s="533"/>
      <c r="V145" s="224">
        <v>0</v>
      </c>
      <c r="W145" s="222" t="s">
        <v>212</v>
      </c>
      <c r="X145" s="534">
        <v>677.3</v>
      </c>
      <c r="Y145" s="534"/>
      <c r="Z145" s="222" t="s">
        <v>212</v>
      </c>
      <c r="AA145" s="227">
        <v>8677800</v>
      </c>
      <c r="AB145" s="228">
        <v>0</v>
      </c>
      <c r="AC145" s="215"/>
    </row>
    <row r="146" spans="1:29" ht="2.25" customHeight="1">
      <c r="A146" s="215"/>
      <c r="B146" s="529" t="s">
        <v>212</v>
      </c>
      <c r="C146" s="529"/>
      <c r="D146" s="219" t="s">
        <v>212</v>
      </c>
      <c r="E146" s="222" t="s">
        <v>212</v>
      </c>
      <c r="F146" s="531" t="s">
        <v>212</v>
      </c>
      <c r="G146" s="531"/>
      <c r="H146" s="222" t="s">
        <v>212</v>
      </c>
      <c r="I146" s="531" t="s">
        <v>212</v>
      </c>
      <c r="J146" s="531"/>
      <c r="K146" s="222" t="s">
        <v>212</v>
      </c>
      <c r="L146" s="222" t="s">
        <v>212</v>
      </c>
      <c r="M146" s="222" t="s">
        <v>212</v>
      </c>
      <c r="N146" s="222" t="s">
        <v>212</v>
      </c>
      <c r="O146" s="222" t="s">
        <v>212</v>
      </c>
      <c r="P146" s="222" t="s">
        <v>212</v>
      </c>
      <c r="Q146" s="222" t="s">
        <v>212</v>
      </c>
      <c r="R146" s="222" t="s">
        <v>212</v>
      </c>
      <c r="S146" s="222" t="s">
        <v>212</v>
      </c>
      <c r="T146" s="531" t="s">
        <v>212</v>
      </c>
      <c r="U146" s="531"/>
      <c r="V146" s="222" t="s">
        <v>212</v>
      </c>
      <c r="W146" s="222" t="s">
        <v>212</v>
      </c>
      <c r="X146" s="531" t="s">
        <v>212</v>
      </c>
      <c r="Y146" s="531"/>
      <c r="Z146" s="222" t="s">
        <v>212</v>
      </c>
      <c r="AA146" s="222" t="s">
        <v>212</v>
      </c>
      <c r="AB146" s="222" t="s">
        <v>212</v>
      </c>
      <c r="AC146" s="215"/>
    </row>
    <row r="147" spans="1:29" ht="13.5" customHeight="1">
      <c r="A147" s="215"/>
      <c r="B147" s="535">
        <v>39148</v>
      </c>
      <c r="C147" s="535"/>
      <c r="D147" s="219" t="s">
        <v>212</v>
      </c>
      <c r="E147" s="229">
        <v>267.39999999999998</v>
      </c>
      <c r="F147" s="536">
        <v>24</v>
      </c>
      <c r="G147" s="536"/>
      <c r="H147" s="229">
        <v>294.3</v>
      </c>
      <c r="I147" s="536">
        <v>24</v>
      </c>
      <c r="J147" s="536"/>
      <c r="K147" s="229">
        <v>60.2</v>
      </c>
      <c r="L147" s="230">
        <v>9</v>
      </c>
      <c r="M147" s="229">
        <v>0</v>
      </c>
      <c r="N147" s="230">
        <v>0</v>
      </c>
      <c r="O147" s="231">
        <v>621.9</v>
      </c>
      <c r="P147" s="222" t="s">
        <v>212</v>
      </c>
      <c r="Q147" s="229">
        <v>0</v>
      </c>
      <c r="R147" s="230">
        <v>24</v>
      </c>
      <c r="S147" s="229">
        <v>0</v>
      </c>
      <c r="T147" s="536">
        <v>0</v>
      </c>
      <c r="U147" s="536"/>
      <c r="V147" s="229">
        <v>0</v>
      </c>
      <c r="W147" s="222" t="s">
        <v>212</v>
      </c>
      <c r="X147" s="530">
        <v>621.9</v>
      </c>
      <c r="Y147" s="530"/>
      <c r="Z147" s="222" t="s">
        <v>212</v>
      </c>
      <c r="AA147" s="232">
        <v>8914300</v>
      </c>
      <c r="AB147" s="233">
        <v>0</v>
      </c>
      <c r="AC147" s="215"/>
    </row>
    <row r="148" spans="1:29" ht="2.25" customHeight="1">
      <c r="A148" s="215"/>
      <c r="B148" s="529" t="s">
        <v>212</v>
      </c>
      <c r="C148" s="529"/>
      <c r="D148" s="219" t="s">
        <v>212</v>
      </c>
      <c r="E148" s="222" t="s">
        <v>212</v>
      </c>
      <c r="F148" s="531" t="s">
        <v>212</v>
      </c>
      <c r="G148" s="531"/>
      <c r="H148" s="222" t="s">
        <v>212</v>
      </c>
      <c r="I148" s="531" t="s">
        <v>212</v>
      </c>
      <c r="J148" s="531"/>
      <c r="K148" s="222" t="s">
        <v>212</v>
      </c>
      <c r="L148" s="222" t="s">
        <v>212</v>
      </c>
      <c r="M148" s="222" t="s">
        <v>212</v>
      </c>
      <c r="N148" s="222" t="s">
        <v>212</v>
      </c>
      <c r="O148" s="222" t="s">
        <v>212</v>
      </c>
      <c r="P148" s="222" t="s">
        <v>212</v>
      </c>
      <c r="Q148" s="222" t="s">
        <v>212</v>
      </c>
      <c r="R148" s="222" t="s">
        <v>212</v>
      </c>
      <c r="S148" s="222" t="s">
        <v>212</v>
      </c>
      <c r="T148" s="531" t="s">
        <v>212</v>
      </c>
      <c r="U148" s="531"/>
      <c r="V148" s="222" t="s">
        <v>212</v>
      </c>
      <c r="W148" s="222" t="s">
        <v>212</v>
      </c>
      <c r="X148" s="531" t="s">
        <v>212</v>
      </c>
      <c r="Y148" s="531"/>
      <c r="Z148" s="222" t="s">
        <v>212</v>
      </c>
      <c r="AA148" s="222" t="s">
        <v>212</v>
      </c>
      <c r="AB148" s="222" t="s">
        <v>212</v>
      </c>
      <c r="AC148" s="215"/>
    </row>
    <row r="149" spans="1:29" ht="13.5" customHeight="1">
      <c r="A149" s="215"/>
      <c r="B149" s="532">
        <v>39149</v>
      </c>
      <c r="C149" s="532"/>
      <c r="D149" s="219" t="s">
        <v>212</v>
      </c>
      <c r="E149" s="224">
        <v>300.8</v>
      </c>
      <c r="F149" s="533">
        <v>24</v>
      </c>
      <c r="G149" s="533"/>
      <c r="H149" s="224">
        <v>369.7</v>
      </c>
      <c r="I149" s="533">
        <v>24</v>
      </c>
      <c r="J149" s="533"/>
      <c r="K149" s="224">
        <v>5</v>
      </c>
      <c r="L149" s="225">
        <v>1</v>
      </c>
      <c r="M149" s="224">
        <v>0</v>
      </c>
      <c r="N149" s="225">
        <v>0</v>
      </c>
      <c r="O149" s="226">
        <v>675.5</v>
      </c>
      <c r="P149" s="222" t="s">
        <v>212</v>
      </c>
      <c r="Q149" s="224">
        <v>0</v>
      </c>
      <c r="R149" s="225">
        <v>0</v>
      </c>
      <c r="S149" s="224">
        <v>0</v>
      </c>
      <c r="T149" s="533">
        <v>0</v>
      </c>
      <c r="U149" s="533"/>
      <c r="V149" s="224">
        <v>0</v>
      </c>
      <c r="W149" s="222" t="s">
        <v>212</v>
      </c>
      <c r="X149" s="534">
        <v>675.5</v>
      </c>
      <c r="Y149" s="534"/>
      <c r="Z149" s="222" t="s">
        <v>212</v>
      </c>
      <c r="AA149" s="227">
        <v>8681800</v>
      </c>
      <c r="AB149" s="228">
        <v>0</v>
      </c>
      <c r="AC149" s="215"/>
    </row>
    <row r="150" spans="1:29" ht="2.25" customHeight="1">
      <c r="A150" s="215"/>
      <c r="B150" s="529" t="s">
        <v>212</v>
      </c>
      <c r="C150" s="529"/>
      <c r="D150" s="219" t="s">
        <v>212</v>
      </c>
      <c r="E150" s="222" t="s">
        <v>212</v>
      </c>
      <c r="F150" s="531" t="s">
        <v>212</v>
      </c>
      <c r="G150" s="531"/>
      <c r="H150" s="222" t="s">
        <v>212</v>
      </c>
      <c r="I150" s="531" t="s">
        <v>212</v>
      </c>
      <c r="J150" s="531"/>
      <c r="K150" s="222" t="s">
        <v>212</v>
      </c>
      <c r="L150" s="222" t="s">
        <v>212</v>
      </c>
      <c r="M150" s="222" t="s">
        <v>212</v>
      </c>
      <c r="N150" s="222" t="s">
        <v>212</v>
      </c>
      <c r="O150" s="222" t="s">
        <v>212</v>
      </c>
      <c r="P150" s="222" t="s">
        <v>212</v>
      </c>
      <c r="Q150" s="222" t="s">
        <v>212</v>
      </c>
      <c r="R150" s="222" t="s">
        <v>212</v>
      </c>
      <c r="S150" s="222" t="s">
        <v>212</v>
      </c>
      <c r="T150" s="531" t="s">
        <v>212</v>
      </c>
      <c r="U150" s="531"/>
      <c r="V150" s="222" t="s">
        <v>212</v>
      </c>
      <c r="W150" s="222" t="s">
        <v>212</v>
      </c>
      <c r="X150" s="531" t="s">
        <v>212</v>
      </c>
      <c r="Y150" s="531"/>
      <c r="Z150" s="222" t="s">
        <v>212</v>
      </c>
      <c r="AA150" s="222" t="s">
        <v>212</v>
      </c>
      <c r="AB150" s="222" t="s">
        <v>212</v>
      </c>
      <c r="AC150" s="215"/>
    </row>
    <row r="151" spans="1:29" ht="13.5" customHeight="1">
      <c r="A151" s="215"/>
      <c r="B151" s="535">
        <v>39150</v>
      </c>
      <c r="C151" s="535"/>
      <c r="D151" s="219" t="s">
        <v>212</v>
      </c>
      <c r="E151" s="229">
        <v>279.5</v>
      </c>
      <c r="F151" s="536">
        <v>24</v>
      </c>
      <c r="G151" s="536"/>
      <c r="H151" s="229">
        <v>286.7</v>
      </c>
      <c r="I151" s="536">
        <v>24</v>
      </c>
      <c r="J151" s="536"/>
      <c r="K151" s="229">
        <v>158.19999999999999</v>
      </c>
      <c r="L151" s="230">
        <v>24</v>
      </c>
      <c r="M151" s="229">
        <v>0</v>
      </c>
      <c r="N151" s="230">
        <v>0</v>
      </c>
      <c r="O151" s="231">
        <v>724.4</v>
      </c>
      <c r="P151" s="222" t="s">
        <v>212</v>
      </c>
      <c r="Q151" s="229">
        <v>0</v>
      </c>
      <c r="R151" s="230">
        <v>0</v>
      </c>
      <c r="S151" s="229">
        <v>0</v>
      </c>
      <c r="T151" s="536">
        <v>0</v>
      </c>
      <c r="U151" s="536"/>
      <c r="V151" s="229">
        <v>0</v>
      </c>
      <c r="W151" s="222" t="s">
        <v>212</v>
      </c>
      <c r="X151" s="530">
        <v>724.4</v>
      </c>
      <c r="Y151" s="530"/>
      <c r="Z151" s="222" t="s">
        <v>212</v>
      </c>
      <c r="AA151" s="232">
        <v>10786500</v>
      </c>
      <c r="AB151" s="233">
        <v>0</v>
      </c>
      <c r="AC151" s="215"/>
    </row>
    <row r="152" spans="1:29" ht="2.25" customHeight="1">
      <c r="A152" s="215"/>
      <c r="B152" s="529" t="s">
        <v>212</v>
      </c>
      <c r="C152" s="529"/>
      <c r="D152" s="219" t="s">
        <v>212</v>
      </c>
      <c r="E152" s="222" t="s">
        <v>212</v>
      </c>
      <c r="F152" s="531" t="s">
        <v>212</v>
      </c>
      <c r="G152" s="531"/>
      <c r="H152" s="222" t="s">
        <v>212</v>
      </c>
      <c r="I152" s="531" t="s">
        <v>212</v>
      </c>
      <c r="J152" s="531"/>
      <c r="K152" s="222" t="s">
        <v>212</v>
      </c>
      <c r="L152" s="222" t="s">
        <v>212</v>
      </c>
      <c r="M152" s="222" t="s">
        <v>212</v>
      </c>
      <c r="N152" s="222" t="s">
        <v>212</v>
      </c>
      <c r="O152" s="222" t="s">
        <v>212</v>
      </c>
      <c r="P152" s="222" t="s">
        <v>212</v>
      </c>
      <c r="Q152" s="222" t="s">
        <v>212</v>
      </c>
      <c r="R152" s="222" t="s">
        <v>212</v>
      </c>
      <c r="S152" s="222" t="s">
        <v>212</v>
      </c>
      <c r="T152" s="531" t="s">
        <v>212</v>
      </c>
      <c r="U152" s="531"/>
      <c r="V152" s="222" t="s">
        <v>212</v>
      </c>
      <c r="W152" s="222" t="s">
        <v>212</v>
      </c>
      <c r="X152" s="531" t="s">
        <v>212</v>
      </c>
      <c r="Y152" s="531"/>
      <c r="Z152" s="222" t="s">
        <v>212</v>
      </c>
      <c r="AA152" s="222" t="s">
        <v>212</v>
      </c>
      <c r="AB152" s="222" t="s">
        <v>212</v>
      </c>
      <c r="AC152" s="215"/>
    </row>
    <row r="153" spans="1:29" ht="13.5" customHeight="1">
      <c r="A153" s="215"/>
      <c r="B153" s="532">
        <v>39151</v>
      </c>
      <c r="C153" s="532"/>
      <c r="D153" s="219" t="s">
        <v>212</v>
      </c>
      <c r="E153" s="224">
        <v>251</v>
      </c>
      <c r="F153" s="533">
        <v>24</v>
      </c>
      <c r="G153" s="533"/>
      <c r="H153" s="224">
        <v>230.8</v>
      </c>
      <c r="I153" s="533">
        <v>24</v>
      </c>
      <c r="J153" s="533"/>
      <c r="K153" s="224">
        <v>193.2</v>
      </c>
      <c r="L153" s="225">
        <v>24</v>
      </c>
      <c r="M153" s="224">
        <v>0</v>
      </c>
      <c r="N153" s="225">
        <v>0</v>
      </c>
      <c r="O153" s="226">
        <v>675</v>
      </c>
      <c r="P153" s="222" t="s">
        <v>212</v>
      </c>
      <c r="Q153" s="224">
        <v>0</v>
      </c>
      <c r="R153" s="225">
        <v>0</v>
      </c>
      <c r="S153" s="224">
        <v>0</v>
      </c>
      <c r="T153" s="533">
        <v>0</v>
      </c>
      <c r="U153" s="533"/>
      <c r="V153" s="224">
        <v>0</v>
      </c>
      <c r="W153" s="222" t="s">
        <v>212</v>
      </c>
      <c r="X153" s="534">
        <v>675</v>
      </c>
      <c r="Y153" s="534"/>
      <c r="Z153" s="222" t="s">
        <v>212</v>
      </c>
      <c r="AA153" s="227">
        <v>10489300</v>
      </c>
      <c r="AB153" s="228">
        <v>0</v>
      </c>
      <c r="AC153" s="215"/>
    </row>
    <row r="154" spans="1:29" ht="2.25" customHeight="1">
      <c r="A154" s="215"/>
      <c r="B154" s="529" t="s">
        <v>212</v>
      </c>
      <c r="C154" s="529"/>
      <c r="D154" s="219" t="s">
        <v>212</v>
      </c>
      <c r="E154" s="222" t="s">
        <v>212</v>
      </c>
      <c r="F154" s="531" t="s">
        <v>212</v>
      </c>
      <c r="G154" s="531"/>
      <c r="H154" s="222" t="s">
        <v>212</v>
      </c>
      <c r="I154" s="531" t="s">
        <v>212</v>
      </c>
      <c r="J154" s="531"/>
      <c r="K154" s="222" t="s">
        <v>212</v>
      </c>
      <c r="L154" s="222" t="s">
        <v>212</v>
      </c>
      <c r="M154" s="222" t="s">
        <v>212</v>
      </c>
      <c r="N154" s="222" t="s">
        <v>212</v>
      </c>
      <c r="O154" s="222" t="s">
        <v>212</v>
      </c>
      <c r="P154" s="222" t="s">
        <v>212</v>
      </c>
      <c r="Q154" s="222" t="s">
        <v>212</v>
      </c>
      <c r="R154" s="222" t="s">
        <v>212</v>
      </c>
      <c r="S154" s="222" t="s">
        <v>212</v>
      </c>
      <c r="T154" s="531" t="s">
        <v>212</v>
      </c>
      <c r="U154" s="531"/>
      <c r="V154" s="222" t="s">
        <v>212</v>
      </c>
      <c r="W154" s="222" t="s">
        <v>212</v>
      </c>
      <c r="X154" s="531" t="s">
        <v>212</v>
      </c>
      <c r="Y154" s="531"/>
      <c r="Z154" s="222" t="s">
        <v>212</v>
      </c>
      <c r="AA154" s="222" t="s">
        <v>212</v>
      </c>
      <c r="AB154" s="222" t="s">
        <v>212</v>
      </c>
      <c r="AC154" s="215"/>
    </row>
    <row r="155" spans="1:29" ht="13.5" customHeight="1">
      <c r="A155" s="215"/>
      <c r="B155" s="535">
        <v>39152</v>
      </c>
      <c r="C155" s="535"/>
      <c r="D155" s="219" t="s">
        <v>212</v>
      </c>
      <c r="E155" s="229">
        <v>281.5</v>
      </c>
      <c r="F155" s="536">
        <v>24</v>
      </c>
      <c r="G155" s="536"/>
      <c r="H155" s="229">
        <v>49.9</v>
      </c>
      <c r="I155" s="536">
        <v>9</v>
      </c>
      <c r="J155" s="536"/>
      <c r="K155" s="229">
        <v>297.60000000000002</v>
      </c>
      <c r="L155" s="230">
        <v>24</v>
      </c>
      <c r="M155" s="229">
        <v>0</v>
      </c>
      <c r="N155" s="230">
        <v>0</v>
      </c>
      <c r="O155" s="231">
        <v>629</v>
      </c>
      <c r="P155" s="222" t="s">
        <v>212</v>
      </c>
      <c r="Q155" s="229">
        <v>0</v>
      </c>
      <c r="R155" s="230">
        <v>0</v>
      </c>
      <c r="S155" s="229">
        <v>0</v>
      </c>
      <c r="T155" s="536">
        <v>0</v>
      </c>
      <c r="U155" s="536"/>
      <c r="V155" s="229">
        <v>0</v>
      </c>
      <c r="W155" s="222" t="s">
        <v>212</v>
      </c>
      <c r="X155" s="530">
        <v>629</v>
      </c>
      <c r="Y155" s="530"/>
      <c r="Z155" s="222" t="s">
        <v>212</v>
      </c>
      <c r="AA155" s="232">
        <v>9104600</v>
      </c>
      <c r="AB155" s="233">
        <v>0</v>
      </c>
      <c r="AC155" s="215"/>
    </row>
    <row r="156" spans="1:29" ht="2.25" customHeight="1">
      <c r="A156" s="215"/>
      <c r="B156" s="529" t="s">
        <v>212</v>
      </c>
      <c r="C156" s="529"/>
      <c r="D156" s="219" t="s">
        <v>212</v>
      </c>
      <c r="E156" s="222" t="s">
        <v>212</v>
      </c>
      <c r="F156" s="531" t="s">
        <v>212</v>
      </c>
      <c r="G156" s="531"/>
      <c r="H156" s="222" t="s">
        <v>212</v>
      </c>
      <c r="I156" s="531" t="s">
        <v>212</v>
      </c>
      <c r="J156" s="531"/>
      <c r="K156" s="222" t="s">
        <v>212</v>
      </c>
      <c r="L156" s="222" t="s">
        <v>212</v>
      </c>
      <c r="M156" s="222" t="s">
        <v>212</v>
      </c>
      <c r="N156" s="222" t="s">
        <v>212</v>
      </c>
      <c r="O156" s="222" t="s">
        <v>212</v>
      </c>
      <c r="P156" s="222" t="s">
        <v>212</v>
      </c>
      <c r="Q156" s="222" t="s">
        <v>212</v>
      </c>
      <c r="R156" s="222" t="s">
        <v>212</v>
      </c>
      <c r="S156" s="222" t="s">
        <v>212</v>
      </c>
      <c r="T156" s="531" t="s">
        <v>212</v>
      </c>
      <c r="U156" s="531"/>
      <c r="V156" s="222" t="s">
        <v>212</v>
      </c>
      <c r="W156" s="222" t="s">
        <v>212</v>
      </c>
      <c r="X156" s="531" t="s">
        <v>212</v>
      </c>
      <c r="Y156" s="531"/>
      <c r="Z156" s="222" t="s">
        <v>212</v>
      </c>
      <c r="AA156" s="222" t="s">
        <v>212</v>
      </c>
      <c r="AB156" s="222" t="s">
        <v>212</v>
      </c>
      <c r="AC156" s="215"/>
    </row>
    <row r="157" spans="1:29" ht="13.5" customHeight="1">
      <c r="A157" s="215"/>
      <c r="B157" s="532">
        <v>39153</v>
      </c>
      <c r="C157" s="532"/>
      <c r="D157" s="219" t="s">
        <v>212</v>
      </c>
      <c r="E157" s="224">
        <v>253</v>
      </c>
      <c r="F157" s="533">
        <v>24</v>
      </c>
      <c r="G157" s="533"/>
      <c r="H157" s="224">
        <v>156.1</v>
      </c>
      <c r="I157" s="533">
        <v>19</v>
      </c>
      <c r="J157" s="533"/>
      <c r="K157" s="224">
        <v>290.5</v>
      </c>
      <c r="L157" s="225">
        <v>24</v>
      </c>
      <c r="M157" s="224">
        <v>0</v>
      </c>
      <c r="N157" s="225">
        <v>0</v>
      </c>
      <c r="O157" s="226">
        <v>699.6</v>
      </c>
      <c r="P157" s="222" t="s">
        <v>212</v>
      </c>
      <c r="Q157" s="224">
        <v>0</v>
      </c>
      <c r="R157" s="225">
        <v>0</v>
      </c>
      <c r="S157" s="224">
        <v>0</v>
      </c>
      <c r="T157" s="533">
        <v>0</v>
      </c>
      <c r="U157" s="533"/>
      <c r="V157" s="224">
        <v>0</v>
      </c>
      <c r="W157" s="222" t="s">
        <v>212</v>
      </c>
      <c r="X157" s="534">
        <v>699.6</v>
      </c>
      <c r="Y157" s="534"/>
      <c r="Z157" s="222" t="s">
        <v>212</v>
      </c>
      <c r="AA157" s="227">
        <v>10404700</v>
      </c>
      <c r="AB157" s="228">
        <v>0</v>
      </c>
      <c r="AC157" s="215"/>
    </row>
    <row r="158" spans="1:29" ht="2.25" customHeight="1">
      <c r="A158" s="215"/>
      <c r="B158" s="529" t="s">
        <v>212</v>
      </c>
      <c r="C158" s="529"/>
      <c r="D158" s="219" t="s">
        <v>212</v>
      </c>
      <c r="E158" s="222" t="s">
        <v>212</v>
      </c>
      <c r="F158" s="531" t="s">
        <v>212</v>
      </c>
      <c r="G158" s="531"/>
      <c r="H158" s="222" t="s">
        <v>212</v>
      </c>
      <c r="I158" s="531" t="s">
        <v>212</v>
      </c>
      <c r="J158" s="531"/>
      <c r="K158" s="222" t="s">
        <v>212</v>
      </c>
      <c r="L158" s="222" t="s">
        <v>212</v>
      </c>
      <c r="M158" s="222" t="s">
        <v>212</v>
      </c>
      <c r="N158" s="222" t="s">
        <v>212</v>
      </c>
      <c r="O158" s="222" t="s">
        <v>212</v>
      </c>
      <c r="P158" s="222" t="s">
        <v>212</v>
      </c>
      <c r="Q158" s="222" t="s">
        <v>212</v>
      </c>
      <c r="R158" s="222" t="s">
        <v>212</v>
      </c>
      <c r="S158" s="222" t="s">
        <v>212</v>
      </c>
      <c r="T158" s="531" t="s">
        <v>212</v>
      </c>
      <c r="U158" s="531"/>
      <c r="V158" s="222" t="s">
        <v>212</v>
      </c>
      <c r="W158" s="222" t="s">
        <v>212</v>
      </c>
      <c r="X158" s="531" t="s">
        <v>212</v>
      </c>
      <c r="Y158" s="531"/>
      <c r="Z158" s="222" t="s">
        <v>212</v>
      </c>
      <c r="AA158" s="222" t="s">
        <v>212</v>
      </c>
      <c r="AB158" s="222" t="s">
        <v>212</v>
      </c>
      <c r="AC158" s="215"/>
    </row>
    <row r="159" spans="1:29" ht="13.5" customHeight="1">
      <c r="A159" s="215"/>
      <c r="B159" s="535">
        <v>39154</v>
      </c>
      <c r="C159" s="535"/>
      <c r="D159" s="219" t="s">
        <v>212</v>
      </c>
      <c r="E159" s="229">
        <v>239.4</v>
      </c>
      <c r="F159" s="536">
        <v>24</v>
      </c>
      <c r="G159" s="536"/>
      <c r="H159" s="229">
        <v>59.5</v>
      </c>
      <c r="I159" s="536">
        <v>6</v>
      </c>
      <c r="J159" s="536"/>
      <c r="K159" s="229">
        <v>264.7</v>
      </c>
      <c r="L159" s="230">
        <v>24</v>
      </c>
      <c r="M159" s="229">
        <v>0</v>
      </c>
      <c r="N159" s="230">
        <v>0</v>
      </c>
      <c r="O159" s="231">
        <v>563.6</v>
      </c>
      <c r="P159" s="222" t="s">
        <v>212</v>
      </c>
      <c r="Q159" s="229">
        <v>0</v>
      </c>
      <c r="R159" s="230">
        <v>0</v>
      </c>
      <c r="S159" s="229">
        <v>0</v>
      </c>
      <c r="T159" s="536">
        <v>0</v>
      </c>
      <c r="U159" s="536"/>
      <c r="V159" s="229">
        <v>0</v>
      </c>
      <c r="W159" s="222" t="s">
        <v>212</v>
      </c>
      <c r="X159" s="530">
        <v>563.6</v>
      </c>
      <c r="Y159" s="530"/>
      <c r="Z159" s="222" t="s">
        <v>212</v>
      </c>
      <c r="AA159" s="232">
        <v>8388200</v>
      </c>
      <c r="AB159" s="233">
        <v>0</v>
      </c>
      <c r="AC159" s="215"/>
    </row>
    <row r="160" spans="1:29" ht="2.25" customHeight="1">
      <c r="A160" s="215"/>
      <c r="B160" s="529" t="s">
        <v>212</v>
      </c>
      <c r="C160" s="529"/>
      <c r="D160" s="219" t="s">
        <v>212</v>
      </c>
      <c r="E160" s="222" t="s">
        <v>212</v>
      </c>
      <c r="F160" s="531" t="s">
        <v>212</v>
      </c>
      <c r="G160" s="531"/>
      <c r="H160" s="222" t="s">
        <v>212</v>
      </c>
      <c r="I160" s="531" t="s">
        <v>212</v>
      </c>
      <c r="J160" s="531"/>
      <c r="K160" s="222" t="s">
        <v>212</v>
      </c>
      <c r="L160" s="222" t="s">
        <v>212</v>
      </c>
      <c r="M160" s="222" t="s">
        <v>212</v>
      </c>
      <c r="N160" s="222" t="s">
        <v>212</v>
      </c>
      <c r="O160" s="222" t="s">
        <v>212</v>
      </c>
      <c r="P160" s="222" t="s">
        <v>212</v>
      </c>
      <c r="Q160" s="222" t="s">
        <v>212</v>
      </c>
      <c r="R160" s="222" t="s">
        <v>212</v>
      </c>
      <c r="S160" s="222" t="s">
        <v>212</v>
      </c>
      <c r="T160" s="531" t="s">
        <v>212</v>
      </c>
      <c r="U160" s="531"/>
      <c r="V160" s="222" t="s">
        <v>212</v>
      </c>
      <c r="W160" s="222" t="s">
        <v>212</v>
      </c>
      <c r="X160" s="531" t="s">
        <v>212</v>
      </c>
      <c r="Y160" s="531"/>
      <c r="Z160" s="222" t="s">
        <v>212</v>
      </c>
      <c r="AA160" s="222" t="s">
        <v>212</v>
      </c>
      <c r="AB160" s="222" t="s">
        <v>212</v>
      </c>
      <c r="AC160" s="215"/>
    </row>
    <row r="161" spans="1:29" ht="13.5" customHeight="1">
      <c r="A161" s="215"/>
      <c r="B161" s="532">
        <v>39155</v>
      </c>
      <c r="C161" s="532"/>
      <c r="D161" s="219" t="s">
        <v>212</v>
      </c>
      <c r="E161" s="224">
        <v>307.10000000000002</v>
      </c>
      <c r="F161" s="533">
        <v>24</v>
      </c>
      <c r="G161" s="533"/>
      <c r="H161" s="224">
        <v>0</v>
      </c>
      <c r="I161" s="533">
        <v>0</v>
      </c>
      <c r="J161" s="533"/>
      <c r="K161" s="224">
        <v>332.9</v>
      </c>
      <c r="L161" s="225">
        <v>24</v>
      </c>
      <c r="M161" s="224">
        <v>0</v>
      </c>
      <c r="N161" s="225">
        <v>0</v>
      </c>
      <c r="O161" s="226">
        <v>640</v>
      </c>
      <c r="P161" s="222" t="s">
        <v>212</v>
      </c>
      <c r="Q161" s="224">
        <v>0</v>
      </c>
      <c r="R161" s="225">
        <v>24</v>
      </c>
      <c r="S161" s="224">
        <v>0</v>
      </c>
      <c r="T161" s="533">
        <v>24</v>
      </c>
      <c r="U161" s="533"/>
      <c r="V161" s="224">
        <v>0</v>
      </c>
      <c r="W161" s="222" t="s">
        <v>212</v>
      </c>
      <c r="X161" s="534">
        <v>640</v>
      </c>
      <c r="Y161" s="534"/>
      <c r="Z161" s="222" t="s">
        <v>212</v>
      </c>
      <c r="AA161" s="227">
        <v>8462300</v>
      </c>
      <c r="AB161" s="228">
        <v>0</v>
      </c>
      <c r="AC161" s="215"/>
    </row>
    <row r="162" spans="1:29" ht="2.25" customHeight="1">
      <c r="A162" s="215"/>
      <c r="B162" s="529" t="s">
        <v>212</v>
      </c>
      <c r="C162" s="529"/>
      <c r="D162" s="219" t="s">
        <v>212</v>
      </c>
      <c r="E162" s="222" t="s">
        <v>212</v>
      </c>
      <c r="F162" s="531" t="s">
        <v>212</v>
      </c>
      <c r="G162" s="531"/>
      <c r="H162" s="222" t="s">
        <v>212</v>
      </c>
      <c r="I162" s="531" t="s">
        <v>212</v>
      </c>
      <c r="J162" s="531"/>
      <c r="K162" s="222" t="s">
        <v>212</v>
      </c>
      <c r="L162" s="222" t="s">
        <v>212</v>
      </c>
      <c r="M162" s="222" t="s">
        <v>212</v>
      </c>
      <c r="N162" s="222" t="s">
        <v>212</v>
      </c>
      <c r="O162" s="222" t="s">
        <v>212</v>
      </c>
      <c r="P162" s="222" t="s">
        <v>212</v>
      </c>
      <c r="Q162" s="222" t="s">
        <v>212</v>
      </c>
      <c r="R162" s="222" t="s">
        <v>212</v>
      </c>
      <c r="S162" s="222" t="s">
        <v>212</v>
      </c>
      <c r="T162" s="531" t="s">
        <v>212</v>
      </c>
      <c r="U162" s="531"/>
      <c r="V162" s="222" t="s">
        <v>212</v>
      </c>
      <c r="W162" s="222" t="s">
        <v>212</v>
      </c>
      <c r="X162" s="531" t="s">
        <v>212</v>
      </c>
      <c r="Y162" s="531"/>
      <c r="Z162" s="222" t="s">
        <v>212</v>
      </c>
      <c r="AA162" s="222" t="s">
        <v>212</v>
      </c>
      <c r="AB162" s="222" t="s">
        <v>212</v>
      </c>
      <c r="AC162" s="215"/>
    </row>
    <row r="163" spans="1:29" ht="13.5" customHeight="1">
      <c r="A163" s="215"/>
      <c r="B163" s="535">
        <v>39156</v>
      </c>
      <c r="C163" s="535"/>
      <c r="D163" s="219" t="s">
        <v>212</v>
      </c>
      <c r="E163" s="229">
        <v>300.7</v>
      </c>
      <c r="F163" s="536">
        <v>24</v>
      </c>
      <c r="G163" s="536"/>
      <c r="H163" s="229">
        <v>0</v>
      </c>
      <c r="I163" s="536">
        <v>0</v>
      </c>
      <c r="J163" s="536"/>
      <c r="K163" s="229">
        <v>323.10000000000002</v>
      </c>
      <c r="L163" s="230">
        <v>24</v>
      </c>
      <c r="M163" s="229">
        <v>0</v>
      </c>
      <c r="N163" s="230">
        <v>0</v>
      </c>
      <c r="O163" s="231">
        <v>623.79999999999995</v>
      </c>
      <c r="P163" s="222" t="s">
        <v>212</v>
      </c>
      <c r="Q163" s="229">
        <v>0</v>
      </c>
      <c r="R163" s="230">
        <v>0</v>
      </c>
      <c r="S163" s="229">
        <v>0</v>
      </c>
      <c r="T163" s="536">
        <v>0</v>
      </c>
      <c r="U163" s="536"/>
      <c r="V163" s="229">
        <v>0</v>
      </c>
      <c r="W163" s="222" t="s">
        <v>212</v>
      </c>
      <c r="X163" s="530">
        <v>623.79999999999995</v>
      </c>
      <c r="Y163" s="530"/>
      <c r="Z163" s="222" t="s">
        <v>212</v>
      </c>
      <c r="AA163" s="232">
        <v>7706400</v>
      </c>
      <c r="AB163" s="233">
        <v>0</v>
      </c>
      <c r="AC163" s="215"/>
    </row>
    <row r="164" spans="1:29" ht="2.25" customHeight="1">
      <c r="A164" s="215"/>
      <c r="B164" s="529" t="s">
        <v>212</v>
      </c>
      <c r="C164" s="529"/>
      <c r="D164" s="219" t="s">
        <v>212</v>
      </c>
      <c r="E164" s="222" t="s">
        <v>212</v>
      </c>
      <c r="F164" s="531" t="s">
        <v>212</v>
      </c>
      <c r="G164" s="531"/>
      <c r="H164" s="222" t="s">
        <v>212</v>
      </c>
      <c r="I164" s="531" t="s">
        <v>212</v>
      </c>
      <c r="J164" s="531"/>
      <c r="K164" s="222" t="s">
        <v>212</v>
      </c>
      <c r="L164" s="222" t="s">
        <v>212</v>
      </c>
      <c r="M164" s="222" t="s">
        <v>212</v>
      </c>
      <c r="N164" s="222" t="s">
        <v>212</v>
      </c>
      <c r="O164" s="222" t="s">
        <v>212</v>
      </c>
      <c r="P164" s="222" t="s">
        <v>212</v>
      </c>
      <c r="Q164" s="222" t="s">
        <v>212</v>
      </c>
      <c r="R164" s="222" t="s">
        <v>212</v>
      </c>
      <c r="S164" s="222" t="s">
        <v>212</v>
      </c>
      <c r="T164" s="531" t="s">
        <v>212</v>
      </c>
      <c r="U164" s="531"/>
      <c r="V164" s="222" t="s">
        <v>212</v>
      </c>
      <c r="W164" s="222" t="s">
        <v>212</v>
      </c>
      <c r="X164" s="531" t="s">
        <v>212</v>
      </c>
      <c r="Y164" s="531"/>
      <c r="Z164" s="222" t="s">
        <v>212</v>
      </c>
      <c r="AA164" s="222" t="s">
        <v>212</v>
      </c>
      <c r="AB164" s="222" t="s">
        <v>212</v>
      </c>
      <c r="AC164" s="215"/>
    </row>
    <row r="165" spans="1:29" ht="13.5" customHeight="1">
      <c r="A165" s="215"/>
      <c r="B165" s="532">
        <v>39157</v>
      </c>
      <c r="C165" s="532"/>
      <c r="D165" s="219" t="s">
        <v>212</v>
      </c>
      <c r="E165" s="224">
        <v>293.8</v>
      </c>
      <c r="F165" s="533">
        <v>24</v>
      </c>
      <c r="G165" s="533"/>
      <c r="H165" s="224">
        <v>24.5</v>
      </c>
      <c r="I165" s="533">
        <v>4</v>
      </c>
      <c r="J165" s="533"/>
      <c r="K165" s="224">
        <v>299.60000000000002</v>
      </c>
      <c r="L165" s="225">
        <v>24</v>
      </c>
      <c r="M165" s="224">
        <v>0</v>
      </c>
      <c r="N165" s="225">
        <v>0</v>
      </c>
      <c r="O165" s="226">
        <v>617.9</v>
      </c>
      <c r="P165" s="222" t="s">
        <v>212</v>
      </c>
      <c r="Q165" s="224">
        <v>0</v>
      </c>
      <c r="R165" s="225">
        <v>0</v>
      </c>
      <c r="S165" s="224">
        <v>0</v>
      </c>
      <c r="T165" s="533">
        <v>0</v>
      </c>
      <c r="U165" s="533"/>
      <c r="V165" s="224">
        <v>0</v>
      </c>
      <c r="W165" s="222" t="s">
        <v>212</v>
      </c>
      <c r="X165" s="534">
        <v>617.9</v>
      </c>
      <c r="Y165" s="534"/>
      <c r="Z165" s="222" t="s">
        <v>212</v>
      </c>
      <c r="AA165" s="227">
        <v>7876600</v>
      </c>
      <c r="AB165" s="228">
        <v>3267</v>
      </c>
      <c r="AC165" s="215"/>
    </row>
    <row r="166" spans="1:29" ht="2.25" customHeight="1">
      <c r="A166" s="215"/>
      <c r="B166" s="529" t="s">
        <v>212</v>
      </c>
      <c r="C166" s="529"/>
      <c r="D166" s="219" t="s">
        <v>212</v>
      </c>
      <c r="E166" s="222" t="s">
        <v>212</v>
      </c>
      <c r="F166" s="531" t="s">
        <v>212</v>
      </c>
      <c r="G166" s="531"/>
      <c r="H166" s="222" t="s">
        <v>212</v>
      </c>
      <c r="I166" s="531" t="s">
        <v>212</v>
      </c>
      <c r="J166" s="531"/>
      <c r="K166" s="222" t="s">
        <v>212</v>
      </c>
      <c r="L166" s="222" t="s">
        <v>212</v>
      </c>
      <c r="M166" s="222" t="s">
        <v>212</v>
      </c>
      <c r="N166" s="222" t="s">
        <v>212</v>
      </c>
      <c r="O166" s="222" t="s">
        <v>212</v>
      </c>
      <c r="P166" s="222" t="s">
        <v>212</v>
      </c>
      <c r="Q166" s="222" t="s">
        <v>212</v>
      </c>
      <c r="R166" s="222" t="s">
        <v>212</v>
      </c>
      <c r="S166" s="222" t="s">
        <v>212</v>
      </c>
      <c r="T166" s="531" t="s">
        <v>212</v>
      </c>
      <c r="U166" s="531"/>
      <c r="V166" s="222" t="s">
        <v>212</v>
      </c>
      <c r="W166" s="222" t="s">
        <v>212</v>
      </c>
      <c r="X166" s="531" t="s">
        <v>212</v>
      </c>
      <c r="Y166" s="531"/>
      <c r="Z166" s="222" t="s">
        <v>212</v>
      </c>
      <c r="AA166" s="222" t="s">
        <v>212</v>
      </c>
      <c r="AB166" s="222" t="s">
        <v>212</v>
      </c>
      <c r="AC166" s="215"/>
    </row>
    <row r="167" spans="1:29" ht="13.5" customHeight="1">
      <c r="A167" s="215"/>
      <c r="B167" s="535">
        <v>39158</v>
      </c>
      <c r="C167" s="535"/>
      <c r="D167" s="219" t="s">
        <v>212</v>
      </c>
      <c r="E167" s="229">
        <v>294</v>
      </c>
      <c r="F167" s="536">
        <v>24</v>
      </c>
      <c r="G167" s="536"/>
      <c r="H167" s="229">
        <v>32.700000000000003</v>
      </c>
      <c r="I167" s="536">
        <v>4</v>
      </c>
      <c r="J167" s="536"/>
      <c r="K167" s="229">
        <v>292.2</v>
      </c>
      <c r="L167" s="230">
        <v>24</v>
      </c>
      <c r="M167" s="229">
        <v>0</v>
      </c>
      <c r="N167" s="230">
        <v>0</v>
      </c>
      <c r="O167" s="231">
        <v>618.9</v>
      </c>
      <c r="P167" s="222" t="s">
        <v>212</v>
      </c>
      <c r="Q167" s="229">
        <v>0</v>
      </c>
      <c r="R167" s="230">
        <v>0</v>
      </c>
      <c r="S167" s="229">
        <v>0</v>
      </c>
      <c r="T167" s="536">
        <v>0</v>
      </c>
      <c r="U167" s="536"/>
      <c r="V167" s="229">
        <v>0</v>
      </c>
      <c r="W167" s="222" t="s">
        <v>212</v>
      </c>
      <c r="X167" s="530">
        <v>618.9</v>
      </c>
      <c r="Y167" s="530"/>
      <c r="Z167" s="222" t="s">
        <v>212</v>
      </c>
      <c r="AA167" s="232">
        <v>7920200</v>
      </c>
      <c r="AB167" s="233">
        <v>3930</v>
      </c>
      <c r="AC167" s="215"/>
    </row>
    <row r="168" spans="1:29" ht="2.25" customHeight="1">
      <c r="A168" s="215"/>
      <c r="B168" s="529" t="s">
        <v>212</v>
      </c>
      <c r="C168" s="529"/>
      <c r="D168" s="219" t="s">
        <v>212</v>
      </c>
      <c r="E168" s="222" t="s">
        <v>212</v>
      </c>
      <c r="F168" s="531" t="s">
        <v>212</v>
      </c>
      <c r="G168" s="531"/>
      <c r="H168" s="222" t="s">
        <v>212</v>
      </c>
      <c r="I168" s="531" t="s">
        <v>212</v>
      </c>
      <c r="J168" s="531"/>
      <c r="K168" s="222" t="s">
        <v>212</v>
      </c>
      <c r="L168" s="222" t="s">
        <v>212</v>
      </c>
      <c r="M168" s="222" t="s">
        <v>212</v>
      </c>
      <c r="N168" s="222" t="s">
        <v>212</v>
      </c>
      <c r="O168" s="222" t="s">
        <v>212</v>
      </c>
      <c r="P168" s="222" t="s">
        <v>212</v>
      </c>
      <c r="Q168" s="222" t="s">
        <v>212</v>
      </c>
      <c r="R168" s="222" t="s">
        <v>212</v>
      </c>
      <c r="S168" s="222" t="s">
        <v>212</v>
      </c>
      <c r="T168" s="531" t="s">
        <v>212</v>
      </c>
      <c r="U168" s="531"/>
      <c r="V168" s="222" t="s">
        <v>212</v>
      </c>
      <c r="W168" s="222" t="s">
        <v>212</v>
      </c>
      <c r="X168" s="531" t="s">
        <v>212</v>
      </c>
      <c r="Y168" s="531"/>
      <c r="Z168" s="222" t="s">
        <v>212</v>
      </c>
      <c r="AA168" s="222" t="s">
        <v>212</v>
      </c>
      <c r="AB168" s="222" t="s">
        <v>212</v>
      </c>
      <c r="AC168" s="215"/>
    </row>
    <row r="169" spans="1:29" ht="13.5" customHeight="1">
      <c r="A169" s="215"/>
      <c r="B169" s="532">
        <v>39159</v>
      </c>
      <c r="C169" s="532"/>
      <c r="D169" s="219" t="s">
        <v>212</v>
      </c>
      <c r="E169" s="224">
        <v>281</v>
      </c>
      <c r="F169" s="533">
        <v>24</v>
      </c>
      <c r="G169" s="533"/>
      <c r="H169" s="224">
        <v>338.2</v>
      </c>
      <c r="I169" s="533">
        <v>22</v>
      </c>
      <c r="J169" s="533"/>
      <c r="K169" s="224">
        <v>49.5</v>
      </c>
      <c r="L169" s="225">
        <v>7</v>
      </c>
      <c r="M169" s="224">
        <v>0</v>
      </c>
      <c r="N169" s="225">
        <v>0</v>
      </c>
      <c r="O169" s="226">
        <v>668.7</v>
      </c>
      <c r="P169" s="222" t="s">
        <v>212</v>
      </c>
      <c r="Q169" s="224">
        <v>0</v>
      </c>
      <c r="R169" s="225">
        <v>0</v>
      </c>
      <c r="S169" s="224">
        <v>0</v>
      </c>
      <c r="T169" s="533">
        <v>0</v>
      </c>
      <c r="U169" s="533"/>
      <c r="V169" s="224">
        <v>0</v>
      </c>
      <c r="W169" s="222" t="s">
        <v>212</v>
      </c>
      <c r="X169" s="534">
        <v>668.7</v>
      </c>
      <c r="Y169" s="534"/>
      <c r="Z169" s="222" t="s">
        <v>212</v>
      </c>
      <c r="AA169" s="227">
        <v>6984724</v>
      </c>
      <c r="AB169" s="228">
        <v>62670</v>
      </c>
      <c r="AC169" s="215"/>
    </row>
    <row r="170" spans="1:29" ht="2.25" customHeight="1">
      <c r="A170" s="215"/>
      <c r="B170" s="529" t="s">
        <v>212</v>
      </c>
      <c r="C170" s="529"/>
      <c r="D170" s="219" t="s">
        <v>212</v>
      </c>
      <c r="E170" s="222" t="s">
        <v>212</v>
      </c>
      <c r="F170" s="531" t="s">
        <v>212</v>
      </c>
      <c r="G170" s="531"/>
      <c r="H170" s="222" t="s">
        <v>212</v>
      </c>
      <c r="I170" s="531" t="s">
        <v>212</v>
      </c>
      <c r="J170" s="531"/>
      <c r="K170" s="222" t="s">
        <v>212</v>
      </c>
      <c r="L170" s="222" t="s">
        <v>212</v>
      </c>
      <c r="M170" s="222" t="s">
        <v>212</v>
      </c>
      <c r="N170" s="222" t="s">
        <v>212</v>
      </c>
      <c r="O170" s="222" t="s">
        <v>212</v>
      </c>
      <c r="P170" s="222" t="s">
        <v>212</v>
      </c>
      <c r="Q170" s="222" t="s">
        <v>212</v>
      </c>
      <c r="R170" s="222" t="s">
        <v>212</v>
      </c>
      <c r="S170" s="222" t="s">
        <v>212</v>
      </c>
      <c r="T170" s="531" t="s">
        <v>212</v>
      </c>
      <c r="U170" s="531"/>
      <c r="V170" s="222" t="s">
        <v>212</v>
      </c>
      <c r="W170" s="222" t="s">
        <v>212</v>
      </c>
      <c r="X170" s="531" t="s">
        <v>212</v>
      </c>
      <c r="Y170" s="531"/>
      <c r="Z170" s="222" t="s">
        <v>212</v>
      </c>
      <c r="AA170" s="222" t="s">
        <v>212</v>
      </c>
      <c r="AB170" s="222" t="s">
        <v>212</v>
      </c>
      <c r="AC170" s="215"/>
    </row>
    <row r="171" spans="1:29" ht="13.5" customHeight="1">
      <c r="A171" s="215"/>
      <c r="B171" s="535">
        <v>39160</v>
      </c>
      <c r="C171" s="535"/>
      <c r="D171" s="219" t="s">
        <v>212</v>
      </c>
      <c r="E171" s="229">
        <v>297.8</v>
      </c>
      <c r="F171" s="536">
        <v>24</v>
      </c>
      <c r="G171" s="536"/>
      <c r="H171" s="229">
        <v>374.1</v>
      </c>
      <c r="I171" s="536">
        <v>24</v>
      </c>
      <c r="J171" s="536"/>
      <c r="K171" s="229">
        <v>0</v>
      </c>
      <c r="L171" s="230">
        <v>0</v>
      </c>
      <c r="M171" s="229">
        <v>0</v>
      </c>
      <c r="N171" s="230">
        <v>0</v>
      </c>
      <c r="O171" s="231">
        <v>671.9</v>
      </c>
      <c r="P171" s="222" t="s">
        <v>212</v>
      </c>
      <c r="Q171" s="229">
        <v>0</v>
      </c>
      <c r="R171" s="230">
        <v>0</v>
      </c>
      <c r="S171" s="229">
        <v>0</v>
      </c>
      <c r="T171" s="536">
        <v>0</v>
      </c>
      <c r="U171" s="536"/>
      <c r="V171" s="229">
        <v>0</v>
      </c>
      <c r="W171" s="222" t="s">
        <v>212</v>
      </c>
      <c r="X171" s="530">
        <v>671.9</v>
      </c>
      <c r="Y171" s="530"/>
      <c r="Z171" s="222" t="s">
        <v>212</v>
      </c>
      <c r="AA171" s="232">
        <v>8684000</v>
      </c>
      <c r="AB171" s="233">
        <v>0</v>
      </c>
      <c r="AC171" s="215"/>
    </row>
    <row r="172" spans="1:29" ht="2.25" customHeight="1">
      <c r="A172" s="215"/>
      <c r="B172" s="529" t="s">
        <v>212</v>
      </c>
      <c r="C172" s="529"/>
      <c r="D172" s="219" t="s">
        <v>212</v>
      </c>
      <c r="E172" s="222" t="s">
        <v>212</v>
      </c>
      <c r="F172" s="531" t="s">
        <v>212</v>
      </c>
      <c r="G172" s="531"/>
      <c r="H172" s="222" t="s">
        <v>212</v>
      </c>
      <c r="I172" s="531" t="s">
        <v>212</v>
      </c>
      <c r="J172" s="531"/>
      <c r="K172" s="222" t="s">
        <v>212</v>
      </c>
      <c r="L172" s="222" t="s">
        <v>212</v>
      </c>
      <c r="M172" s="222" t="s">
        <v>212</v>
      </c>
      <c r="N172" s="222" t="s">
        <v>212</v>
      </c>
      <c r="O172" s="222" t="s">
        <v>212</v>
      </c>
      <c r="P172" s="222" t="s">
        <v>212</v>
      </c>
      <c r="Q172" s="222" t="s">
        <v>212</v>
      </c>
      <c r="R172" s="222" t="s">
        <v>212</v>
      </c>
      <c r="S172" s="222" t="s">
        <v>212</v>
      </c>
      <c r="T172" s="531" t="s">
        <v>212</v>
      </c>
      <c r="U172" s="531"/>
      <c r="V172" s="222" t="s">
        <v>212</v>
      </c>
      <c r="W172" s="222" t="s">
        <v>212</v>
      </c>
      <c r="X172" s="531" t="s">
        <v>212</v>
      </c>
      <c r="Y172" s="531"/>
      <c r="Z172" s="222" t="s">
        <v>212</v>
      </c>
      <c r="AA172" s="222" t="s">
        <v>212</v>
      </c>
      <c r="AB172" s="222" t="s">
        <v>212</v>
      </c>
      <c r="AC172" s="215"/>
    </row>
    <row r="173" spans="1:29" ht="13.5" customHeight="1">
      <c r="A173" s="215"/>
      <c r="B173" s="532">
        <v>39161</v>
      </c>
      <c r="C173" s="532"/>
      <c r="D173" s="219" t="s">
        <v>212</v>
      </c>
      <c r="E173" s="224">
        <v>287.89999999999998</v>
      </c>
      <c r="F173" s="533">
        <v>24</v>
      </c>
      <c r="G173" s="533"/>
      <c r="H173" s="224">
        <v>347.7</v>
      </c>
      <c r="I173" s="533">
        <v>24</v>
      </c>
      <c r="J173" s="533"/>
      <c r="K173" s="224">
        <v>0</v>
      </c>
      <c r="L173" s="225">
        <v>0</v>
      </c>
      <c r="M173" s="224">
        <v>0</v>
      </c>
      <c r="N173" s="225">
        <v>0</v>
      </c>
      <c r="O173" s="226">
        <v>635.6</v>
      </c>
      <c r="P173" s="222" t="s">
        <v>212</v>
      </c>
      <c r="Q173" s="224">
        <v>0</v>
      </c>
      <c r="R173" s="225">
        <v>24</v>
      </c>
      <c r="S173" s="224">
        <v>0</v>
      </c>
      <c r="T173" s="533">
        <v>11</v>
      </c>
      <c r="U173" s="533"/>
      <c r="V173" s="224">
        <v>0</v>
      </c>
      <c r="W173" s="222" t="s">
        <v>212</v>
      </c>
      <c r="X173" s="534">
        <v>635.6</v>
      </c>
      <c r="Y173" s="534"/>
      <c r="Z173" s="222" t="s">
        <v>212</v>
      </c>
      <c r="AA173" s="227">
        <v>8289800</v>
      </c>
      <c r="AB173" s="228">
        <v>0</v>
      </c>
      <c r="AC173" s="215"/>
    </row>
    <row r="174" spans="1:29" ht="2.25" customHeight="1">
      <c r="A174" s="215"/>
      <c r="B174" s="529" t="s">
        <v>212</v>
      </c>
      <c r="C174" s="529"/>
      <c r="D174" s="219" t="s">
        <v>212</v>
      </c>
      <c r="E174" s="222" t="s">
        <v>212</v>
      </c>
      <c r="F174" s="531" t="s">
        <v>212</v>
      </c>
      <c r="G174" s="531"/>
      <c r="H174" s="222" t="s">
        <v>212</v>
      </c>
      <c r="I174" s="531" t="s">
        <v>212</v>
      </c>
      <c r="J174" s="531"/>
      <c r="K174" s="222" t="s">
        <v>212</v>
      </c>
      <c r="L174" s="222" t="s">
        <v>212</v>
      </c>
      <c r="M174" s="222" t="s">
        <v>212</v>
      </c>
      <c r="N174" s="222" t="s">
        <v>212</v>
      </c>
      <c r="O174" s="222" t="s">
        <v>212</v>
      </c>
      <c r="P174" s="222" t="s">
        <v>212</v>
      </c>
      <c r="Q174" s="222" t="s">
        <v>212</v>
      </c>
      <c r="R174" s="222" t="s">
        <v>212</v>
      </c>
      <c r="S174" s="222" t="s">
        <v>212</v>
      </c>
      <c r="T174" s="531" t="s">
        <v>212</v>
      </c>
      <c r="U174" s="531"/>
      <c r="V174" s="222" t="s">
        <v>212</v>
      </c>
      <c r="W174" s="222" t="s">
        <v>212</v>
      </c>
      <c r="X174" s="531" t="s">
        <v>212</v>
      </c>
      <c r="Y174" s="531"/>
      <c r="Z174" s="222" t="s">
        <v>212</v>
      </c>
      <c r="AA174" s="222" t="s">
        <v>212</v>
      </c>
      <c r="AB174" s="222" t="s">
        <v>212</v>
      </c>
      <c r="AC174" s="215"/>
    </row>
    <row r="175" spans="1:29" ht="13.5" customHeight="1">
      <c r="A175" s="215"/>
      <c r="B175" s="535">
        <v>39162</v>
      </c>
      <c r="C175" s="535"/>
      <c r="D175" s="219" t="s">
        <v>212</v>
      </c>
      <c r="E175" s="229">
        <v>303.3</v>
      </c>
      <c r="F175" s="536">
        <v>24</v>
      </c>
      <c r="G175" s="536"/>
      <c r="H175" s="229">
        <v>156.69999999999999</v>
      </c>
      <c r="I175" s="536">
        <v>14</v>
      </c>
      <c r="J175" s="536"/>
      <c r="K175" s="229">
        <v>214.5</v>
      </c>
      <c r="L175" s="230">
        <v>18</v>
      </c>
      <c r="M175" s="229">
        <v>0</v>
      </c>
      <c r="N175" s="230">
        <v>0</v>
      </c>
      <c r="O175" s="231">
        <v>674.5</v>
      </c>
      <c r="P175" s="222" t="s">
        <v>212</v>
      </c>
      <c r="Q175" s="229">
        <v>0</v>
      </c>
      <c r="R175" s="230">
        <v>0</v>
      </c>
      <c r="S175" s="229">
        <v>38</v>
      </c>
      <c r="T175" s="536">
        <v>10</v>
      </c>
      <c r="U175" s="536"/>
      <c r="V175" s="229">
        <v>38</v>
      </c>
      <c r="W175" s="222" t="s">
        <v>212</v>
      </c>
      <c r="X175" s="530">
        <v>712.5</v>
      </c>
      <c r="Y175" s="530"/>
      <c r="Z175" s="222" t="s">
        <v>212</v>
      </c>
      <c r="AA175" s="232">
        <v>9302000</v>
      </c>
      <c r="AB175" s="233">
        <v>0</v>
      </c>
      <c r="AC175" s="215"/>
    </row>
    <row r="176" spans="1:29" ht="2.25" customHeight="1">
      <c r="A176" s="215"/>
      <c r="B176" s="529" t="s">
        <v>212</v>
      </c>
      <c r="C176" s="529"/>
      <c r="D176" s="219" t="s">
        <v>212</v>
      </c>
      <c r="E176" s="222" t="s">
        <v>212</v>
      </c>
      <c r="F176" s="531" t="s">
        <v>212</v>
      </c>
      <c r="G176" s="531"/>
      <c r="H176" s="222" t="s">
        <v>212</v>
      </c>
      <c r="I176" s="531" t="s">
        <v>212</v>
      </c>
      <c r="J176" s="531"/>
      <c r="K176" s="222" t="s">
        <v>212</v>
      </c>
      <c r="L176" s="222" t="s">
        <v>212</v>
      </c>
      <c r="M176" s="222" t="s">
        <v>212</v>
      </c>
      <c r="N176" s="222" t="s">
        <v>212</v>
      </c>
      <c r="O176" s="222" t="s">
        <v>212</v>
      </c>
      <c r="P176" s="222" t="s">
        <v>212</v>
      </c>
      <c r="Q176" s="222" t="s">
        <v>212</v>
      </c>
      <c r="R176" s="222" t="s">
        <v>212</v>
      </c>
      <c r="S176" s="222" t="s">
        <v>212</v>
      </c>
      <c r="T176" s="531" t="s">
        <v>212</v>
      </c>
      <c r="U176" s="531"/>
      <c r="V176" s="222" t="s">
        <v>212</v>
      </c>
      <c r="W176" s="222" t="s">
        <v>212</v>
      </c>
      <c r="X176" s="531" t="s">
        <v>212</v>
      </c>
      <c r="Y176" s="531"/>
      <c r="Z176" s="222" t="s">
        <v>212</v>
      </c>
      <c r="AA176" s="222" t="s">
        <v>212</v>
      </c>
      <c r="AB176" s="222" t="s">
        <v>212</v>
      </c>
      <c r="AC176" s="215"/>
    </row>
    <row r="177" spans="1:29" ht="13.5" customHeight="1">
      <c r="A177" s="215"/>
      <c r="B177" s="532">
        <v>39163</v>
      </c>
      <c r="C177" s="532"/>
      <c r="D177" s="219" t="s">
        <v>212</v>
      </c>
      <c r="E177" s="224">
        <v>298.2</v>
      </c>
      <c r="F177" s="533">
        <v>24</v>
      </c>
      <c r="G177" s="533"/>
      <c r="H177" s="224">
        <v>297.39999999999998</v>
      </c>
      <c r="I177" s="533">
        <v>24</v>
      </c>
      <c r="J177" s="533"/>
      <c r="K177" s="224">
        <v>22.4</v>
      </c>
      <c r="L177" s="225">
        <v>2</v>
      </c>
      <c r="M177" s="224">
        <v>0</v>
      </c>
      <c r="N177" s="225">
        <v>0</v>
      </c>
      <c r="O177" s="226">
        <v>618</v>
      </c>
      <c r="P177" s="222" t="s">
        <v>212</v>
      </c>
      <c r="Q177" s="224">
        <v>0</v>
      </c>
      <c r="R177" s="225">
        <v>0</v>
      </c>
      <c r="S177" s="224">
        <v>81</v>
      </c>
      <c r="T177" s="533">
        <v>24</v>
      </c>
      <c r="U177" s="533"/>
      <c r="V177" s="224">
        <v>81</v>
      </c>
      <c r="W177" s="222" t="s">
        <v>212</v>
      </c>
      <c r="X177" s="534">
        <v>699</v>
      </c>
      <c r="Y177" s="534"/>
      <c r="Z177" s="222" t="s">
        <v>212</v>
      </c>
      <c r="AA177" s="227">
        <v>8287300</v>
      </c>
      <c r="AB177" s="228">
        <v>0</v>
      </c>
      <c r="AC177" s="215"/>
    </row>
    <row r="178" spans="1:29" ht="2.25" customHeight="1">
      <c r="A178" s="215"/>
      <c r="B178" s="529" t="s">
        <v>212</v>
      </c>
      <c r="C178" s="529"/>
      <c r="D178" s="219" t="s">
        <v>212</v>
      </c>
      <c r="E178" s="222" t="s">
        <v>212</v>
      </c>
      <c r="F178" s="531" t="s">
        <v>212</v>
      </c>
      <c r="G178" s="531"/>
      <c r="H178" s="222" t="s">
        <v>212</v>
      </c>
      <c r="I178" s="531" t="s">
        <v>212</v>
      </c>
      <c r="J178" s="531"/>
      <c r="K178" s="222" t="s">
        <v>212</v>
      </c>
      <c r="L178" s="222" t="s">
        <v>212</v>
      </c>
      <c r="M178" s="222" t="s">
        <v>212</v>
      </c>
      <c r="N178" s="222" t="s">
        <v>212</v>
      </c>
      <c r="O178" s="222" t="s">
        <v>212</v>
      </c>
      <c r="P178" s="222" t="s">
        <v>212</v>
      </c>
      <c r="Q178" s="222" t="s">
        <v>212</v>
      </c>
      <c r="R178" s="222" t="s">
        <v>212</v>
      </c>
      <c r="S178" s="222" t="s">
        <v>212</v>
      </c>
      <c r="T178" s="531" t="s">
        <v>212</v>
      </c>
      <c r="U178" s="531"/>
      <c r="V178" s="222" t="s">
        <v>212</v>
      </c>
      <c r="W178" s="222" t="s">
        <v>212</v>
      </c>
      <c r="X178" s="531" t="s">
        <v>212</v>
      </c>
      <c r="Y178" s="531"/>
      <c r="Z178" s="222" t="s">
        <v>212</v>
      </c>
      <c r="AA178" s="222" t="s">
        <v>212</v>
      </c>
      <c r="AB178" s="222" t="s">
        <v>212</v>
      </c>
      <c r="AC178" s="215"/>
    </row>
    <row r="179" spans="1:29" ht="13.5" customHeight="1">
      <c r="A179" s="215"/>
      <c r="B179" s="535">
        <v>39164</v>
      </c>
      <c r="C179" s="535"/>
      <c r="D179" s="219" t="s">
        <v>212</v>
      </c>
      <c r="E179" s="229">
        <v>272.39999999999998</v>
      </c>
      <c r="F179" s="536">
        <v>24</v>
      </c>
      <c r="G179" s="536"/>
      <c r="H179" s="229">
        <v>271.10000000000002</v>
      </c>
      <c r="I179" s="536">
        <v>24</v>
      </c>
      <c r="J179" s="536"/>
      <c r="K179" s="229">
        <v>0</v>
      </c>
      <c r="L179" s="230">
        <v>0</v>
      </c>
      <c r="M179" s="229">
        <v>0</v>
      </c>
      <c r="N179" s="230">
        <v>0</v>
      </c>
      <c r="O179" s="231">
        <v>543.5</v>
      </c>
      <c r="P179" s="222" t="s">
        <v>212</v>
      </c>
      <c r="Q179" s="229">
        <v>0</v>
      </c>
      <c r="R179" s="230">
        <v>0</v>
      </c>
      <c r="S179" s="229">
        <v>115</v>
      </c>
      <c r="T179" s="536">
        <v>24</v>
      </c>
      <c r="U179" s="536"/>
      <c r="V179" s="229">
        <v>115</v>
      </c>
      <c r="W179" s="222" t="s">
        <v>212</v>
      </c>
      <c r="X179" s="530">
        <v>658.5</v>
      </c>
      <c r="Y179" s="530"/>
      <c r="Z179" s="222" t="s">
        <v>212</v>
      </c>
      <c r="AA179" s="232">
        <v>7651600</v>
      </c>
      <c r="AB179" s="233">
        <v>0</v>
      </c>
      <c r="AC179" s="215"/>
    </row>
    <row r="180" spans="1:29" ht="2.25" customHeight="1">
      <c r="A180" s="215"/>
      <c r="B180" s="529" t="s">
        <v>212</v>
      </c>
      <c r="C180" s="529"/>
      <c r="D180" s="219" t="s">
        <v>212</v>
      </c>
      <c r="E180" s="222" t="s">
        <v>212</v>
      </c>
      <c r="F180" s="531" t="s">
        <v>212</v>
      </c>
      <c r="G180" s="531"/>
      <c r="H180" s="222" t="s">
        <v>212</v>
      </c>
      <c r="I180" s="531" t="s">
        <v>212</v>
      </c>
      <c r="J180" s="531"/>
      <c r="K180" s="222" t="s">
        <v>212</v>
      </c>
      <c r="L180" s="222" t="s">
        <v>212</v>
      </c>
      <c r="M180" s="222" t="s">
        <v>212</v>
      </c>
      <c r="N180" s="222" t="s">
        <v>212</v>
      </c>
      <c r="O180" s="222" t="s">
        <v>212</v>
      </c>
      <c r="P180" s="222" t="s">
        <v>212</v>
      </c>
      <c r="Q180" s="222" t="s">
        <v>212</v>
      </c>
      <c r="R180" s="222" t="s">
        <v>212</v>
      </c>
      <c r="S180" s="222" t="s">
        <v>212</v>
      </c>
      <c r="T180" s="531" t="s">
        <v>212</v>
      </c>
      <c r="U180" s="531"/>
      <c r="V180" s="222" t="s">
        <v>212</v>
      </c>
      <c r="W180" s="222" t="s">
        <v>212</v>
      </c>
      <c r="X180" s="531" t="s">
        <v>212</v>
      </c>
      <c r="Y180" s="531"/>
      <c r="Z180" s="222" t="s">
        <v>212</v>
      </c>
      <c r="AA180" s="222" t="s">
        <v>212</v>
      </c>
      <c r="AB180" s="222" t="s">
        <v>212</v>
      </c>
      <c r="AC180" s="215"/>
    </row>
    <row r="181" spans="1:29" ht="13.5" customHeight="1">
      <c r="A181" s="215"/>
      <c r="B181" s="532">
        <v>39165</v>
      </c>
      <c r="C181" s="532"/>
      <c r="D181" s="219" t="s">
        <v>212</v>
      </c>
      <c r="E181" s="224">
        <v>236.4</v>
      </c>
      <c r="F181" s="533">
        <v>24</v>
      </c>
      <c r="G181" s="533"/>
      <c r="H181" s="224">
        <v>213.6</v>
      </c>
      <c r="I181" s="533">
        <v>23</v>
      </c>
      <c r="J181" s="533"/>
      <c r="K181" s="224">
        <v>33.6</v>
      </c>
      <c r="L181" s="225">
        <v>5</v>
      </c>
      <c r="M181" s="224">
        <v>0</v>
      </c>
      <c r="N181" s="225">
        <v>0</v>
      </c>
      <c r="O181" s="226">
        <v>483.6</v>
      </c>
      <c r="P181" s="222" t="s">
        <v>212</v>
      </c>
      <c r="Q181" s="224">
        <v>0</v>
      </c>
      <c r="R181" s="225">
        <v>0</v>
      </c>
      <c r="S181" s="224">
        <v>147</v>
      </c>
      <c r="T181" s="533">
        <v>24</v>
      </c>
      <c r="U181" s="533"/>
      <c r="V181" s="224">
        <v>147</v>
      </c>
      <c r="W181" s="222" t="s">
        <v>212</v>
      </c>
      <c r="X181" s="534">
        <v>630.6</v>
      </c>
      <c r="Y181" s="534"/>
      <c r="Z181" s="222" t="s">
        <v>212</v>
      </c>
      <c r="AA181" s="227">
        <v>7500800</v>
      </c>
      <c r="AB181" s="228">
        <v>1075</v>
      </c>
      <c r="AC181" s="215"/>
    </row>
    <row r="182" spans="1:29" ht="2.25" customHeight="1">
      <c r="A182" s="215"/>
      <c r="B182" s="529" t="s">
        <v>212</v>
      </c>
      <c r="C182" s="529"/>
      <c r="D182" s="219" t="s">
        <v>212</v>
      </c>
      <c r="E182" s="222" t="s">
        <v>212</v>
      </c>
      <c r="F182" s="531" t="s">
        <v>212</v>
      </c>
      <c r="G182" s="531"/>
      <c r="H182" s="222" t="s">
        <v>212</v>
      </c>
      <c r="I182" s="531" t="s">
        <v>212</v>
      </c>
      <c r="J182" s="531"/>
      <c r="K182" s="222" t="s">
        <v>212</v>
      </c>
      <c r="L182" s="222" t="s">
        <v>212</v>
      </c>
      <c r="M182" s="222" t="s">
        <v>212</v>
      </c>
      <c r="N182" s="222" t="s">
        <v>212</v>
      </c>
      <c r="O182" s="222" t="s">
        <v>212</v>
      </c>
      <c r="P182" s="222" t="s">
        <v>212</v>
      </c>
      <c r="Q182" s="222" t="s">
        <v>212</v>
      </c>
      <c r="R182" s="222" t="s">
        <v>212</v>
      </c>
      <c r="S182" s="222" t="s">
        <v>212</v>
      </c>
      <c r="T182" s="531" t="s">
        <v>212</v>
      </c>
      <c r="U182" s="531"/>
      <c r="V182" s="222" t="s">
        <v>212</v>
      </c>
      <c r="W182" s="222" t="s">
        <v>212</v>
      </c>
      <c r="X182" s="531" t="s">
        <v>212</v>
      </c>
      <c r="Y182" s="531"/>
      <c r="Z182" s="222" t="s">
        <v>212</v>
      </c>
      <c r="AA182" s="222" t="s">
        <v>212</v>
      </c>
      <c r="AB182" s="222" t="s">
        <v>212</v>
      </c>
      <c r="AC182" s="215"/>
    </row>
    <row r="183" spans="1:29" ht="13.5" customHeight="1">
      <c r="A183" s="215"/>
      <c r="B183" s="535">
        <v>39166</v>
      </c>
      <c r="C183" s="535"/>
      <c r="D183" s="219" t="s">
        <v>212</v>
      </c>
      <c r="E183" s="229">
        <v>238</v>
      </c>
      <c r="F183" s="536">
        <v>24</v>
      </c>
      <c r="G183" s="536"/>
      <c r="H183" s="229">
        <v>153.4</v>
      </c>
      <c r="I183" s="536">
        <v>11</v>
      </c>
      <c r="J183" s="536"/>
      <c r="K183" s="229">
        <v>148.6</v>
      </c>
      <c r="L183" s="230">
        <v>20</v>
      </c>
      <c r="M183" s="229">
        <v>0</v>
      </c>
      <c r="N183" s="230">
        <v>0</v>
      </c>
      <c r="O183" s="231">
        <v>540</v>
      </c>
      <c r="P183" s="222" t="s">
        <v>212</v>
      </c>
      <c r="Q183" s="229">
        <v>0</v>
      </c>
      <c r="R183" s="230">
        <v>0</v>
      </c>
      <c r="S183" s="229">
        <v>120</v>
      </c>
      <c r="T183" s="536">
        <v>15</v>
      </c>
      <c r="U183" s="536"/>
      <c r="V183" s="229">
        <v>120</v>
      </c>
      <c r="W183" s="222" t="s">
        <v>212</v>
      </c>
      <c r="X183" s="530">
        <v>660</v>
      </c>
      <c r="Y183" s="530"/>
      <c r="Z183" s="222" t="s">
        <v>212</v>
      </c>
      <c r="AA183" s="232">
        <v>8257400</v>
      </c>
      <c r="AB183" s="233">
        <v>149</v>
      </c>
      <c r="AC183" s="215"/>
    </row>
    <row r="184" spans="1:29" ht="2.25" customHeight="1">
      <c r="A184" s="215"/>
      <c r="B184" s="529" t="s">
        <v>212</v>
      </c>
      <c r="C184" s="529"/>
      <c r="D184" s="219" t="s">
        <v>212</v>
      </c>
      <c r="E184" s="222" t="s">
        <v>212</v>
      </c>
      <c r="F184" s="531" t="s">
        <v>212</v>
      </c>
      <c r="G184" s="531"/>
      <c r="H184" s="222" t="s">
        <v>212</v>
      </c>
      <c r="I184" s="531" t="s">
        <v>212</v>
      </c>
      <c r="J184" s="531"/>
      <c r="K184" s="222" t="s">
        <v>212</v>
      </c>
      <c r="L184" s="222" t="s">
        <v>212</v>
      </c>
      <c r="M184" s="222" t="s">
        <v>212</v>
      </c>
      <c r="N184" s="222" t="s">
        <v>212</v>
      </c>
      <c r="O184" s="222" t="s">
        <v>212</v>
      </c>
      <c r="P184" s="222" t="s">
        <v>212</v>
      </c>
      <c r="Q184" s="222" t="s">
        <v>212</v>
      </c>
      <c r="R184" s="222" t="s">
        <v>212</v>
      </c>
      <c r="S184" s="222" t="s">
        <v>212</v>
      </c>
      <c r="T184" s="531" t="s">
        <v>212</v>
      </c>
      <c r="U184" s="531"/>
      <c r="V184" s="222" t="s">
        <v>212</v>
      </c>
      <c r="W184" s="222" t="s">
        <v>212</v>
      </c>
      <c r="X184" s="531" t="s">
        <v>212</v>
      </c>
      <c r="Y184" s="531"/>
      <c r="Z184" s="222" t="s">
        <v>212</v>
      </c>
      <c r="AA184" s="222" t="s">
        <v>212</v>
      </c>
      <c r="AB184" s="222" t="s">
        <v>212</v>
      </c>
      <c r="AC184" s="215"/>
    </row>
    <row r="185" spans="1:29" ht="13.5" customHeight="1">
      <c r="A185" s="215"/>
      <c r="B185" s="532">
        <v>39167</v>
      </c>
      <c r="C185" s="532"/>
      <c r="D185" s="219" t="s">
        <v>212</v>
      </c>
      <c r="E185" s="224">
        <v>294.10000000000002</v>
      </c>
      <c r="F185" s="533">
        <v>24</v>
      </c>
      <c r="G185" s="533"/>
      <c r="H185" s="224">
        <v>342.9</v>
      </c>
      <c r="I185" s="533">
        <v>24</v>
      </c>
      <c r="J185" s="533"/>
      <c r="K185" s="224">
        <v>0</v>
      </c>
      <c r="L185" s="225">
        <v>0</v>
      </c>
      <c r="M185" s="224">
        <v>0</v>
      </c>
      <c r="N185" s="225">
        <v>0</v>
      </c>
      <c r="O185" s="226">
        <v>637</v>
      </c>
      <c r="P185" s="222" t="s">
        <v>212</v>
      </c>
      <c r="Q185" s="224">
        <v>0</v>
      </c>
      <c r="R185" s="225">
        <v>0</v>
      </c>
      <c r="S185" s="224">
        <v>0</v>
      </c>
      <c r="T185" s="533">
        <v>0</v>
      </c>
      <c r="U185" s="533"/>
      <c r="V185" s="224">
        <v>0</v>
      </c>
      <c r="W185" s="222" t="s">
        <v>212</v>
      </c>
      <c r="X185" s="534">
        <v>637</v>
      </c>
      <c r="Y185" s="534"/>
      <c r="Z185" s="222" t="s">
        <v>212</v>
      </c>
      <c r="AA185" s="227">
        <v>8335100</v>
      </c>
      <c r="AB185" s="228">
        <v>0</v>
      </c>
      <c r="AC185" s="215"/>
    </row>
    <row r="186" spans="1:29" ht="2.25" customHeight="1">
      <c r="A186" s="215"/>
      <c r="B186" s="529" t="s">
        <v>212</v>
      </c>
      <c r="C186" s="529"/>
      <c r="D186" s="219" t="s">
        <v>212</v>
      </c>
      <c r="E186" s="222" t="s">
        <v>212</v>
      </c>
      <c r="F186" s="531" t="s">
        <v>212</v>
      </c>
      <c r="G186" s="531"/>
      <c r="H186" s="222" t="s">
        <v>212</v>
      </c>
      <c r="I186" s="531" t="s">
        <v>212</v>
      </c>
      <c r="J186" s="531"/>
      <c r="K186" s="222" t="s">
        <v>212</v>
      </c>
      <c r="L186" s="222" t="s">
        <v>212</v>
      </c>
      <c r="M186" s="222" t="s">
        <v>212</v>
      </c>
      <c r="N186" s="222" t="s">
        <v>212</v>
      </c>
      <c r="O186" s="222" t="s">
        <v>212</v>
      </c>
      <c r="P186" s="222" t="s">
        <v>212</v>
      </c>
      <c r="Q186" s="222" t="s">
        <v>212</v>
      </c>
      <c r="R186" s="222" t="s">
        <v>212</v>
      </c>
      <c r="S186" s="222" t="s">
        <v>212</v>
      </c>
      <c r="T186" s="531" t="s">
        <v>212</v>
      </c>
      <c r="U186" s="531"/>
      <c r="V186" s="222" t="s">
        <v>212</v>
      </c>
      <c r="W186" s="222" t="s">
        <v>212</v>
      </c>
      <c r="X186" s="531" t="s">
        <v>212</v>
      </c>
      <c r="Y186" s="531"/>
      <c r="Z186" s="222" t="s">
        <v>212</v>
      </c>
      <c r="AA186" s="222" t="s">
        <v>212</v>
      </c>
      <c r="AB186" s="222" t="s">
        <v>212</v>
      </c>
      <c r="AC186" s="215"/>
    </row>
    <row r="187" spans="1:29" ht="13.5" customHeight="1">
      <c r="A187" s="215"/>
      <c r="B187" s="535">
        <v>39168</v>
      </c>
      <c r="C187" s="535"/>
      <c r="D187" s="219" t="s">
        <v>212</v>
      </c>
      <c r="E187" s="229">
        <v>291.7</v>
      </c>
      <c r="F187" s="536">
        <v>24</v>
      </c>
      <c r="G187" s="536"/>
      <c r="H187" s="229">
        <v>356.5</v>
      </c>
      <c r="I187" s="536">
        <v>24</v>
      </c>
      <c r="J187" s="536"/>
      <c r="K187" s="229">
        <v>0</v>
      </c>
      <c r="L187" s="230">
        <v>0</v>
      </c>
      <c r="M187" s="229">
        <v>0</v>
      </c>
      <c r="N187" s="230">
        <v>0</v>
      </c>
      <c r="O187" s="231">
        <v>648.20000000000005</v>
      </c>
      <c r="P187" s="222" t="s">
        <v>212</v>
      </c>
      <c r="Q187" s="229">
        <v>43</v>
      </c>
      <c r="R187" s="230">
        <v>24</v>
      </c>
      <c r="S187" s="229">
        <v>0</v>
      </c>
      <c r="T187" s="536">
        <v>0</v>
      </c>
      <c r="U187" s="536"/>
      <c r="V187" s="229">
        <v>43</v>
      </c>
      <c r="W187" s="222" t="s">
        <v>212</v>
      </c>
      <c r="X187" s="530">
        <v>691.2</v>
      </c>
      <c r="Y187" s="530"/>
      <c r="Z187" s="222" t="s">
        <v>212</v>
      </c>
      <c r="AA187" s="232">
        <v>8401600</v>
      </c>
      <c r="AB187" s="233">
        <v>0</v>
      </c>
      <c r="AC187" s="215"/>
    </row>
    <row r="188" spans="1:29" ht="2.25" customHeight="1">
      <c r="A188" s="215"/>
      <c r="B188" s="529" t="s">
        <v>212</v>
      </c>
      <c r="C188" s="529"/>
      <c r="D188" s="219" t="s">
        <v>212</v>
      </c>
      <c r="E188" s="222" t="s">
        <v>212</v>
      </c>
      <c r="F188" s="531" t="s">
        <v>212</v>
      </c>
      <c r="G188" s="531"/>
      <c r="H188" s="222" t="s">
        <v>212</v>
      </c>
      <c r="I188" s="531" t="s">
        <v>212</v>
      </c>
      <c r="J188" s="531"/>
      <c r="K188" s="222" t="s">
        <v>212</v>
      </c>
      <c r="L188" s="222" t="s">
        <v>212</v>
      </c>
      <c r="M188" s="222" t="s">
        <v>212</v>
      </c>
      <c r="N188" s="222" t="s">
        <v>212</v>
      </c>
      <c r="O188" s="222" t="s">
        <v>212</v>
      </c>
      <c r="P188" s="222" t="s">
        <v>212</v>
      </c>
      <c r="Q188" s="222" t="s">
        <v>212</v>
      </c>
      <c r="R188" s="222" t="s">
        <v>212</v>
      </c>
      <c r="S188" s="222" t="s">
        <v>212</v>
      </c>
      <c r="T188" s="531" t="s">
        <v>212</v>
      </c>
      <c r="U188" s="531"/>
      <c r="V188" s="222" t="s">
        <v>212</v>
      </c>
      <c r="W188" s="222" t="s">
        <v>212</v>
      </c>
      <c r="X188" s="531" t="s">
        <v>212</v>
      </c>
      <c r="Y188" s="531"/>
      <c r="Z188" s="222" t="s">
        <v>212</v>
      </c>
      <c r="AA188" s="222" t="s">
        <v>212</v>
      </c>
      <c r="AB188" s="222" t="s">
        <v>212</v>
      </c>
      <c r="AC188" s="215"/>
    </row>
    <row r="189" spans="1:29" ht="13.5" customHeight="1">
      <c r="A189" s="215"/>
      <c r="B189" s="532">
        <v>39169</v>
      </c>
      <c r="C189" s="532"/>
      <c r="D189" s="219" t="s">
        <v>212</v>
      </c>
      <c r="E189" s="224">
        <v>262.2</v>
      </c>
      <c r="F189" s="533">
        <v>24</v>
      </c>
      <c r="G189" s="533"/>
      <c r="H189" s="224">
        <v>285.60000000000002</v>
      </c>
      <c r="I189" s="533">
        <v>24</v>
      </c>
      <c r="J189" s="533"/>
      <c r="K189" s="224">
        <v>0</v>
      </c>
      <c r="L189" s="225">
        <v>0</v>
      </c>
      <c r="M189" s="224">
        <v>0</v>
      </c>
      <c r="N189" s="225">
        <v>0</v>
      </c>
      <c r="O189" s="226">
        <v>547.79999999999995</v>
      </c>
      <c r="P189" s="222" t="s">
        <v>212</v>
      </c>
      <c r="Q189" s="224">
        <v>81</v>
      </c>
      <c r="R189" s="225">
        <v>24</v>
      </c>
      <c r="S189" s="224">
        <v>0</v>
      </c>
      <c r="T189" s="533">
        <v>0</v>
      </c>
      <c r="U189" s="533"/>
      <c r="V189" s="224">
        <v>81</v>
      </c>
      <c r="W189" s="222" t="s">
        <v>212</v>
      </c>
      <c r="X189" s="534">
        <v>628.79999999999995</v>
      </c>
      <c r="Y189" s="534"/>
      <c r="Z189" s="222" t="s">
        <v>212</v>
      </c>
      <c r="AA189" s="227">
        <v>7696600</v>
      </c>
      <c r="AB189" s="228">
        <v>3225</v>
      </c>
      <c r="AC189" s="215"/>
    </row>
    <row r="190" spans="1:29" ht="2.25" customHeight="1">
      <c r="A190" s="215"/>
      <c r="B190" s="529" t="s">
        <v>212</v>
      </c>
      <c r="C190" s="529"/>
      <c r="D190" s="219" t="s">
        <v>212</v>
      </c>
      <c r="E190" s="222" t="s">
        <v>212</v>
      </c>
      <c r="F190" s="531" t="s">
        <v>212</v>
      </c>
      <c r="G190" s="531"/>
      <c r="H190" s="222" t="s">
        <v>212</v>
      </c>
      <c r="I190" s="531" t="s">
        <v>212</v>
      </c>
      <c r="J190" s="531"/>
      <c r="K190" s="222" t="s">
        <v>212</v>
      </c>
      <c r="L190" s="222" t="s">
        <v>212</v>
      </c>
      <c r="M190" s="222" t="s">
        <v>212</v>
      </c>
      <c r="N190" s="222" t="s">
        <v>212</v>
      </c>
      <c r="O190" s="222" t="s">
        <v>212</v>
      </c>
      <c r="P190" s="222" t="s">
        <v>212</v>
      </c>
      <c r="Q190" s="222" t="s">
        <v>212</v>
      </c>
      <c r="R190" s="222" t="s">
        <v>212</v>
      </c>
      <c r="S190" s="222" t="s">
        <v>212</v>
      </c>
      <c r="T190" s="531" t="s">
        <v>212</v>
      </c>
      <c r="U190" s="531"/>
      <c r="V190" s="222" t="s">
        <v>212</v>
      </c>
      <c r="W190" s="222" t="s">
        <v>212</v>
      </c>
      <c r="X190" s="531" t="s">
        <v>212</v>
      </c>
      <c r="Y190" s="531"/>
      <c r="Z190" s="222" t="s">
        <v>212</v>
      </c>
      <c r="AA190" s="222" t="s">
        <v>212</v>
      </c>
      <c r="AB190" s="222" t="s">
        <v>212</v>
      </c>
      <c r="AC190" s="215"/>
    </row>
    <row r="191" spans="1:29" ht="13.5" customHeight="1">
      <c r="A191" s="215"/>
      <c r="B191" s="535">
        <v>39170</v>
      </c>
      <c r="C191" s="535"/>
      <c r="D191" s="219" t="s">
        <v>212</v>
      </c>
      <c r="E191" s="229">
        <v>194.9</v>
      </c>
      <c r="F191" s="536">
        <v>24</v>
      </c>
      <c r="G191" s="536"/>
      <c r="H191" s="229">
        <v>266.39999999999998</v>
      </c>
      <c r="I191" s="536">
        <v>24</v>
      </c>
      <c r="J191" s="536"/>
      <c r="K191" s="229">
        <v>43.4</v>
      </c>
      <c r="L191" s="230">
        <v>12</v>
      </c>
      <c r="M191" s="229">
        <v>0</v>
      </c>
      <c r="N191" s="230">
        <v>0</v>
      </c>
      <c r="O191" s="231">
        <v>504.7</v>
      </c>
      <c r="P191" s="222" t="s">
        <v>212</v>
      </c>
      <c r="Q191" s="229">
        <v>90</v>
      </c>
      <c r="R191" s="230">
        <v>24</v>
      </c>
      <c r="S191" s="229">
        <v>0</v>
      </c>
      <c r="T191" s="536">
        <v>0</v>
      </c>
      <c r="U191" s="536"/>
      <c r="V191" s="229">
        <v>90</v>
      </c>
      <c r="W191" s="222" t="s">
        <v>212</v>
      </c>
      <c r="X191" s="530">
        <v>594.70000000000005</v>
      </c>
      <c r="Y191" s="530"/>
      <c r="Z191" s="222" t="s">
        <v>212</v>
      </c>
      <c r="AA191" s="232">
        <v>8240100</v>
      </c>
      <c r="AB191" s="233">
        <v>233</v>
      </c>
      <c r="AC191" s="215"/>
    </row>
    <row r="192" spans="1:29" ht="2.25" customHeight="1">
      <c r="A192" s="215"/>
      <c r="B192" s="529" t="s">
        <v>212</v>
      </c>
      <c r="C192" s="529"/>
      <c r="D192" s="219" t="s">
        <v>212</v>
      </c>
      <c r="E192" s="222" t="s">
        <v>212</v>
      </c>
      <c r="F192" s="531" t="s">
        <v>212</v>
      </c>
      <c r="G192" s="531"/>
      <c r="H192" s="222" t="s">
        <v>212</v>
      </c>
      <c r="I192" s="531" t="s">
        <v>212</v>
      </c>
      <c r="J192" s="531"/>
      <c r="K192" s="222" t="s">
        <v>212</v>
      </c>
      <c r="L192" s="222" t="s">
        <v>212</v>
      </c>
      <c r="M192" s="222" t="s">
        <v>212</v>
      </c>
      <c r="N192" s="222" t="s">
        <v>212</v>
      </c>
      <c r="O192" s="222" t="s">
        <v>212</v>
      </c>
      <c r="P192" s="222" t="s">
        <v>212</v>
      </c>
      <c r="Q192" s="222" t="s">
        <v>212</v>
      </c>
      <c r="R192" s="222" t="s">
        <v>212</v>
      </c>
      <c r="S192" s="222" t="s">
        <v>212</v>
      </c>
      <c r="T192" s="531" t="s">
        <v>212</v>
      </c>
      <c r="U192" s="531"/>
      <c r="V192" s="222" t="s">
        <v>212</v>
      </c>
      <c r="W192" s="222" t="s">
        <v>212</v>
      </c>
      <c r="X192" s="531" t="s">
        <v>212</v>
      </c>
      <c r="Y192" s="531"/>
      <c r="Z192" s="222" t="s">
        <v>212</v>
      </c>
      <c r="AA192" s="222" t="s">
        <v>212</v>
      </c>
      <c r="AB192" s="222" t="s">
        <v>212</v>
      </c>
      <c r="AC192" s="215"/>
    </row>
    <row r="193" spans="1:29" ht="13.5" customHeight="1">
      <c r="A193" s="215"/>
      <c r="B193" s="532">
        <v>39171</v>
      </c>
      <c r="C193" s="532"/>
      <c r="D193" s="219" t="s">
        <v>212</v>
      </c>
      <c r="E193" s="224">
        <v>185.2</v>
      </c>
      <c r="F193" s="533">
        <v>24</v>
      </c>
      <c r="G193" s="533"/>
      <c r="H193" s="224">
        <v>134</v>
      </c>
      <c r="I193" s="533">
        <v>20</v>
      </c>
      <c r="J193" s="533"/>
      <c r="K193" s="224">
        <v>189.3</v>
      </c>
      <c r="L193" s="225">
        <v>24</v>
      </c>
      <c r="M193" s="224">
        <v>0</v>
      </c>
      <c r="N193" s="225">
        <v>0</v>
      </c>
      <c r="O193" s="226">
        <v>508.5</v>
      </c>
      <c r="P193" s="222" t="s">
        <v>212</v>
      </c>
      <c r="Q193" s="224">
        <v>0</v>
      </c>
      <c r="R193" s="225">
        <v>0</v>
      </c>
      <c r="S193" s="224">
        <v>0</v>
      </c>
      <c r="T193" s="533">
        <v>0</v>
      </c>
      <c r="U193" s="533"/>
      <c r="V193" s="224">
        <v>0</v>
      </c>
      <c r="W193" s="222" t="s">
        <v>212</v>
      </c>
      <c r="X193" s="534">
        <v>508.5</v>
      </c>
      <c r="Y193" s="534"/>
      <c r="Z193" s="222" t="s">
        <v>212</v>
      </c>
      <c r="AA193" s="227">
        <v>8973200</v>
      </c>
      <c r="AB193" s="228">
        <v>0</v>
      </c>
      <c r="AC193" s="215"/>
    </row>
    <row r="194" spans="1:29" ht="2.25" customHeight="1">
      <c r="A194" s="215"/>
      <c r="B194" s="529" t="s">
        <v>212</v>
      </c>
      <c r="C194" s="529"/>
      <c r="D194" s="219" t="s">
        <v>212</v>
      </c>
      <c r="E194" s="222" t="s">
        <v>212</v>
      </c>
      <c r="F194" s="531" t="s">
        <v>212</v>
      </c>
      <c r="G194" s="531"/>
      <c r="H194" s="222" t="s">
        <v>212</v>
      </c>
      <c r="I194" s="531" t="s">
        <v>212</v>
      </c>
      <c r="J194" s="531"/>
      <c r="K194" s="222" t="s">
        <v>212</v>
      </c>
      <c r="L194" s="222" t="s">
        <v>212</v>
      </c>
      <c r="M194" s="222" t="s">
        <v>212</v>
      </c>
      <c r="N194" s="222" t="s">
        <v>212</v>
      </c>
      <c r="O194" s="222" t="s">
        <v>212</v>
      </c>
      <c r="P194" s="222" t="s">
        <v>212</v>
      </c>
      <c r="Q194" s="222" t="s">
        <v>212</v>
      </c>
      <c r="R194" s="222" t="s">
        <v>212</v>
      </c>
      <c r="S194" s="222" t="s">
        <v>212</v>
      </c>
      <c r="T194" s="531" t="s">
        <v>212</v>
      </c>
      <c r="U194" s="531"/>
      <c r="V194" s="222" t="s">
        <v>212</v>
      </c>
      <c r="W194" s="222" t="s">
        <v>212</v>
      </c>
      <c r="X194" s="531" t="s">
        <v>212</v>
      </c>
      <c r="Y194" s="531"/>
      <c r="Z194" s="222" t="s">
        <v>212</v>
      </c>
      <c r="AA194" s="222" t="s">
        <v>212</v>
      </c>
      <c r="AB194" s="222" t="s">
        <v>212</v>
      </c>
      <c r="AC194" s="215"/>
    </row>
    <row r="195" spans="1:29" ht="13.5" customHeight="1">
      <c r="A195" s="215"/>
      <c r="B195" s="535">
        <v>39172</v>
      </c>
      <c r="C195" s="535"/>
      <c r="D195" s="219" t="s">
        <v>212</v>
      </c>
      <c r="E195" s="229">
        <v>156.69999999999999</v>
      </c>
      <c r="F195" s="536">
        <v>19</v>
      </c>
      <c r="G195" s="536"/>
      <c r="H195" s="229">
        <v>253.7</v>
      </c>
      <c r="I195" s="536">
        <v>24</v>
      </c>
      <c r="J195" s="536"/>
      <c r="K195" s="229">
        <v>215.8</v>
      </c>
      <c r="L195" s="230">
        <v>24</v>
      </c>
      <c r="M195" s="229">
        <v>0</v>
      </c>
      <c r="N195" s="230">
        <v>0</v>
      </c>
      <c r="O195" s="231">
        <v>626.20000000000005</v>
      </c>
      <c r="P195" s="222" t="s">
        <v>212</v>
      </c>
      <c r="Q195" s="229">
        <v>0</v>
      </c>
      <c r="R195" s="230">
        <v>0</v>
      </c>
      <c r="S195" s="229">
        <v>0</v>
      </c>
      <c r="T195" s="536">
        <v>0</v>
      </c>
      <c r="U195" s="536"/>
      <c r="V195" s="229">
        <v>0</v>
      </c>
      <c r="W195" s="222" t="s">
        <v>212</v>
      </c>
      <c r="X195" s="530">
        <v>626.20000000000005</v>
      </c>
      <c r="Y195" s="530"/>
      <c r="Z195" s="222" t="s">
        <v>212</v>
      </c>
      <c r="AA195" s="232">
        <v>10039400</v>
      </c>
      <c r="AB195" s="233">
        <v>0</v>
      </c>
      <c r="AC195" s="215"/>
    </row>
    <row r="196" spans="1:29" ht="2.25" customHeight="1">
      <c r="A196" s="215"/>
      <c r="B196" s="529" t="s">
        <v>212</v>
      </c>
      <c r="C196" s="529"/>
      <c r="D196" s="219" t="s">
        <v>212</v>
      </c>
      <c r="E196" s="222" t="s">
        <v>212</v>
      </c>
      <c r="F196" s="531" t="s">
        <v>212</v>
      </c>
      <c r="G196" s="531"/>
      <c r="H196" s="222" t="s">
        <v>212</v>
      </c>
      <c r="I196" s="531" t="s">
        <v>212</v>
      </c>
      <c r="J196" s="531"/>
      <c r="K196" s="222" t="s">
        <v>212</v>
      </c>
      <c r="L196" s="222" t="s">
        <v>212</v>
      </c>
      <c r="M196" s="222" t="s">
        <v>212</v>
      </c>
      <c r="N196" s="222" t="s">
        <v>212</v>
      </c>
      <c r="O196" s="222" t="s">
        <v>212</v>
      </c>
      <c r="P196" s="222" t="s">
        <v>212</v>
      </c>
      <c r="Q196" s="222" t="s">
        <v>212</v>
      </c>
      <c r="R196" s="222" t="s">
        <v>212</v>
      </c>
      <c r="S196" s="222" t="s">
        <v>212</v>
      </c>
      <c r="T196" s="531" t="s">
        <v>212</v>
      </c>
      <c r="U196" s="531"/>
      <c r="V196" s="222" t="s">
        <v>212</v>
      </c>
      <c r="W196" s="222" t="s">
        <v>212</v>
      </c>
      <c r="X196" s="531" t="s">
        <v>212</v>
      </c>
      <c r="Y196" s="531"/>
      <c r="Z196" s="222" t="s">
        <v>212</v>
      </c>
      <c r="AA196" s="222" t="s">
        <v>212</v>
      </c>
      <c r="AB196" s="222" t="s">
        <v>212</v>
      </c>
      <c r="AC196" s="215"/>
    </row>
    <row r="197" spans="1:29" ht="13.5" customHeight="1">
      <c r="A197" s="215"/>
      <c r="B197" s="532">
        <v>39173</v>
      </c>
      <c r="C197" s="532"/>
      <c r="D197" s="219" t="s">
        <v>212</v>
      </c>
      <c r="E197" s="224">
        <v>111.9</v>
      </c>
      <c r="F197" s="533">
        <v>15</v>
      </c>
      <c r="G197" s="533"/>
      <c r="H197" s="224">
        <v>284.10000000000002</v>
      </c>
      <c r="I197" s="533">
        <v>24</v>
      </c>
      <c r="J197" s="533"/>
      <c r="K197" s="224">
        <v>266.8</v>
      </c>
      <c r="L197" s="225">
        <v>24</v>
      </c>
      <c r="M197" s="224">
        <v>0</v>
      </c>
      <c r="N197" s="225">
        <v>0</v>
      </c>
      <c r="O197" s="226">
        <v>662.8</v>
      </c>
      <c r="P197" s="222" t="s">
        <v>212</v>
      </c>
      <c r="Q197" s="224">
        <v>0</v>
      </c>
      <c r="R197" s="225">
        <v>0</v>
      </c>
      <c r="S197" s="224">
        <v>0</v>
      </c>
      <c r="T197" s="533">
        <v>0</v>
      </c>
      <c r="U197" s="533"/>
      <c r="V197" s="224">
        <v>0</v>
      </c>
      <c r="W197" s="222" t="s">
        <v>212</v>
      </c>
      <c r="X197" s="534">
        <v>662.8</v>
      </c>
      <c r="Y197" s="534"/>
      <c r="Z197" s="222" t="s">
        <v>212</v>
      </c>
      <c r="AA197" s="227">
        <v>8576800</v>
      </c>
      <c r="AB197" s="228">
        <v>0</v>
      </c>
      <c r="AC197" s="215"/>
    </row>
    <row r="198" spans="1:29" ht="2.25" customHeight="1">
      <c r="A198" s="215"/>
      <c r="B198" s="529" t="s">
        <v>212</v>
      </c>
      <c r="C198" s="529"/>
      <c r="D198" s="219" t="s">
        <v>212</v>
      </c>
      <c r="E198" s="222" t="s">
        <v>212</v>
      </c>
      <c r="F198" s="531" t="s">
        <v>212</v>
      </c>
      <c r="G198" s="531"/>
      <c r="H198" s="222" t="s">
        <v>212</v>
      </c>
      <c r="I198" s="531" t="s">
        <v>212</v>
      </c>
      <c r="J198" s="531"/>
      <c r="K198" s="222" t="s">
        <v>212</v>
      </c>
      <c r="L198" s="222" t="s">
        <v>212</v>
      </c>
      <c r="M198" s="222" t="s">
        <v>212</v>
      </c>
      <c r="N198" s="222" t="s">
        <v>212</v>
      </c>
      <c r="O198" s="222" t="s">
        <v>212</v>
      </c>
      <c r="P198" s="222" t="s">
        <v>212</v>
      </c>
      <c r="Q198" s="222" t="s">
        <v>212</v>
      </c>
      <c r="R198" s="222" t="s">
        <v>212</v>
      </c>
      <c r="S198" s="222" t="s">
        <v>212</v>
      </c>
      <c r="T198" s="531" t="s">
        <v>212</v>
      </c>
      <c r="U198" s="531"/>
      <c r="V198" s="222" t="s">
        <v>212</v>
      </c>
      <c r="W198" s="222" t="s">
        <v>212</v>
      </c>
      <c r="X198" s="531" t="s">
        <v>212</v>
      </c>
      <c r="Y198" s="531"/>
      <c r="Z198" s="222" t="s">
        <v>212</v>
      </c>
      <c r="AA198" s="222" t="s">
        <v>212</v>
      </c>
      <c r="AB198" s="222" t="s">
        <v>212</v>
      </c>
      <c r="AC198" s="215"/>
    </row>
    <row r="199" spans="1:29" ht="13.5" customHeight="1">
      <c r="A199" s="215"/>
      <c r="B199" s="535">
        <v>39174</v>
      </c>
      <c r="C199" s="535"/>
      <c r="D199" s="219" t="s">
        <v>212</v>
      </c>
      <c r="E199" s="229">
        <v>131.5</v>
      </c>
      <c r="F199" s="536">
        <v>24</v>
      </c>
      <c r="G199" s="536"/>
      <c r="H199" s="229">
        <v>277.89999999999998</v>
      </c>
      <c r="I199" s="536">
        <v>24</v>
      </c>
      <c r="J199" s="536"/>
      <c r="K199" s="229">
        <v>248.6</v>
      </c>
      <c r="L199" s="230">
        <v>24</v>
      </c>
      <c r="M199" s="229">
        <v>0</v>
      </c>
      <c r="N199" s="230">
        <v>0</v>
      </c>
      <c r="O199" s="231">
        <v>658</v>
      </c>
      <c r="P199" s="222" t="s">
        <v>212</v>
      </c>
      <c r="Q199" s="229">
        <v>0</v>
      </c>
      <c r="R199" s="230">
        <v>0</v>
      </c>
      <c r="S199" s="229">
        <v>0</v>
      </c>
      <c r="T199" s="536">
        <v>0</v>
      </c>
      <c r="U199" s="536"/>
      <c r="V199" s="229">
        <v>0</v>
      </c>
      <c r="W199" s="222" t="s">
        <v>212</v>
      </c>
      <c r="X199" s="530">
        <v>658</v>
      </c>
      <c r="Y199" s="530"/>
      <c r="Z199" s="222" t="s">
        <v>212</v>
      </c>
      <c r="AA199" s="232">
        <v>10012000</v>
      </c>
      <c r="AB199" s="233">
        <v>0</v>
      </c>
      <c r="AC199" s="215"/>
    </row>
    <row r="200" spans="1:29" ht="2.25" customHeight="1">
      <c r="A200" s="215"/>
      <c r="B200" s="529" t="s">
        <v>212</v>
      </c>
      <c r="C200" s="529"/>
      <c r="D200" s="219" t="s">
        <v>212</v>
      </c>
      <c r="E200" s="222" t="s">
        <v>212</v>
      </c>
      <c r="F200" s="531" t="s">
        <v>212</v>
      </c>
      <c r="G200" s="531"/>
      <c r="H200" s="222" t="s">
        <v>212</v>
      </c>
      <c r="I200" s="531" t="s">
        <v>212</v>
      </c>
      <c r="J200" s="531"/>
      <c r="K200" s="222" t="s">
        <v>212</v>
      </c>
      <c r="L200" s="222" t="s">
        <v>212</v>
      </c>
      <c r="M200" s="222" t="s">
        <v>212</v>
      </c>
      <c r="N200" s="222" t="s">
        <v>212</v>
      </c>
      <c r="O200" s="222" t="s">
        <v>212</v>
      </c>
      <c r="P200" s="222" t="s">
        <v>212</v>
      </c>
      <c r="Q200" s="222" t="s">
        <v>212</v>
      </c>
      <c r="R200" s="222" t="s">
        <v>212</v>
      </c>
      <c r="S200" s="222" t="s">
        <v>212</v>
      </c>
      <c r="T200" s="531" t="s">
        <v>212</v>
      </c>
      <c r="U200" s="531"/>
      <c r="V200" s="222" t="s">
        <v>212</v>
      </c>
      <c r="W200" s="222" t="s">
        <v>212</v>
      </c>
      <c r="X200" s="531" t="s">
        <v>212</v>
      </c>
      <c r="Y200" s="531"/>
      <c r="Z200" s="222" t="s">
        <v>212</v>
      </c>
      <c r="AA200" s="222" t="s">
        <v>212</v>
      </c>
      <c r="AB200" s="222" t="s">
        <v>212</v>
      </c>
      <c r="AC200" s="215"/>
    </row>
    <row r="201" spans="1:29" ht="13.5" customHeight="1">
      <c r="A201" s="215"/>
      <c r="B201" s="532">
        <v>39175</v>
      </c>
      <c r="C201" s="532"/>
      <c r="D201" s="219" t="s">
        <v>212</v>
      </c>
      <c r="E201" s="224">
        <v>171</v>
      </c>
      <c r="F201" s="533">
        <v>24</v>
      </c>
      <c r="G201" s="533"/>
      <c r="H201" s="224">
        <v>318.5</v>
      </c>
      <c r="I201" s="533">
        <v>24</v>
      </c>
      <c r="J201" s="533"/>
      <c r="K201" s="224">
        <v>243.5</v>
      </c>
      <c r="L201" s="225">
        <v>24</v>
      </c>
      <c r="M201" s="224">
        <v>0</v>
      </c>
      <c r="N201" s="225">
        <v>0</v>
      </c>
      <c r="O201" s="226">
        <v>733</v>
      </c>
      <c r="P201" s="222" t="s">
        <v>212</v>
      </c>
      <c r="Q201" s="224">
        <v>0</v>
      </c>
      <c r="R201" s="225">
        <v>0</v>
      </c>
      <c r="S201" s="224">
        <v>0</v>
      </c>
      <c r="T201" s="533">
        <v>0</v>
      </c>
      <c r="U201" s="533"/>
      <c r="V201" s="224">
        <v>0</v>
      </c>
      <c r="W201" s="222" t="s">
        <v>212</v>
      </c>
      <c r="X201" s="534">
        <v>733</v>
      </c>
      <c r="Y201" s="534"/>
      <c r="Z201" s="222" t="s">
        <v>212</v>
      </c>
      <c r="AA201" s="227">
        <v>10839500</v>
      </c>
      <c r="AB201" s="228">
        <v>0</v>
      </c>
      <c r="AC201" s="215"/>
    </row>
    <row r="202" spans="1:29" ht="2.25" customHeight="1">
      <c r="A202" s="215"/>
      <c r="B202" s="529" t="s">
        <v>212</v>
      </c>
      <c r="C202" s="529"/>
      <c r="D202" s="219" t="s">
        <v>212</v>
      </c>
      <c r="E202" s="222" t="s">
        <v>212</v>
      </c>
      <c r="F202" s="531" t="s">
        <v>212</v>
      </c>
      <c r="G202" s="531"/>
      <c r="H202" s="222" t="s">
        <v>212</v>
      </c>
      <c r="I202" s="531" t="s">
        <v>212</v>
      </c>
      <c r="J202" s="531"/>
      <c r="K202" s="222" t="s">
        <v>212</v>
      </c>
      <c r="L202" s="222" t="s">
        <v>212</v>
      </c>
      <c r="M202" s="222" t="s">
        <v>212</v>
      </c>
      <c r="N202" s="222" t="s">
        <v>212</v>
      </c>
      <c r="O202" s="222" t="s">
        <v>212</v>
      </c>
      <c r="P202" s="222" t="s">
        <v>212</v>
      </c>
      <c r="Q202" s="222" t="s">
        <v>212</v>
      </c>
      <c r="R202" s="222" t="s">
        <v>212</v>
      </c>
      <c r="S202" s="222" t="s">
        <v>212</v>
      </c>
      <c r="T202" s="531" t="s">
        <v>212</v>
      </c>
      <c r="U202" s="531"/>
      <c r="V202" s="222" t="s">
        <v>212</v>
      </c>
      <c r="W202" s="222" t="s">
        <v>212</v>
      </c>
      <c r="X202" s="531" t="s">
        <v>212</v>
      </c>
      <c r="Y202" s="531"/>
      <c r="Z202" s="222" t="s">
        <v>212</v>
      </c>
      <c r="AA202" s="222" t="s">
        <v>212</v>
      </c>
      <c r="AB202" s="222" t="s">
        <v>212</v>
      </c>
      <c r="AC202" s="215"/>
    </row>
    <row r="203" spans="1:29" ht="13.5" customHeight="1">
      <c r="A203" s="215"/>
      <c r="B203" s="535">
        <v>39176</v>
      </c>
      <c r="C203" s="535"/>
      <c r="D203" s="219" t="s">
        <v>212</v>
      </c>
      <c r="E203" s="229">
        <v>131.30000000000001</v>
      </c>
      <c r="F203" s="536">
        <v>19</v>
      </c>
      <c r="G203" s="536"/>
      <c r="H203" s="229">
        <v>357.1</v>
      </c>
      <c r="I203" s="536">
        <v>24</v>
      </c>
      <c r="J203" s="536"/>
      <c r="K203" s="229">
        <v>195.1</v>
      </c>
      <c r="L203" s="230">
        <v>24</v>
      </c>
      <c r="M203" s="229">
        <v>0</v>
      </c>
      <c r="N203" s="230">
        <v>0</v>
      </c>
      <c r="O203" s="231">
        <v>683.5</v>
      </c>
      <c r="P203" s="222" t="s">
        <v>212</v>
      </c>
      <c r="Q203" s="229">
        <v>31</v>
      </c>
      <c r="R203" s="230">
        <v>6</v>
      </c>
      <c r="S203" s="229">
        <v>0</v>
      </c>
      <c r="T203" s="536">
        <v>0</v>
      </c>
      <c r="U203" s="536"/>
      <c r="V203" s="229">
        <v>31</v>
      </c>
      <c r="W203" s="222" t="s">
        <v>212</v>
      </c>
      <c r="X203" s="530">
        <v>714.5</v>
      </c>
      <c r="Y203" s="530"/>
      <c r="Z203" s="222" t="s">
        <v>212</v>
      </c>
      <c r="AA203" s="232">
        <v>10093300</v>
      </c>
      <c r="AB203" s="233">
        <v>0</v>
      </c>
      <c r="AC203" s="215"/>
    </row>
    <row r="204" spans="1:29" ht="2.25" customHeight="1">
      <c r="A204" s="215"/>
      <c r="B204" s="529" t="s">
        <v>212</v>
      </c>
      <c r="C204" s="529"/>
      <c r="D204" s="219" t="s">
        <v>212</v>
      </c>
      <c r="E204" s="222" t="s">
        <v>212</v>
      </c>
      <c r="F204" s="531" t="s">
        <v>212</v>
      </c>
      <c r="G204" s="531"/>
      <c r="H204" s="222" t="s">
        <v>212</v>
      </c>
      <c r="I204" s="531" t="s">
        <v>212</v>
      </c>
      <c r="J204" s="531"/>
      <c r="K204" s="222" t="s">
        <v>212</v>
      </c>
      <c r="L204" s="222" t="s">
        <v>212</v>
      </c>
      <c r="M204" s="222" t="s">
        <v>212</v>
      </c>
      <c r="N204" s="222" t="s">
        <v>212</v>
      </c>
      <c r="O204" s="222" t="s">
        <v>212</v>
      </c>
      <c r="P204" s="222" t="s">
        <v>212</v>
      </c>
      <c r="Q204" s="222" t="s">
        <v>212</v>
      </c>
      <c r="R204" s="222" t="s">
        <v>212</v>
      </c>
      <c r="S204" s="222" t="s">
        <v>212</v>
      </c>
      <c r="T204" s="531" t="s">
        <v>212</v>
      </c>
      <c r="U204" s="531"/>
      <c r="V204" s="222" t="s">
        <v>212</v>
      </c>
      <c r="W204" s="222" t="s">
        <v>212</v>
      </c>
      <c r="X204" s="531" t="s">
        <v>212</v>
      </c>
      <c r="Y204" s="531"/>
      <c r="Z204" s="222" t="s">
        <v>212</v>
      </c>
      <c r="AA204" s="222" t="s">
        <v>212</v>
      </c>
      <c r="AB204" s="222" t="s">
        <v>212</v>
      </c>
      <c r="AC204" s="215"/>
    </row>
    <row r="205" spans="1:29" ht="13.5" customHeight="1">
      <c r="A205" s="215"/>
      <c r="B205" s="532">
        <v>39177</v>
      </c>
      <c r="C205" s="532"/>
      <c r="D205" s="219" t="s">
        <v>212</v>
      </c>
      <c r="E205" s="224">
        <v>0</v>
      </c>
      <c r="F205" s="533"/>
      <c r="G205" s="533"/>
      <c r="H205" s="224">
        <v>342.4</v>
      </c>
      <c r="I205" s="533">
        <v>24</v>
      </c>
      <c r="J205" s="533"/>
      <c r="K205" s="224">
        <v>259.3</v>
      </c>
      <c r="L205" s="225">
        <v>24</v>
      </c>
      <c r="M205" s="224">
        <v>0</v>
      </c>
      <c r="N205" s="225">
        <v>0</v>
      </c>
      <c r="O205" s="226">
        <v>601.70000000000005</v>
      </c>
      <c r="P205" s="222" t="s">
        <v>212</v>
      </c>
      <c r="Q205" s="224">
        <v>71</v>
      </c>
      <c r="R205" s="225">
        <v>15</v>
      </c>
      <c r="S205" s="224">
        <v>0</v>
      </c>
      <c r="T205" s="533">
        <v>0</v>
      </c>
      <c r="U205" s="533"/>
      <c r="V205" s="224">
        <v>71</v>
      </c>
      <c r="W205" s="222" t="s">
        <v>212</v>
      </c>
      <c r="X205" s="534">
        <v>672.7</v>
      </c>
      <c r="Y205" s="534"/>
      <c r="Z205" s="222" t="s">
        <v>212</v>
      </c>
      <c r="AA205" s="227">
        <v>8021700</v>
      </c>
      <c r="AB205" s="228">
        <v>0</v>
      </c>
      <c r="AC205" s="215"/>
    </row>
    <row r="206" spans="1:29" ht="2.25" customHeight="1">
      <c r="A206" s="215"/>
      <c r="B206" s="529" t="s">
        <v>212</v>
      </c>
      <c r="C206" s="529"/>
      <c r="D206" s="219" t="s">
        <v>212</v>
      </c>
      <c r="E206" s="222" t="s">
        <v>212</v>
      </c>
      <c r="F206" s="531" t="s">
        <v>212</v>
      </c>
      <c r="G206" s="531"/>
      <c r="H206" s="222" t="s">
        <v>212</v>
      </c>
      <c r="I206" s="531" t="s">
        <v>212</v>
      </c>
      <c r="J206" s="531"/>
      <c r="K206" s="222" t="s">
        <v>212</v>
      </c>
      <c r="L206" s="222" t="s">
        <v>212</v>
      </c>
      <c r="M206" s="222" t="s">
        <v>212</v>
      </c>
      <c r="N206" s="222" t="s">
        <v>212</v>
      </c>
      <c r="O206" s="222" t="s">
        <v>212</v>
      </c>
      <c r="P206" s="222" t="s">
        <v>212</v>
      </c>
      <c r="Q206" s="222" t="s">
        <v>212</v>
      </c>
      <c r="R206" s="222" t="s">
        <v>212</v>
      </c>
      <c r="S206" s="222" t="s">
        <v>212</v>
      </c>
      <c r="T206" s="531" t="s">
        <v>212</v>
      </c>
      <c r="U206" s="531"/>
      <c r="V206" s="222" t="s">
        <v>212</v>
      </c>
      <c r="W206" s="222" t="s">
        <v>212</v>
      </c>
      <c r="X206" s="531" t="s">
        <v>212</v>
      </c>
      <c r="Y206" s="531"/>
      <c r="Z206" s="222" t="s">
        <v>212</v>
      </c>
      <c r="AA206" s="222" t="s">
        <v>212</v>
      </c>
      <c r="AB206" s="222" t="s">
        <v>212</v>
      </c>
      <c r="AC206" s="215"/>
    </row>
    <row r="207" spans="1:29" ht="13.5" customHeight="1">
      <c r="A207" s="215"/>
      <c r="B207" s="535">
        <v>39178</v>
      </c>
      <c r="C207" s="535"/>
      <c r="D207" s="219" t="s">
        <v>212</v>
      </c>
      <c r="E207" s="229">
        <v>0</v>
      </c>
      <c r="F207" s="536">
        <v>0</v>
      </c>
      <c r="G207" s="536"/>
      <c r="H207" s="229">
        <v>349.6</v>
      </c>
      <c r="I207" s="536">
        <v>24</v>
      </c>
      <c r="J207" s="536"/>
      <c r="K207" s="229">
        <v>249.65</v>
      </c>
      <c r="L207" s="230">
        <v>24</v>
      </c>
      <c r="M207" s="229">
        <v>0</v>
      </c>
      <c r="N207" s="230">
        <v>0</v>
      </c>
      <c r="O207" s="231">
        <v>599.25</v>
      </c>
      <c r="P207" s="222" t="s">
        <v>212</v>
      </c>
      <c r="Q207" s="229">
        <v>0</v>
      </c>
      <c r="R207" s="230">
        <v>0</v>
      </c>
      <c r="S207" s="229">
        <v>0</v>
      </c>
      <c r="T207" s="536">
        <v>0</v>
      </c>
      <c r="U207" s="536"/>
      <c r="V207" s="229">
        <v>0</v>
      </c>
      <c r="W207" s="222" t="s">
        <v>212</v>
      </c>
      <c r="X207" s="530">
        <v>599.25</v>
      </c>
      <c r="Y207" s="530"/>
      <c r="Z207" s="222" t="s">
        <v>212</v>
      </c>
      <c r="AA207" s="232">
        <v>7748700</v>
      </c>
      <c r="AB207" s="233">
        <v>0</v>
      </c>
      <c r="AC207" s="215"/>
    </row>
    <row r="208" spans="1:29" ht="2.25" customHeight="1">
      <c r="A208" s="215"/>
      <c r="B208" s="529" t="s">
        <v>212</v>
      </c>
      <c r="C208" s="529"/>
      <c r="D208" s="219" t="s">
        <v>212</v>
      </c>
      <c r="E208" s="222" t="s">
        <v>212</v>
      </c>
      <c r="F208" s="531" t="s">
        <v>212</v>
      </c>
      <c r="G208" s="531"/>
      <c r="H208" s="222" t="s">
        <v>212</v>
      </c>
      <c r="I208" s="531" t="s">
        <v>212</v>
      </c>
      <c r="J208" s="531"/>
      <c r="K208" s="222" t="s">
        <v>212</v>
      </c>
      <c r="L208" s="222" t="s">
        <v>212</v>
      </c>
      <c r="M208" s="222" t="s">
        <v>212</v>
      </c>
      <c r="N208" s="222" t="s">
        <v>212</v>
      </c>
      <c r="O208" s="222" t="s">
        <v>212</v>
      </c>
      <c r="P208" s="222" t="s">
        <v>212</v>
      </c>
      <c r="Q208" s="222" t="s">
        <v>212</v>
      </c>
      <c r="R208" s="222" t="s">
        <v>212</v>
      </c>
      <c r="S208" s="222" t="s">
        <v>212</v>
      </c>
      <c r="T208" s="531" t="s">
        <v>212</v>
      </c>
      <c r="U208" s="531"/>
      <c r="V208" s="222" t="s">
        <v>212</v>
      </c>
      <c r="W208" s="222" t="s">
        <v>212</v>
      </c>
      <c r="X208" s="531" t="s">
        <v>212</v>
      </c>
      <c r="Y208" s="531"/>
      <c r="Z208" s="222" t="s">
        <v>212</v>
      </c>
      <c r="AA208" s="222" t="s">
        <v>212</v>
      </c>
      <c r="AB208" s="222" t="s">
        <v>212</v>
      </c>
      <c r="AC208" s="215"/>
    </row>
    <row r="209" spans="1:29" ht="13.5" customHeight="1">
      <c r="A209" s="215"/>
      <c r="B209" s="532">
        <v>39179</v>
      </c>
      <c r="C209" s="532"/>
      <c r="D209" s="219" t="s">
        <v>212</v>
      </c>
      <c r="E209" s="224">
        <v>0</v>
      </c>
      <c r="F209" s="533">
        <v>0</v>
      </c>
      <c r="G209" s="533"/>
      <c r="H209" s="224">
        <v>378.6</v>
      </c>
      <c r="I209" s="533">
        <v>24</v>
      </c>
      <c r="J209" s="533"/>
      <c r="K209" s="224">
        <v>290</v>
      </c>
      <c r="L209" s="225">
        <v>24</v>
      </c>
      <c r="M209" s="224">
        <v>0</v>
      </c>
      <c r="N209" s="225">
        <v>0</v>
      </c>
      <c r="O209" s="226">
        <v>668.6</v>
      </c>
      <c r="P209" s="222" t="s">
        <v>212</v>
      </c>
      <c r="Q209" s="224">
        <v>0</v>
      </c>
      <c r="R209" s="225">
        <v>0</v>
      </c>
      <c r="S209" s="224">
        <v>0</v>
      </c>
      <c r="T209" s="533">
        <v>0</v>
      </c>
      <c r="U209" s="533"/>
      <c r="V209" s="224">
        <v>0</v>
      </c>
      <c r="W209" s="222" t="s">
        <v>212</v>
      </c>
      <c r="X209" s="534">
        <v>668.6</v>
      </c>
      <c r="Y209" s="534"/>
      <c r="Z209" s="222" t="s">
        <v>212</v>
      </c>
      <c r="AA209" s="227">
        <v>8195800</v>
      </c>
      <c r="AB209" s="228">
        <v>0</v>
      </c>
      <c r="AC209" s="215"/>
    </row>
    <row r="210" spans="1:29" ht="2.25" customHeight="1">
      <c r="A210" s="215"/>
      <c r="B210" s="529" t="s">
        <v>212</v>
      </c>
      <c r="C210" s="529"/>
      <c r="D210" s="219" t="s">
        <v>212</v>
      </c>
      <c r="E210" s="222" t="s">
        <v>212</v>
      </c>
      <c r="F210" s="531" t="s">
        <v>212</v>
      </c>
      <c r="G210" s="531"/>
      <c r="H210" s="222" t="s">
        <v>212</v>
      </c>
      <c r="I210" s="531" t="s">
        <v>212</v>
      </c>
      <c r="J210" s="531"/>
      <c r="K210" s="222" t="s">
        <v>212</v>
      </c>
      <c r="L210" s="222" t="s">
        <v>212</v>
      </c>
      <c r="M210" s="222" t="s">
        <v>212</v>
      </c>
      <c r="N210" s="222" t="s">
        <v>212</v>
      </c>
      <c r="O210" s="222" t="s">
        <v>212</v>
      </c>
      <c r="P210" s="222" t="s">
        <v>212</v>
      </c>
      <c r="Q210" s="222" t="s">
        <v>212</v>
      </c>
      <c r="R210" s="222" t="s">
        <v>212</v>
      </c>
      <c r="S210" s="222" t="s">
        <v>212</v>
      </c>
      <c r="T210" s="531" t="s">
        <v>212</v>
      </c>
      <c r="U210" s="531"/>
      <c r="V210" s="222" t="s">
        <v>212</v>
      </c>
      <c r="W210" s="222" t="s">
        <v>212</v>
      </c>
      <c r="X210" s="531" t="s">
        <v>212</v>
      </c>
      <c r="Y210" s="531"/>
      <c r="Z210" s="222" t="s">
        <v>212</v>
      </c>
      <c r="AA210" s="222" t="s">
        <v>212</v>
      </c>
      <c r="AB210" s="222" t="s">
        <v>212</v>
      </c>
      <c r="AC210" s="215"/>
    </row>
    <row r="211" spans="1:29" ht="13.5" customHeight="1">
      <c r="A211" s="215"/>
      <c r="B211" s="535">
        <v>39180</v>
      </c>
      <c r="C211" s="535"/>
      <c r="D211" s="219" t="s">
        <v>212</v>
      </c>
      <c r="E211" s="229">
        <v>0</v>
      </c>
      <c r="F211" s="536">
        <v>0</v>
      </c>
      <c r="G211" s="536"/>
      <c r="H211" s="229">
        <v>391.4</v>
      </c>
      <c r="I211" s="536">
        <v>24</v>
      </c>
      <c r="J211" s="536"/>
      <c r="K211" s="229">
        <v>316.10000000000002</v>
      </c>
      <c r="L211" s="230">
        <v>24</v>
      </c>
      <c r="M211" s="229">
        <v>0</v>
      </c>
      <c r="N211" s="230">
        <v>0</v>
      </c>
      <c r="O211" s="231">
        <v>707.5</v>
      </c>
      <c r="P211" s="222" t="s">
        <v>212</v>
      </c>
      <c r="Q211" s="229">
        <v>0</v>
      </c>
      <c r="R211" s="230">
        <v>0</v>
      </c>
      <c r="S211" s="229">
        <v>0</v>
      </c>
      <c r="T211" s="536">
        <v>0</v>
      </c>
      <c r="U211" s="536"/>
      <c r="V211" s="229">
        <v>0</v>
      </c>
      <c r="W211" s="222" t="s">
        <v>212</v>
      </c>
      <c r="X211" s="530">
        <v>707.5</v>
      </c>
      <c r="Y211" s="530"/>
      <c r="Z211" s="222" t="s">
        <v>212</v>
      </c>
      <c r="AA211" s="232">
        <v>8540200</v>
      </c>
      <c r="AB211" s="233">
        <v>0</v>
      </c>
      <c r="AC211" s="215"/>
    </row>
    <row r="212" spans="1:29" ht="2.25" customHeight="1">
      <c r="A212" s="215"/>
      <c r="B212" s="529" t="s">
        <v>212</v>
      </c>
      <c r="C212" s="529"/>
      <c r="D212" s="219" t="s">
        <v>212</v>
      </c>
      <c r="E212" s="222" t="s">
        <v>212</v>
      </c>
      <c r="F212" s="531" t="s">
        <v>212</v>
      </c>
      <c r="G212" s="531"/>
      <c r="H212" s="222" t="s">
        <v>212</v>
      </c>
      <c r="I212" s="531" t="s">
        <v>212</v>
      </c>
      <c r="J212" s="531"/>
      <c r="K212" s="222" t="s">
        <v>212</v>
      </c>
      <c r="L212" s="222" t="s">
        <v>212</v>
      </c>
      <c r="M212" s="222" t="s">
        <v>212</v>
      </c>
      <c r="N212" s="222" t="s">
        <v>212</v>
      </c>
      <c r="O212" s="222" t="s">
        <v>212</v>
      </c>
      <c r="P212" s="222" t="s">
        <v>212</v>
      </c>
      <c r="Q212" s="222" t="s">
        <v>212</v>
      </c>
      <c r="R212" s="222" t="s">
        <v>212</v>
      </c>
      <c r="S212" s="222" t="s">
        <v>212</v>
      </c>
      <c r="T212" s="531" t="s">
        <v>212</v>
      </c>
      <c r="U212" s="531"/>
      <c r="V212" s="222" t="s">
        <v>212</v>
      </c>
      <c r="W212" s="222" t="s">
        <v>212</v>
      </c>
      <c r="X212" s="531" t="s">
        <v>212</v>
      </c>
      <c r="Y212" s="531"/>
      <c r="Z212" s="222" t="s">
        <v>212</v>
      </c>
      <c r="AA212" s="222" t="s">
        <v>212</v>
      </c>
      <c r="AB212" s="222" t="s">
        <v>212</v>
      </c>
      <c r="AC212" s="215"/>
    </row>
    <row r="213" spans="1:29" ht="13.5" customHeight="1">
      <c r="A213" s="215"/>
      <c r="B213" s="532">
        <v>39181</v>
      </c>
      <c r="C213" s="532"/>
      <c r="D213" s="219" t="s">
        <v>212</v>
      </c>
      <c r="E213" s="224">
        <v>0</v>
      </c>
      <c r="F213" s="533">
        <v>0</v>
      </c>
      <c r="G213" s="533"/>
      <c r="H213" s="224">
        <v>378.4</v>
      </c>
      <c r="I213" s="533">
        <v>24</v>
      </c>
      <c r="J213" s="533"/>
      <c r="K213" s="224">
        <v>296.60000000000002</v>
      </c>
      <c r="L213" s="225">
        <v>24</v>
      </c>
      <c r="M213" s="224">
        <v>0</v>
      </c>
      <c r="N213" s="225">
        <v>0</v>
      </c>
      <c r="O213" s="226">
        <v>675</v>
      </c>
      <c r="P213" s="222" t="s">
        <v>212</v>
      </c>
      <c r="Q213" s="224">
        <v>0</v>
      </c>
      <c r="R213" s="225">
        <v>0</v>
      </c>
      <c r="S213" s="224">
        <v>0</v>
      </c>
      <c r="T213" s="533">
        <v>0</v>
      </c>
      <c r="U213" s="533"/>
      <c r="V213" s="224">
        <v>0</v>
      </c>
      <c r="W213" s="222" t="s">
        <v>212</v>
      </c>
      <c r="X213" s="534">
        <v>675</v>
      </c>
      <c r="Y213" s="534"/>
      <c r="Z213" s="222" t="s">
        <v>212</v>
      </c>
      <c r="AA213" s="227">
        <v>8315500</v>
      </c>
      <c r="AB213" s="228">
        <v>0</v>
      </c>
      <c r="AC213" s="215"/>
    </row>
    <row r="214" spans="1:29" ht="2.25" customHeight="1">
      <c r="A214" s="215"/>
      <c r="B214" s="529" t="s">
        <v>212</v>
      </c>
      <c r="C214" s="529"/>
      <c r="D214" s="219" t="s">
        <v>212</v>
      </c>
      <c r="E214" s="222" t="s">
        <v>212</v>
      </c>
      <c r="F214" s="531" t="s">
        <v>212</v>
      </c>
      <c r="G214" s="531"/>
      <c r="H214" s="222" t="s">
        <v>212</v>
      </c>
      <c r="I214" s="531" t="s">
        <v>212</v>
      </c>
      <c r="J214" s="531"/>
      <c r="K214" s="222" t="s">
        <v>212</v>
      </c>
      <c r="L214" s="222" t="s">
        <v>212</v>
      </c>
      <c r="M214" s="222" t="s">
        <v>212</v>
      </c>
      <c r="N214" s="222" t="s">
        <v>212</v>
      </c>
      <c r="O214" s="222" t="s">
        <v>212</v>
      </c>
      <c r="P214" s="222" t="s">
        <v>212</v>
      </c>
      <c r="Q214" s="222" t="s">
        <v>212</v>
      </c>
      <c r="R214" s="222" t="s">
        <v>212</v>
      </c>
      <c r="S214" s="222" t="s">
        <v>212</v>
      </c>
      <c r="T214" s="531" t="s">
        <v>212</v>
      </c>
      <c r="U214" s="531"/>
      <c r="V214" s="222" t="s">
        <v>212</v>
      </c>
      <c r="W214" s="222" t="s">
        <v>212</v>
      </c>
      <c r="X214" s="531" t="s">
        <v>212</v>
      </c>
      <c r="Y214" s="531"/>
      <c r="Z214" s="222" t="s">
        <v>212</v>
      </c>
      <c r="AA214" s="222" t="s">
        <v>212</v>
      </c>
      <c r="AB214" s="222" t="s">
        <v>212</v>
      </c>
      <c r="AC214" s="215"/>
    </row>
    <row r="215" spans="1:29" ht="13.5" customHeight="1">
      <c r="A215" s="215"/>
      <c r="B215" s="535">
        <v>39182</v>
      </c>
      <c r="C215" s="535"/>
      <c r="D215" s="219" t="s">
        <v>212</v>
      </c>
      <c r="E215" s="229">
        <v>0</v>
      </c>
      <c r="F215" s="536">
        <v>0</v>
      </c>
      <c r="G215" s="536"/>
      <c r="H215" s="229">
        <v>378.3</v>
      </c>
      <c r="I215" s="536">
        <v>24</v>
      </c>
      <c r="J215" s="536"/>
      <c r="K215" s="229">
        <v>312.5</v>
      </c>
      <c r="L215" s="230">
        <v>24</v>
      </c>
      <c r="M215" s="229">
        <v>0</v>
      </c>
      <c r="N215" s="230">
        <v>0</v>
      </c>
      <c r="O215" s="231">
        <v>690.8</v>
      </c>
      <c r="P215" s="222" t="s">
        <v>212</v>
      </c>
      <c r="Q215" s="229">
        <v>0</v>
      </c>
      <c r="R215" s="230">
        <v>0</v>
      </c>
      <c r="S215" s="229">
        <v>0</v>
      </c>
      <c r="T215" s="536">
        <v>0</v>
      </c>
      <c r="U215" s="536"/>
      <c r="V215" s="229">
        <v>0</v>
      </c>
      <c r="W215" s="222" t="s">
        <v>212</v>
      </c>
      <c r="X215" s="530">
        <v>690.8</v>
      </c>
      <c r="Y215" s="530"/>
      <c r="Z215" s="222" t="s">
        <v>212</v>
      </c>
      <c r="AA215" s="232">
        <v>8479000</v>
      </c>
      <c r="AB215" s="233">
        <v>0</v>
      </c>
      <c r="AC215" s="215"/>
    </row>
    <row r="216" spans="1:29" ht="2.25" customHeight="1">
      <c r="A216" s="215"/>
      <c r="B216" s="529" t="s">
        <v>212</v>
      </c>
      <c r="C216" s="529"/>
      <c r="D216" s="219" t="s">
        <v>212</v>
      </c>
      <c r="E216" s="222" t="s">
        <v>212</v>
      </c>
      <c r="F216" s="531" t="s">
        <v>212</v>
      </c>
      <c r="G216" s="531"/>
      <c r="H216" s="222" t="s">
        <v>212</v>
      </c>
      <c r="I216" s="531" t="s">
        <v>212</v>
      </c>
      <c r="J216" s="531"/>
      <c r="K216" s="222" t="s">
        <v>212</v>
      </c>
      <c r="L216" s="222" t="s">
        <v>212</v>
      </c>
      <c r="M216" s="222" t="s">
        <v>212</v>
      </c>
      <c r="N216" s="222" t="s">
        <v>212</v>
      </c>
      <c r="O216" s="222" t="s">
        <v>212</v>
      </c>
      <c r="P216" s="222" t="s">
        <v>212</v>
      </c>
      <c r="Q216" s="222" t="s">
        <v>212</v>
      </c>
      <c r="R216" s="222" t="s">
        <v>212</v>
      </c>
      <c r="S216" s="222" t="s">
        <v>212</v>
      </c>
      <c r="T216" s="531" t="s">
        <v>212</v>
      </c>
      <c r="U216" s="531"/>
      <c r="V216" s="222" t="s">
        <v>212</v>
      </c>
      <c r="W216" s="222" t="s">
        <v>212</v>
      </c>
      <c r="X216" s="531" t="s">
        <v>212</v>
      </c>
      <c r="Y216" s="531"/>
      <c r="Z216" s="222" t="s">
        <v>212</v>
      </c>
      <c r="AA216" s="222" t="s">
        <v>212</v>
      </c>
      <c r="AB216" s="222" t="s">
        <v>212</v>
      </c>
      <c r="AC216" s="215"/>
    </row>
    <row r="217" spans="1:29" ht="13.5" customHeight="1">
      <c r="A217" s="215"/>
      <c r="B217" s="532">
        <v>39183</v>
      </c>
      <c r="C217" s="532"/>
      <c r="D217" s="219" t="s">
        <v>212</v>
      </c>
      <c r="E217" s="224">
        <v>0</v>
      </c>
      <c r="F217" s="533">
        <v>0</v>
      </c>
      <c r="G217" s="533"/>
      <c r="H217" s="224">
        <v>362.8</v>
      </c>
      <c r="I217" s="533">
        <v>24</v>
      </c>
      <c r="J217" s="533"/>
      <c r="K217" s="224">
        <v>313.89999999999998</v>
      </c>
      <c r="L217" s="225">
        <v>24</v>
      </c>
      <c r="M217" s="224">
        <v>0</v>
      </c>
      <c r="N217" s="225">
        <v>0</v>
      </c>
      <c r="O217" s="226">
        <v>676.7</v>
      </c>
      <c r="P217" s="222" t="s">
        <v>212</v>
      </c>
      <c r="Q217" s="224">
        <v>28</v>
      </c>
      <c r="R217" s="225">
        <v>9</v>
      </c>
      <c r="S217" s="224">
        <v>0</v>
      </c>
      <c r="T217" s="533">
        <v>0</v>
      </c>
      <c r="U217" s="533"/>
      <c r="V217" s="224">
        <v>28</v>
      </c>
      <c r="W217" s="222" t="s">
        <v>212</v>
      </c>
      <c r="X217" s="534">
        <v>704.7</v>
      </c>
      <c r="Y217" s="534"/>
      <c r="Z217" s="222" t="s">
        <v>212</v>
      </c>
      <c r="AA217" s="227">
        <v>7519300</v>
      </c>
      <c r="AB217" s="228">
        <v>32450</v>
      </c>
      <c r="AC217" s="215"/>
    </row>
    <row r="218" spans="1:29" ht="2.25" customHeight="1">
      <c r="A218" s="215"/>
      <c r="B218" s="529" t="s">
        <v>212</v>
      </c>
      <c r="C218" s="529"/>
      <c r="D218" s="219" t="s">
        <v>212</v>
      </c>
      <c r="E218" s="222" t="s">
        <v>212</v>
      </c>
      <c r="F218" s="531" t="s">
        <v>212</v>
      </c>
      <c r="G218" s="531"/>
      <c r="H218" s="222" t="s">
        <v>212</v>
      </c>
      <c r="I218" s="531" t="s">
        <v>212</v>
      </c>
      <c r="J218" s="531"/>
      <c r="K218" s="222" t="s">
        <v>212</v>
      </c>
      <c r="L218" s="222" t="s">
        <v>212</v>
      </c>
      <c r="M218" s="222" t="s">
        <v>212</v>
      </c>
      <c r="N218" s="222" t="s">
        <v>212</v>
      </c>
      <c r="O218" s="222" t="s">
        <v>212</v>
      </c>
      <c r="P218" s="222" t="s">
        <v>212</v>
      </c>
      <c r="Q218" s="222" t="s">
        <v>212</v>
      </c>
      <c r="R218" s="222" t="s">
        <v>212</v>
      </c>
      <c r="S218" s="222" t="s">
        <v>212</v>
      </c>
      <c r="T218" s="531" t="s">
        <v>212</v>
      </c>
      <c r="U218" s="531"/>
      <c r="V218" s="222" t="s">
        <v>212</v>
      </c>
      <c r="W218" s="222" t="s">
        <v>212</v>
      </c>
      <c r="X218" s="531" t="s">
        <v>212</v>
      </c>
      <c r="Y218" s="531"/>
      <c r="Z218" s="222" t="s">
        <v>212</v>
      </c>
      <c r="AA218" s="222" t="s">
        <v>212</v>
      </c>
      <c r="AB218" s="222" t="s">
        <v>212</v>
      </c>
      <c r="AC218" s="215"/>
    </row>
    <row r="219" spans="1:29" ht="13.5" customHeight="1">
      <c r="A219" s="215"/>
      <c r="B219" s="535">
        <v>39184</v>
      </c>
      <c r="C219" s="535"/>
      <c r="D219" s="219" t="s">
        <v>212</v>
      </c>
      <c r="E219" s="229">
        <v>0</v>
      </c>
      <c r="F219" s="536">
        <v>0</v>
      </c>
      <c r="G219" s="536"/>
      <c r="H219" s="229">
        <v>348.6</v>
      </c>
      <c r="I219" s="536">
        <v>24</v>
      </c>
      <c r="J219" s="536"/>
      <c r="K219" s="229">
        <v>301.5</v>
      </c>
      <c r="L219" s="230">
        <v>24</v>
      </c>
      <c r="M219" s="229">
        <v>0</v>
      </c>
      <c r="N219" s="230">
        <v>0</v>
      </c>
      <c r="O219" s="231">
        <v>650.1</v>
      </c>
      <c r="P219" s="222" t="s">
        <v>212</v>
      </c>
      <c r="Q219" s="229">
        <v>44</v>
      </c>
      <c r="R219" s="230">
        <v>19</v>
      </c>
      <c r="S219" s="229">
        <v>0</v>
      </c>
      <c r="T219" s="536">
        <v>0</v>
      </c>
      <c r="U219" s="536"/>
      <c r="V219" s="229">
        <v>44</v>
      </c>
      <c r="W219" s="222" t="s">
        <v>212</v>
      </c>
      <c r="X219" s="530">
        <v>694.1</v>
      </c>
      <c r="Y219" s="530"/>
      <c r="Z219" s="222" t="s">
        <v>212</v>
      </c>
      <c r="AA219" s="232">
        <v>8117000</v>
      </c>
      <c r="AB219" s="233">
        <v>0</v>
      </c>
      <c r="AC219" s="215"/>
    </row>
    <row r="220" spans="1:29" ht="2.25" customHeight="1">
      <c r="A220" s="215"/>
      <c r="B220" s="529" t="s">
        <v>212</v>
      </c>
      <c r="C220" s="529"/>
      <c r="D220" s="219" t="s">
        <v>212</v>
      </c>
      <c r="E220" s="222" t="s">
        <v>212</v>
      </c>
      <c r="F220" s="531" t="s">
        <v>212</v>
      </c>
      <c r="G220" s="531"/>
      <c r="H220" s="222" t="s">
        <v>212</v>
      </c>
      <c r="I220" s="531" t="s">
        <v>212</v>
      </c>
      <c r="J220" s="531"/>
      <c r="K220" s="222" t="s">
        <v>212</v>
      </c>
      <c r="L220" s="222" t="s">
        <v>212</v>
      </c>
      <c r="M220" s="222" t="s">
        <v>212</v>
      </c>
      <c r="N220" s="222" t="s">
        <v>212</v>
      </c>
      <c r="O220" s="222" t="s">
        <v>212</v>
      </c>
      <c r="P220" s="222" t="s">
        <v>212</v>
      </c>
      <c r="Q220" s="222" t="s">
        <v>212</v>
      </c>
      <c r="R220" s="222" t="s">
        <v>212</v>
      </c>
      <c r="S220" s="222" t="s">
        <v>212</v>
      </c>
      <c r="T220" s="531" t="s">
        <v>212</v>
      </c>
      <c r="U220" s="531"/>
      <c r="V220" s="222" t="s">
        <v>212</v>
      </c>
      <c r="W220" s="222" t="s">
        <v>212</v>
      </c>
      <c r="X220" s="531" t="s">
        <v>212</v>
      </c>
      <c r="Y220" s="531"/>
      <c r="Z220" s="222" t="s">
        <v>212</v>
      </c>
      <c r="AA220" s="222" t="s">
        <v>212</v>
      </c>
      <c r="AB220" s="222" t="s">
        <v>212</v>
      </c>
      <c r="AC220" s="215"/>
    </row>
    <row r="221" spans="1:29" ht="13.5" customHeight="1">
      <c r="A221" s="215"/>
      <c r="B221" s="532">
        <v>39185</v>
      </c>
      <c r="C221" s="532"/>
      <c r="D221" s="219" t="s">
        <v>212</v>
      </c>
      <c r="E221" s="224">
        <v>0</v>
      </c>
      <c r="F221" s="533">
        <v>0</v>
      </c>
      <c r="G221" s="533"/>
      <c r="H221" s="224">
        <v>350.9</v>
      </c>
      <c r="I221" s="533">
        <v>24</v>
      </c>
      <c r="J221" s="533"/>
      <c r="K221" s="224">
        <v>297.5</v>
      </c>
      <c r="L221" s="225">
        <v>24</v>
      </c>
      <c r="M221" s="224">
        <v>0</v>
      </c>
      <c r="N221" s="225">
        <v>0</v>
      </c>
      <c r="O221" s="226">
        <v>648.4</v>
      </c>
      <c r="P221" s="222" t="s">
        <v>212</v>
      </c>
      <c r="Q221" s="224">
        <v>0</v>
      </c>
      <c r="R221" s="225">
        <v>0</v>
      </c>
      <c r="S221" s="224">
        <v>0</v>
      </c>
      <c r="T221" s="533">
        <v>0</v>
      </c>
      <c r="U221" s="533"/>
      <c r="V221" s="224">
        <v>0</v>
      </c>
      <c r="W221" s="222" t="s">
        <v>212</v>
      </c>
      <c r="X221" s="534">
        <v>648.4</v>
      </c>
      <c r="Y221" s="534"/>
      <c r="Z221" s="222" t="s">
        <v>212</v>
      </c>
      <c r="AA221" s="227">
        <v>8206300</v>
      </c>
      <c r="AB221" s="228">
        <v>0</v>
      </c>
      <c r="AC221" s="215"/>
    </row>
    <row r="222" spans="1:29" ht="2.25" customHeight="1">
      <c r="A222" s="215"/>
      <c r="B222" s="529" t="s">
        <v>212</v>
      </c>
      <c r="C222" s="529"/>
      <c r="D222" s="219" t="s">
        <v>212</v>
      </c>
      <c r="E222" s="222" t="s">
        <v>212</v>
      </c>
      <c r="F222" s="531" t="s">
        <v>212</v>
      </c>
      <c r="G222" s="531"/>
      <c r="H222" s="222" t="s">
        <v>212</v>
      </c>
      <c r="I222" s="531" t="s">
        <v>212</v>
      </c>
      <c r="J222" s="531"/>
      <c r="K222" s="222" t="s">
        <v>212</v>
      </c>
      <c r="L222" s="222" t="s">
        <v>212</v>
      </c>
      <c r="M222" s="222" t="s">
        <v>212</v>
      </c>
      <c r="N222" s="222" t="s">
        <v>212</v>
      </c>
      <c r="O222" s="222" t="s">
        <v>212</v>
      </c>
      <c r="P222" s="222" t="s">
        <v>212</v>
      </c>
      <c r="Q222" s="222" t="s">
        <v>212</v>
      </c>
      <c r="R222" s="222" t="s">
        <v>212</v>
      </c>
      <c r="S222" s="222" t="s">
        <v>212</v>
      </c>
      <c r="T222" s="531" t="s">
        <v>212</v>
      </c>
      <c r="U222" s="531"/>
      <c r="V222" s="222" t="s">
        <v>212</v>
      </c>
      <c r="W222" s="222" t="s">
        <v>212</v>
      </c>
      <c r="X222" s="531" t="s">
        <v>212</v>
      </c>
      <c r="Y222" s="531"/>
      <c r="Z222" s="222" t="s">
        <v>212</v>
      </c>
      <c r="AA222" s="222" t="s">
        <v>212</v>
      </c>
      <c r="AB222" s="222" t="s">
        <v>212</v>
      </c>
      <c r="AC222" s="215"/>
    </row>
    <row r="223" spans="1:29" ht="13.5" customHeight="1">
      <c r="A223" s="215"/>
      <c r="B223" s="535">
        <v>39186</v>
      </c>
      <c r="C223" s="535"/>
      <c r="D223" s="219" t="s">
        <v>212</v>
      </c>
      <c r="E223" s="229">
        <v>17.100000000000001</v>
      </c>
      <c r="F223" s="536">
        <v>10</v>
      </c>
      <c r="G223" s="536"/>
      <c r="H223" s="229">
        <v>323.5</v>
      </c>
      <c r="I223" s="536">
        <v>24</v>
      </c>
      <c r="J223" s="536"/>
      <c r="K223" s="229">
        <v>284</v>
      </c>
      <c r="L223" s="230">
        <v>24</v>
      </c>
      <c r="M223" s="229">
        <v>0</v>
      </c>
      <c r="N223" s="230">
        <v>0</v>
      </c>
      <c r="O223" s="231">
        <v>624.6</v>
      </c>
      <c r="P223" s="222" t="s">
        <v>212</v>
      </c>
      <c r="Q223" s="229">
        <v>46</v>
      </c>
      <c r="R223" s="230">
        <v>7</v>
      </c>
      <c r="S223" s="229">
        <v>0</v>
      </c>
      <c r="T223" s="536">
        <v>0</v>
      </c>
      <c r="U223" s="536"/>
      <c r="V223" s="229">
        <v>46</v>
      </c>
      <c r="W223" s="222" t="s">
        <v>212</v>
      </c>
      <c r="X223" s="530">
        <v>670.6</v>
      </c>
      <c r="Y223" s="530"/>
      <c r="Z223" s="222" t="s">
        <v>212</v>
      </c>
      <c r="AA223" s="232">
        <v>8797200</v>
      </c>
      <c r="AB223" s="233">
        <v>866</v>
      </c>
      <c r="AC223" s="215"/>
    </row>
    <row r="224" spans="1:29" ht="2.25" customHeight="1">
      <c r="A224" s="215"/>
      <c r="B224" s="529" t="s">
        <v>212</v>
      </c>
      <c r="C224" s="529"/>
      <c r="D224" s="219" t="s">
        <v>212</v>
      </c>
      <c r="E224" s="222" t="s">
        <v>212</v>
      </c>
      <c r="F224" s="531" t="s">
        <v>212</v>
      </c>
      <c r="G224" s="531"/>
      <c r="H224" s="222" t="s">
        <v>212</v>
      </c>
      <c r="I224" s="531" t="s">
        <v>212</v>
      </c>
      <c r="J224" s="531"/>
      <c r="K224" s="222" t="s">
        <v>212</v>
      </c>
      <c r="L224" s="222" t="s">
        <v>212</v>
      </c>
      <c r="M224" s="222" t="s">
        <v>212</v>
      </c>
      <c r="N224" s="222" t="s">
        <v>212</v>
      </c>
      <c r="O224" s="222" t="s">
        <v>212</v>
      </c>
      <c r="P224" s="222" t="s">
        <v>212</v>
      </c>
      <c r="Q224" s="222" t="s">
        <v>212</v>
      </c>
      <c r="R224" s="222" t="s">
        <v>212</v>
      </c>
      <c r="S224" s="222" t="s">
        <v>212</v>
      </c>
      <c r="T224" s="531" t="s">
        <v>212</v>
      </c>
      <c r="U224" s="531"/>
      <c r="V224" s="222" t="s">
        <v>212</v>
      </c>
      <c r="W224" s="222" t="s">
        <v>212</v>
      </c>
      <c r="X224" s="531" t="s">
        <v>212</v>
      </c>
      <c r="Y224" s="531"/>
      <c r="Z224" s="222" t="s">
        <v>212</v>
      </c>
      <c r="AA224" s="222" t="s">
        <v>212</v>
      </c>
      <c r="AB224" s="222" t="s">
        <v>212</v>
      </c>
      <c r="AC224" s="215"/>
    </row>
    <row r="225" spans="1:29" ht="13.5" customHeight="1">
      <c r="A225" s="215"/>
      <c r="B225" s="532">
        <v>39187</v>
      </c>
      <c r="C225" s="532"/>
      <c r="D225" s="219" t="s">
        <v>212</v>
      </c>
      <c r="E225" s="224">
        <v>191.5</v>
      </c>
      <c r="F225" s="533">
        <v>24</v>
      </c>
      <c r="G225" s="533"/>
      <c r="H225" s="224">
        <v>196.9</v>
      </c>
      <c r="I225" s="533">
        <v>24</v>
      </c>
      <c r="J225" s="533"/>
      <c r="K225" s="224">
        <v>257.5</v>
      </c>
      <c r="L225" s="225">
        <v>24</v>
      </c>
      <c r="M225" s="224">
        <v>0</v>
      </c>
      <c r="N225" s="225">
        <v>0</v>
      </c>
      <c r="O225" s="226">
        <v>645.9</v>
      </c>
      <c r="P225" s="222" t="s">
        <v>212</v>
      </c>
      <c r="Q225" s="224">
        <v>28</v>
      </c>
      <c r="R225" s="225">
        <v>8</v>
      </c>
      <c r="S225" s="224">
        <v>0</v>
      </c>
      <c r="T225" s="533">
        <v>0</v>
      </c>
      <c r="U225" s="533"/>
      <c r="V225" s="224">
        <v>28</v>
      </c>
      <c r="W225" s="222" t="s">
        <v>212</v>
      </c>
      <c r="X225" s="534">
        <v>673.9</v>
      </c>
      <c r="Y225" s="534"/>
      <c r="Z225" s="222" t="s">
        <v>212</v>
      </c>
      <c r="AA225" s="227">
        <v>9135400</v>
      </c>
      <c r="AB225" s="228">
        <v>0</v>
      </c>
      <c r="AC225" s="215"/>
    </row>
    <row r="226" spans="1:29" ht="2.25" customHeight="1">
      <c r="A226" s="215"/>
      <c r="B226" s="529" t="s">
        <v>212</v>
      </c>
      <c r="C226" s="529"/>
      <c r="D226" s="219" t="s">
        <v>212</v>
      </c>
      <c r="E226" s="222" t="s">
        <v>212</v>
      </c>
      <c r="F226" s="531" t="s">
        <v>212</v>
      </c>
      <c r="G226" s="531"/>
      <c r="H226" s="222" t="s">
        <v>212</v>
      </c>
      <c r="I226" s="531" t="s">
        <v>212</v>
      </c>
      <c r="J226" s="531"/>
      <c r="K226" s="222" t="s">
        <v>212</v>
      </c>
      <c r="L226" s="222" t="s">
        <v>212</v>
      </c>
      <c r="M226" s="222" t="s">
        <v>212</v>
      </c>
      <c r="N226" s="222" t="s">
        <v>212</v>
      </c>
      <c r="O226" s="222" t="s">
        <v>212</v>
      </c>
      <c r="P226" s="222" t="s">
        <v>212</v>
      </c>
      <c r="Q226" s="222" t="s">
        <v>212</v>
      </c>
      <c r="R226" s="222" t="s">
        <v>212</v>
      </c>
      <c r="S226" s="222" t="s">
        <v>212</v>
      </c>
      <c r="T226" s="531" t="s">
        <v>212</v>
      </c>
      <c r="U226" s="531"/>
      <c r="V226" s="222" t="s">
        <v>212</v>
      </c>
      <c r="W226" s="222" t="s">
        <v>212</v>
      </c>
      <c r="X226" s="531" t="s">
        <v>212</v>
      </c>
      <c r="Y226" s="531"/>
      <c r="Z226" s="222" t="s">
        <v>212</v>
      </c>
      <c r="AA226" s="222" t="s">
        <v>212</v>
      </c>
      <c r="AB226" s="222" t="s">
        <v>212</v>
      </c>
      <c r="AC226" s="215"/>
    </row>
    <row r="227" spans="1:29" ht="13.5" customHeight="1">
      <c r="A227" s="215"/>
      <c r="B227" s="535">
        <v>39188</v>
      </c>
      <c r="C227" s="535"/>
      <c r="D227" s="219" t="s">
        <v>212</v>
      </c>
      <c r="E227" s="229">
        <v>188.5</v>
      </c>
      <c r="F227" s="536">
        <v>24</v>
      </c>
      <c r="G227" s="536"/>
      <c r="H227" s="229">
        <v>243.3</v>
      </c>
      <c r="I227" s="536">
        <v>24</v>
      </c>
      <c r="J227" s="536"/>
      <c r="K227" s="229">
        <v>225.4</v>
      </c>
      <c r="L227" s="230">
        <v>24</v>
      </c>
      <c r="M227" s="229">
        <v>0</v>
      </c>
      <c r="N227" s="230">
        <v>0</v>
      </c>
      <c r="O227" s="231">
        <v>657.2</v>
      </c>
      <c r="P227" s="222" t="s">
        <v>212</v>
      </c>
      <c r="Q227" s="229">
        <v>0</v>
      </c>
      <c r="R227" s="230">
        <v>0</v>
      </c>
      <c r="S227" s="229">
        <v>0</v>
      </c>
      <c r="T227" s="536">
        <v>0</v>
      </c>
      <c r="U227" s="536"/>
      <c r="V227" s="229">
        <v>0</v>
      </c>
      <c r="W227" s="222" t="s">
        <v>212</v>
      </c>
      <c r="X227" s="530">
        <v>657.2</v>
      </c>
      <c r="Y227" s="530"/>
      <c r="Z227" s="222" t="s">
        <v>212</v>
      </c>
      <c r="AA227" s="232">
        <v>10105000</v>
      </c>
      <c r="AB227" s="233">
        <v>0</v>
      </c>
      <c r="AC227" s="215"/>
    </row>
    <row r="228" spans="1:29" ht="2.25" customHeight="1">
      <c r="A228" s="215"/>
      <c r="B228" s="529" t="s">
        <v>212</v>
      </c>
      <c r="C228" s="529"/>
      <c r="D228" s="219" t="s">
        <v>212</v>
      </c>
      <c r="E228" s="222" t="s">
        <v>212</v>
      </c>
      <c r="F228" s="531" t="s">
        <v>212</v>
      </c>
      <c r="G228" s="531"/>
      <c r="H228" s="222" t="s">
        <v>212</v>
      </c>
      <c r="I228" s="531" t="s">
        <v>212</v>
      </c>
      <c r="J228" s="531"/>
      <c r="K228" s="222" t="s">
        <v>212</v>
      </c>
      <c r="L228" s="222" t="s">
        <v>212</v>
      </c>
      <c r="M228" s="222" t="s">
        <v>212</v>
      </c>
      <c r="N228" s="222" t="s">
        <v>212</v>
      </c>
      <c r="O228" s="222" t="s">
        <v>212</v>
      </c>
      <c r="P228" s="222" t="s">
        <v>212</v>
      </c>
      <c r="Q228" s="222" t="s">
        <v>212</v>
      </c>
      <c r="R228" s="222" t="s">
        <v>212</v>
      </c>
      <c r="S228" s="222" t="s">
        <v>212</v>
      </c>
      <c r="T228" s="531" t="s">
        <v>212</v>
      </c>
      <c r="U228" s="531"/>
      <c r="V228" s="222" t="s">
        <v>212</v>
      </c>
      <c r="W228" s="222" t="s">
        <v>212</v>
      </c>
      <c r="X228" s="531" t="s">
        <v>212</v>
      </c>
      <c r="Y228" s="531"/>
      <c r="Z228" s="222" t="s">
        <v>212</v>
      </c>
      <c r="AA228" s="222" t="s">
        <v>212</v>
      </c>
      <c r="AB228" s="222" t="s">
        <v>212</v>
      </c>
      <c r="AC228" s="215"/>
    </row>
    <row r="229" spans="1:29" ht="13.5" customHeight="1">
      <c r="A229" s="215"/>
      <c r="B229" s="532">
        <v>39189</v>
      </c>
      <c r="C229" s="532"/>
      <c r="D229" s="219" t="s">
        <v>212</v>
      </c>
      <c r="E229" s="224">
        <v>179</v>
      </c>
      <c r="F229" s="533">
        <v>24</v>
      </c>
      <c r="G229" s="533"/>
      <c r="H229" s="224">
        <v>257.5</v>
      </c>
      <c r="I229" s="533">
        <v>24</v>
      </c>
      <c r="J229" s="533"/>
      <c r="K229" s="224">
        <v>227</v>
      </c>
      <c r="L229" s="225">
        <v>24</v>
      </c>
      <c r="M229" s="224">
        <v>0</v>
      </c>
      <c r="N229" s="225">
        <v>0</v>
      </c>
      <c r="O229" s="226">
        <v>663.5</v>
      </c>
      <c r="P229" s="222" t="s">
        <v>212</v>
      </c>
      <c r="Q229" s="224">
        <v>0</v>
      </c>
      <c r="R229" s="225">
        <v>0</v>
      </c>
      <c r="S229" s="224">
        <v>0</v>
      </c>
      <c r="T229" s="533">
        <v>0</v>
      </c>
      <c r="U229" s="533"/>
      <c r="V229" s="224">
        <v>0</v>
      </c>
      <c r="W229" s="222" t="s">
        <v>212</v>
      </c>
      <c r="X229" s="534">
        <v>663.5</v>
      </c>
      <c r="Y229" s="534"/>
      <c r="Z229" s="222" t="s">
        <v>212</v>
      </c>
      <c r="AA229" s="227">
        <v>10056800</v>
      </c>
      <c r="AB229" s="228">
        <v>0</v>
      </c>
      <c r="AC229" s="215"/>
    </row>
    <row r="230" spans="1:29" ht="2.25" customHeight="1">
      <c r="A230" s="215"/>
      <c r="B230" s="529" t="s">
        <v>212</v>
      </c>
      <c r="C230" s="529"/>
      <c r="D230" s="219" t="s">
        <v>212</v>
      </c>
      <c r="E230" s="222" t="s">
        <v>212</v>
      </c>
      <c r="F230" s="531" t="s">
        <v>212</v>
      </c>
      <c r="G230" s="531"/>
      <c r="H230" s="222" t="s">
        <v>212</v>
      </c>
      <c r="I230" s="531" t="s">
        <v>212</v>
      </c>
      <c r="J230" s="531"/>
      <c r="K230" s="222" t="s">
        <v>212</v>
      </c>
      <c r="L230" s="222" t="s">
        <v>212</v>
      </c>
      <c r="M230" s="222" t="s">
        <v>212</v>
      </c>
      <c r="N230" s="222" t="s">
        <v>212</v>
      </c>
      <c r="O230" s="222" t="s">
        <v>212</v>
      </c>
      <c r="P230" s="222" t="s">
        <v>212</v>
      </c>
      <c r="Q230" s="222" t="s">
        <v>212</v>
      </c>
      <c r="R230" s="222" t="s">
        <v>212</v>
      </c>
      <c r="S230" s="222" t="s">
        <v>212</v>
      </c>
      <c r="T230" s="531" t="s">
        <v>212</v>
      </c>
      <c r="U230" s="531"/>
      <c r="V230" s="222" t="s">
        <v>212</v>
      </c>
      <c r="W230" s="222" t="s">
        <v>212</v>
      </c>
      <c r="X230" s="531" t="s">
        <v>212</v>
      </c>
      <c r="Y230" s="531"/>
      <c r="Z230" s="222" t="s">
        <v>212</v>
      </c>
      <c r="AA230" s="222" t="s">
        <v>212</v>
      </c>
      <c r="AB230" s="222" t="s">
        <v>212</v>
      </c>
      <c r="AC230" s="215"/>
    </row>
    <row r="231" spans="1:29" ht="13.5" customHeight="1">
      <c r="A231" s="215"/>
      <c r="B231" s="535">
        <v>39190</v>
      </c>
      <c r="C231" s="535"/>
      <c r="D231" s="219" t="s">
        <v>212</v>
      </c>
      <c r="E231" s="229">
        <v>189.3</v>
      </c>
      <c r="F231" s="536">
        <v>24</v>
      </c>
      <c r="G231" s="536"/>
      <c r="H231" s="229">
        <v>270.8</v>
      </c>
      <c r="I231" s="536">
        <v>24</v>
      </c>
      <c r="J231" s="536"/>
      <c r="K231" s="229">
        <v>236.2</v>
      </c>
      <c r="L231" s="230">
        <v>24</v>
      </c>
      <c r="M231" s="229">
        <v>0</v>
      </c>
      <c r="N231" s="230">
        <v>0</v>
      </c>
      <c r="O231" s="231">
        <v>696.3</v>
      </c>
      <c r="P231" s="222" t="s">
        <v>212</v>
      </c>
      <c r="Q231" s="229">
        <v>0</v>
      </c>
      <c r="R231" s="230">
        <v>0</v>
      </c>
      <c r="S231" s="229">
        <v>0</v>
      </c>
      <c r="T231" s="536">
        <v>0</v>
      </c>
      <c r="U231" s="536"/>
      <c r="V231" s="229">
        <v>0</v>
      </c>
      <c r="W231" s="222" t="s">
        <v>212</v>
      </c>
      <c r="X231" s="530">
        <v>696.3</v>
      </c>
      <c r="Y231" s="530"/>
      <c r="Z231" s="222" t="s">
        <v>212</v>
      </c>
      <c r="AA231" s="232">
        <v>10405100</v>
      </c>
      <c r="AB231" s="233">
        <v>0</v>
      </c>
      <c r="AC231" s="215"/>
    </row>
    <row r="232" spans="1:29" ht="2.25" customHeight="1">
      <c r="A232" s="215"/>
      <c r="B232" s="529" t="s">
        <v>212</v>
      </c>
      <c r="C232" s="529"/>
      <c r="D232" s="219" t="s">
        <v>212</v>
      </c>
      <c r="E232" s="222" t="s">
        <v>212</v>
      </c>
      <c r="F232" s="531" t="s">
        <v>212</v>
      </c>
      <c r="G232" s="531"/>
      <c r="H232" s="222" t="s">
        <v>212</v>
      </c>
      <c r="I232" s="531" t="s">
        <v>212</v>
      </c>
      <c r="J232" s="531"/>
      <c r="K232" s="222" t="s">
        <v>212</v>
      </c>
      <c r="L232" s="222" t="s">
        <v>212</v>
      </c>
      <c r="M232" s="222" t="s">
        <v>212</v>
      </c>
      <c r="N232" s="222" t="s">
        <v>212</v>
      </c>
      <c r="O232" s="222" t="s">
        <v>212</v>
      </c>
      <c r="P232" s="222" t="s">
        <v>212</v>
      </c>
      <c r="Q232" s="222" t="s">
        <v>212</v>
      </c>
      <c r="R232" s="222" t="s">
        <v>212</v>
      </c>
      <c r="S232" s="222" t="s">
        <v>212</v>
      </c>
      <c r="T232" s="531" t="s">
        <v>212</v>
      </c>
      <c r="U232" s="531"/>
      <c r="V232" s="222" t="s">
        <v>212</v>
      </c>
      <c r="W232" s="222" t="s">
        <v>212</v>
      </c>
      <c r="X232" s="531" t="s">
        <v>212</v>
      </c>
      <c r="Y232" s="531"/>
      <c r="Z232" s="222" t="s">
        <v>212</v>
      </c>
      <c r="AA232" s="222" t="s">
        <v>212</v>
      </c>
      <c r="AB232" s="222" t="s">
        <v>212</v>
      </c>
      <c r="AC232" s="215"/>
    </row>
    <row r="233" spans="1:29" ht="13.5" customHeight="1">
      <c r="A233" s="215"/>
      <c r="B233" s="532">
        <v>39191</v>
      </c>
      <c r="C233" s="532"/>
      <c r="D233" s="219" t="s">
        <v>212</v>
      </c>
      <c r="E233" s="224">
        <v>203.3</v>
      </c>
      <c r="F233" s="533">
        <v>24</v>
      </c>
      <c r="G233" s="533"/>
      <c r="H233" s="224">
        <v>316.8</v>
      </c>
      <c r="I233" s="533">
        <v>24</v>
      </c>
      <c r="J233" s="533"/>
      <c r="K233" s="224">
        <v>262</v>
      </c>
      <c r="L233" s="225">
        <v>24</v>
      </c>
      <c r="M233" s="224">
        <v>0</v>
      </c>
      <c r="N233" s="225">
        <v>0</v>
      </c>
      <c r="O233" s="226">
        <v>782.1</v>
      </c>
      <c r="P233" s="222" t="s">
        <v>212</v>
      </c>
      <c r="Q233" s="224">
        <v>0</v>
      </c>
      <c r="R233" s="225">
        <v>0</v>
      </c>
      <c r="S233" s="224">
        <v>0</v>
      </c>
      <c r="T233" s="533">
        <v>0</v>
      </c>
      <c r="U233" s="533"/>
      <c r="V233" s="224">
        <v>0</v>
      </c>
      <c r="W233" s="222" t="s">
        <v>212</v>
      </c>
      <c r="X233" s="534">
        <v>782.1</v>
      </c>
      <c r="Y233" s="534"/>
      <c r="Z233" s="222" t="s">
        <v>212</v>
      </c>
      <c r="AA233" s="227">
        <v>11073000</v>
      </c>
      <c r="AB233" s="228">
        <v>0</v>
      </c>
      <c r="AC233" s="215"/>
    </row>
    <row r="234" spans="1:29" ht="2.25" customHeight="1">
      <c r="A234" s="215"/>
      <c r="B234" s="529" t="s">
        <v>212</v>
      </c>
      <c r="C234" s="529"/>
      <c r="D234" s="219" t="s">
        <v>212</v>
      </c>
      <c r="E234" s="222" t="s">
        <v>212</v>
      </c>
      <c r="F234" s="531" t="s">
        <v>212</v>
      </c>
      <c r="G234" s="531"/>
      <c r="H234" s="222" t="s">
        <v>212</v>
      </c>
      <c r="I234" s="531" t="s">
        <v>212</v>
      </c>
      <c r="J234" s="531"/>
      <c r="K234" s="222" t="s">
        <v>212</v>
      </c>
      <c r="L234" s="222" t="s">
        <v>212</v>
      </c>
      <c r="M234" s="222" t="s">
        <v>212</v>
      </c>
      <c r="N234" s="222" t="s">
        <v>212</v>
      </c>
      <c r="O234" s="222" t="s">
        <v>212</v>
      </c>
      <c r="P234" s="222" t="s">
        <v>212</v>
      </c>
      <c r="Q234" s="222" t="s">
        <v>212</v>
      </c>
      <c r="R234" s="222" t="s">
        <v>212</v>
      </c>
      <c r="S234" s="222" t="s">
        <v>212</v>
      </c>
      <c r="T234" s="531" t="s">
        <v>212</v>
      </c>
      <c r="U234" s="531"/>
      <c r="V234" s="222" t="s">
        <v>212</v>
      </c>
      <c r="W234" s="222" t="s">
        <v>212</v>
      </c>
      <c r="X234" s="531" t="s">
        <v>212</v>
      </c>
      <c r="Y234" s="531"/>
      <c r="Z234" s="222" t="s">
        <v>212</v>
      </c>
      <c r="AA234" s="222" t="s">
        <v>212</v>
      </c>
      <c r="AB234" s="222" t="s">
        <v>212</v>
      </c>
      <c r="AC234" s="215"/>
    </row>
    <row r="235" spans="1:29" ht="13.5" customHeight="1">
      <c r="A235" s="215"/>
      <c r="B235" s="535">
        <v>39192</v>
      </c>
      <c r="C235" s="535"/>
      <c r="D235" s="219" t="s">
        <v>212</v>
      </c>
      <c r="E235" s="229">
        <v>178.5</v>
      </c>
      <c r="F235" s="536">
        <v>24</v>
      </c>
      <c r="G235" s="536"/>
      <c r="H235" s="229">
        <v>294.3</v>
      </c>
      <c r="I235" s="536">
        <v>24</v>
      </c>
      <c r="J235" s="536"/>
      <c r="K235" s="229">
        <v>262</v>
      </c>
      <c r="L235" s="230">
        <v>24</v>
      </c>
      <c r="M235" s="229">
        <v>0</v>
      </c>
      <c r="N235" s="230">
        <v>0</v>
      </c>
      <c r="O235" s="231">
        <v>734.8</v>
      </c>
      <c r="P235" s="222" t="s">
        <v>212</v>
      </c>
      <c r="Q235" s="229">
        <v>0</v>
      </c>
      <c r="R235" s="230">
        <v>0</v>
      </c>
      <c r="S235" s="229">
        <v>0</v>
      </c>
      <c r="T235" s="536">
        <v>0</v>
      </c>
      <c r="U235" s="536"/>
      <c r="V235" s="229">
        <v>0</v>
      </c>
      <c r="W235" s="222" t="s">
        <v>212</v>
      </c>
      <c r="X235" s="530">
        <v>734.8</v>
      </c>
      <c r="Y235" s="530"/>
      <c r="Z235" s="222" t="s">
        <v>212</v>
      </c>
      <c r="AA235" s="232">
        <v>10669800</v>
      </c>
      <c r="AB235" s="233">
        <v>0</v>
      </c>
      <c r="AC235" s="215"/>
    </row>
    <row r="236" spans="1:29" ht="2.25" customHeight="1">
      <c r="A236" s="215"/>
      <c r="B236" s="529" t="s">
        <v>212</v>
      </c>
      <c r="C236" s="529"/>
      <c r="D236" s="219" t="s">
        <v>212</v>
      </c>
      <c r="E236" s="222" t="s">
        <v>212</v>
      </c>
      <c r="F236" s="531" t="s">
        <v>212</v>
      </c>
      <c r="G236" s="531"/>
      <c r="H236" s="222" t="s">
        <v>212</v>
      </c>
      <c r="I236" s="531" t="s">
        <v>212</v>
      </c>
      <c r="J236" s="531"/>
      <c r="K236" s="222" t="s">
        <v>212</v>
      </c>
      <c r="L236" s="222" t="s">
        <v>212</v>
      </c>
      <c r="M236" s="222" t="s">
        <v>212</v>
      </c>
      <c r="N236" s="222" t="s">
        <v>212</v>
      </c>
      <c r="O236" s="222" t="s">
        <v>212</v>
      </c>
      <c r="P236" s="222" t="s">
        <v>212</v>
      </c>
      <c r="Q236" s="222" t="s">
        <v>212</v>
      </c>
      <c r="R236" s="222" t="s">
        <v>212</v>
      </c>
      <c r="S236" s="222" t="s">
        <v>212</v>
      </c>
      <c r="T236" s="531" t="s">
        <v>212</v>
      </c>
      <c r="U236" s="531"/>
      <c r="V236" s="222" t="s">
        <v>212</v>
      </c>
      <c r="W236" s="222" t="s">
        <v>212</v>
      </c>
      <c r="X236" s="531" t="s">
        <v>212</v>
      </c>
      <c r="Y236" s="531"/>
      <c r="Z236" s="222" t="s">
        <v>212</v>
      </c>
      <c r="AA236" s="222" t="s">
        <v>212</v>
      </c>
      <c r="AB236" s="222" t="s">
        <v>212</v>
      </c>
      <c r="AC236" s="215"/>
    </row>
    <row r="237" spans="1:29" ht="13.5" customHeight="1">
      <c r="A237" s="215"/>
      <c r="B237" s="532">
        <v>39193</v>
      </c>
      <c r="C237" s="532"/>
      <c r="D237" s="219" t="s">
        <v>212</v>
      </c>
      <c r="E237" s="224">
        <v>203.6</v>
      </c>
      <c r="F237" s="533">
        <v>24</v>
      </c>
      <c r="G237" s="533"/>
      <c r="H237" s="224">
        <v>293.5</v>
      </c>
      <c r="I237" s="533">
        <v>24</v>
      </c>
      <c r="J237" s="533"/>
      <c r="K237" s="224">
        <v>248.3</v>
      </c>
      <c r="L237" s="225">
        <v>24</v>
      </c>
      <c r="M237" s="224">
        <v>0</v>
      </c>
      <c r="N237" s="225">
        <v>0</v>
      </c>
      <c r="O237" s="226">
        <v>745.4</v>
      </c>
      <c r="P237" s="222" t="s">
        <v>212</v>
      </c>
      <c r="Q237" s="224">
        <v>0</v>
      </c>
      <c r="R237" s="225">
        <v>0</v>
      </c>
      <c r="S237" s="224">
        <v>0</v>
      </c>
      <c r="T237" s="533">
        <v>0</v>
      </c>
      <c r="U237" s="533"/>
      <c r="V237" s="224">
        <v>0</v>
      </c>
      <c r="W237" s="222" t="s">
        <v>212</v>
      </c>
      <c r="X237" s="534">
        <v>745.4</v>
      </c>
      <c r="Y237" s="534"/>
      <c r="Z237" s="222" t="s">
        <v>212</v>
      </c>
      <c r="AA237" s="227">
        <v>10784400</v>
      </c>
      <c r="AB237" s="228">
        <v>0</v>
      </c>
      <c r="AC237" s="215"/>
    </row>
    <row r="238" spans="1:29" ht="2.25" customHeight="1">
      <c r="A238" s="215"/>
      <c r="B238" s="529" t="s">
        <v>212</v>
      </c>
      <c r="C238" s="529"/>
      <c r="D238" s="219" t="s">
        <v>212</v>
      </c>
      <c r="E238" s="222" t="s">
        <v>212</v>
      </c>
      <c r="F238" s="531" t="s">
        <v>212</v>
      </c>
      <c r="G238" s="531"/>
      <c r="H238" s="222" t="s">
        <v>212</v>
      </c>
      <c r="I238" s="531" t="s">
        <v>212</v>
      </c>
      <c r="J238" s="531"/>
      <c r="K238" s="222" t="s">
        <v>212</v>
      </c>
      <c r="L238" s="222" t="s">
        <v>212</v>
      </c>
      <c r="M238" s="222" t="s">
        <v>212</v>
      </c>
      <c r="N238" s="222" t="s">
        <v>212</v>
      </c>
      <c r="O238" s="222" t="s">
        <v>212</v>
      </c>
      <c r="P238" s="222" t="s">
        <v>212</v>
      </c>
      <c r="Q238" s="222" t="s">
        <v>212</v>
      </c>
      <c r="R238" s="222" t="s">
        <v>212</v>
      </c>
      <c r="S238" s="222" t="s">
        <v>212</v>
      </c>
      <c r="T238" s="531" t="s">
        <v>212</v>
      </c>
      <c r="U238" s="531"/>
      <c r="V238" s="222" t="s">
        <v>212</v>
      </c>
      <c r="W238" s="222" t="s">
        <v>212</v>
      </c>
      <c r="X238" s="531" t="s">
        <v>212</v>
      </c>
      <c r="Y238" s="531"/>
      <c r="Z238" s="222" t="s">
        <v>212</v>
      </c>
      <c r="AA238" s="222" t="s">
        <v>212</v>
      </c>
      <c r="AB238" s="222" t="s">
        <v>212</v>
      </c>
      <c r="AC238" s="215"/>
    </row>
    <row r="239" spans="1:29" ht="13.5" customHeight="1">
      <c r="A239" s="215"/>
      <c r="B239" s="535">
        <v>39194</v>
      </c>
      <c r="C239" s="535"/>
      <c r="D239" s="219" t="s">
        <v>212</v>
      </c>
      <c r="E239" s="229">
        <v>228.7</v>
      </c>
      <c r="F239" s="536">
        <v>24</v>
      </c>
      <c r="G239" s="536"/>
      <c r="H239" s="229">
        <v>258</v>
      </c>
      <c r="I239" s="536">
        <v>24</v>
      </c>
      <c r="J239" s="536"/>
      <c r="K239" s="229">
        <v>226.9</v>
      </c>
      <c r="L239" s="230">
        <v>24</v>
      </c>
      <c r="M239" s="229">
        <v>0</v>
      </c>
      <c r="N239" s="230">
        <v>0</v>
      </c>
      <c r="O239" s="231">
        <v>713.6</v>
      </c>
      <c r="P239" s="222" t="s">
        <v>212</v>
      </c>
      <c r="Q239" s="229">
        <v>0</v>
      </c>
      <c r="R239" s="230">
        <v>0</v>
      </c>
      <c r="S239" s="229">
        <v>0</v>
      </c>
      <c r="T239" s="536">
        <v>0</v>
      </c>
      <c r="U239" s="536"/>
      <c r="V239" s="229">
        <v>0</v>
      </c>
      <c r="W239" s="222" t="s">
        <v>212</v>
      </c>
      <c r="X239" s="530">
        <v>713.6</v>
      </c>
      <c r="Y239" s="530"/>
      <c r="Z239" s="222" t="s">
        <v>212</v>
      </c>
      <c r="AA239" s="232">
        <v>10565000</v>
      </c>
      <c r="AB239" s="233">
        <v>0</v>
      </c>
      <c r="AC239" s="215"/>
    </row>
    <row r="240" spans="1:29" ht="2.25" customHeight="1">
      <c r="A240" s="215"/>
      <c r="B240" s="529" t="s">
        <v>212</v>
      </c>
      <c r="C240" s="529"/>
      <c r="D240" s="219" t="s">
        <v>212</v>
      </c>
      <c r="E240" s="222" t="s">
        <v>212</v>
      </c>
      <c r="F240" s="531" t="s">
        <v>212</v>
      </c>
      <c r="G240" s="531"/>
      <c r="H240" s="222" t="s">
        <v>212</v>
      </c>
      <c r="I240" s="531" t="s">
        <v>212</v>
      </c>
      <c r="J240" s="531"/>
      <c r="K240" s="222" t="s">
        <v>212</v>
      </c>
      <c r="L240" s="222" t="s">
        <v>212</v>
      </c>
      <c r="M240" s="222" t="s">
        <v>212</v>
      </c>
      <c r="N240" s="222" t="s">
        <v>212</v>
      </c>
      <c r="O240" s="222" t="s">
        <v>212</v>
      </c>
      <c r="P240" s="222" t="s">
        <v>212</v>
      </c>
      <c r="Q240" s="222" t="s">
        <v>212</v>
      </c>
      <c r="R240" s="222" t="s">
        <v>212</v>
      </c>
      <c r="S240" s="222" t="s">
        <v>212</v>
      </c>
      <c r="T240" s="531" t="s">
        <v>212</v>
      </c>
      <c r="U240" s="531"/>
      <c r="V240" s="222" t="s">
        <v>212</v>
      </c>
      <c r="W240" s="222" t="s">
        <v>212</v>
      </c>
      <c r="X240" s="531" t="s">
        <v>212</v>
      </c>
      <c r="Y240" s="531"/>
      <c r="Z240" s="222" t="s">
        <v>212</v>
      </c>
      <c r="AA240" s="222" t="s">
        <v>212</v>
      </c>
      <c r="AB240" s="222" t="s">
        <v>212</v>
      </c>
      <c r="AC240" s="215"/>
    </row>
    <row r="241" spans="1:29" ht="13.5" customHeight="1">
      <c r="A241" s="215"/>
      <c r="B241" s="532">
        <v>39195</v>
      </c>
      <c r="C241" s="532"/>
      <c r="D241" s="219" t="s">
        <v>212</v>
      </c>
      <c r="E241" s="224">
        <v>266.10000000000002</v>
      </c>
      <c r="F241" s="533">
        <v>24</v>
      </c>
      <c r="G241" s="533"/>
      <c r="H241" s="224">
        <v>103.8</v>
      </c>
      <c r="I241" s="533">
        <v>12</v>
      </c>
      <c r="J241" s="533"/>
      <c r="K241" s="224">
        <v>280.3</v>
      </c>
      <c r="L241" s="225">
        <v>24</v>
      </c>
      <c r="M241" s="224">
        <v>0</v>
      </c>
      <c r="N241" s="225">
        <v>0</v>
      </c>
      <c r="O241" s="226">
        <v>650.20000000000005</v>
      </c>
      <c r="P241" s="222" t="s">
        <v>212</v>
      </c>
      <c r="Q241" s="224">
        <v>18</v>
      </c>
      <c r="R241" s="225">
        <v>6</v>
      </c>
      <c r="S241" s="224">
        <v>0</v>
      </c>
      <c r="T241" s="533">
        <v>0</v>
      </c>
      <c r="U241" s="533"/>
      <c r="V241" s="224">
        <v>18</v>
      </c>
      <c r="W241" s="222" t="s">
        <v>212</v>
      </c>
      <c r="X241" s="534">
        <v>668.2</v>
      </c>
      <c r="Y241" s="534"/>
      <c r="Z241" s="222" t="s">
        <v>212</v>
      </c>
      <c r="AA241" s="227">
        <v>9289000</v>
      </c>
      <c r="AB241" s="228">
        <v>0</v>
      </c>
      <c r="AC241" s="215"/>
    </row>
    <row r="242" spans="1:29" ht="2.25" customHeight="1">
      <c r="A242" s="215"/>
      <c r="B242" s="529" t="s">
        <v>212</v>
      </c>
      <c r="C242" s="529"/>
      <c r="D242" s="219" t="s">
        <v>212</v>
      </c>
      <c r="E242" s="222" t="s">
        <v>212</v>
      </c>
      <c r="F242" s="531" t="s">
        <v>212</v>
      </c>
      <c r="G242" s="531"/>
      <c r="H242" s="222" t="s">
        <v>212</v>
      </c>
      <c r="I242" s="531" t="s">
        <v>212</v>
      </c>
      <c r="J242" s="531"/>
      <c r="K242" s="222" t="s">
        <v>212</v>
      </c>
      <c r="L242" s="222" t="s">
        <v>212</v>
      </c>
      <c r="M242" s="222" t="s">
        <v>212</v>
      </c>
      <c r="N242" s="222" t="s">
        <v>212</v>
      </c>
      <c r="O242" s="222" t="s">
        <v>212</v>
      </c>
      <c r="P242" s="222" t="s">
        <v>212</v>
      </c>
      <c r="Q242" s="222" t="s">
        <v>212</v>
      </c>
      <c r="R242" s="222" t="s">
        <v>212</v>
      </c>
      <c r="S242" s="222" t="s">
        <v>212</v>
      </c>
      <c r="T242" s="531" t="s">
        <v>212</v>
      </c>
      <c r="U242" s="531"/>
      <c r="V242" s="222" t="s">
        <v>212</v>
      </c>
      <c r="W242" s="222" t="s">
        <v>212</v>
      </c>
      <c r="X242" s="531" t="s">
        <v>212</v>
      </c>
      <c r="Y242" s="531"/>
      <c r="Z242" s="222" t="s">
        <v>212</v>
      </c>
      <c r="AA242" s="222" t="s">
        <v>212</v>
      </c>
      <c r="AB242" s="222" t="s">
        <v>212</v>
      </c>
      <c r="AC242" s="215"/>
    </row>
    <row r="243" spans="1:29" ht="13.5" customHeight="1">
      <c r="A243" s="215"/>
      <c r="B243" s="535">
        <v>39196</v>
      </c>
      <c r="C243" s="535"/>
      <c r="D243" s="219" t="s">
        <v>212</v>
      </c>
      <c r="E243" s="229">
        <v>313.5</v>
      </c>
      <c r="F243" s="536">
        <v>24</v>
      </c>
      <c r="G243" s="536"/>
      <c r="H243" s="229">
        <v>0</v>
      </c>
      <c r="I243" s="536">
        <v>0</v>
      </c>
      <c r="J243" s="536"/>
      <c r="K243" s="229">
        <v>348.8</v>
      </c>
      <c r="L243" s="230">
        <v>24</v>
      </c>
      <c r="M243" s="229">
        <v>0</v>
      </c>
      <c r="N243" s="230">
        <v>0</v>
      </c>
      <c r="O243" s="231">
        <v>662.3</v>
      </c>
      <c r="P243" s="222" t="s">
        <v>212</v>
      </c>
      <c r="Q243" s="229">
        <v>105</v>
      </c>
      <c r="R243" s="230">
        <v>24</v>
      </c>
      <c r="S243" s="229">
        <v>0</v>
      </c>
      <c r="T243" s="536">
        <v>0</v>
      </c>
      <c r="U243" s="536"/>
      <c r="V243" s="229">
        <v>105</v>
      </c>
      <c r="W243" s="222" t="s">
        <v>212</v>
      </c>
      <c r="X243" s="530">
        <v>767.3</v>
      </c>
      <c r="Y243" s="530"/>
      <c r="Z243" s="222" t="s">
        <v>212</v>
      </c>
      <c r="AA243" s="232">
        <v>8444000</v>
      </c>
      <c r="AB243" s="233">
        <v>0</v>
      </c>
      <c r="AC243" s="215"/>
    </row>
    <row r="244" spans="1:29" ht="2.25" customHeight="1">
      <c r="A244" s="215"/>
      <c r="B244" s="529" t="s">
        <v>212</v>
      </c>
      <c r="C244" s="529"/>
      <c r="D244" s="219" t="s">
        <v>212</v>
      </c>
      <c r="E244" s="222" t="s">
        <v>212</v>
      </c>
      <c r="F244" s="531" t="s">
        <v>212</v>
      </c>
      <c r="G244" s="531"/>
      <c r="H244" s="222" t="s">
        <v>212</v>
      </c>
      <c r="I244" s="531" t="s">
        <v>212</v>
      </c>
      <c r="J244" s="531"/>
      <c r="K244" s="222" t="s">
        <v>212</v>
      </c>
      <c r="L244" s="222" t="s">
        <v>212</v>
      </c>
      <c r="M244" s="222" t="s">
        <v>212</v>
      </c>
      <c r="N244" s="222" t="s">
        <v>212</v>
      </c>
      <c r="O244" s="222" t="s">
        <v>212</v>
      </c>
      <c r="P244" s="222" t="s">
        <v>212</v>
      </c>
      <c r="Q244" s="222" t="s">
        <v>212</v>
      </c>
      <c r="R244" s="222" t="s">
        <v>212</v>
      </c>
      <c r="S244" s="222" t="s">
        <v>212</v>
      </c>
      <c r="T244" s="531" t="s">
        <v>212</v>
      </c>
      <c r="U244" s="531"/>
      <c r="V244" s="222" t="s">
        <v>212</v>
      </c>
      <c r="W244" s="222" t="s">
        <v>212</v>
      </c>
      <c r="X244" s="531" t="s">
        <v>212</v>
      </c>
      <c r="Y244" s="531"/>
      <c r="Z244" s="222" t="s">
        <v>212</v>
      </c>
      <c r="AA244" s="222" t="s">
        <v>212</v>
      </c>
      <c r="AB244" s="222" t="s">
        <v>212</v>
      </c>
      <c r="AC244" s="215"/>
    </row>
    <row r="245" spans="1:29" ht="13.5" customHeight="1">
      <c r="A245" s="215"/>
      <c r="B245" s="532">
        <v>39197</v>
      </c>
      <c r="C245" s="532"/>
      <c r="D245" s="219" t="s">
        <v>212</v>
      </c>
      <c r="E245" s="224">
        <v>300.60000000000002</v>
      </c>
      <c r="F245" s="533">
        <v>24</v>
      </c>
      <c r="G245" s="533"/>
      <c r="H245" s="224">
        <v>0</v>
      </c>
      <c r="I245" s="533">
        <v>0</v>
      </c>
      <c r="J245" s="533"/>
      <c r="K245" s="224">
        <v>330.1</v>
      </c>
      <c r="L245" s="225">
        <v>24</v>
      </c>
      <c r="M245" s="224">
        <v>0</v>
      </c>
      <c r="N245" s="225">
        <v>0</v>
      </c>
      <c r="O245" s="226">
        <v>630.70000000000005</v>
      </c>
      <c r="P245" s="222" t="s">
        <v>212</v>
      </c>
      <c r="Q245" s="224">
        <v>103</v>
      </c>
      <c r="R245" s="225">
        <v>24</v>
      </c>
      <c r="S245" s="224">
        <v>0</v>
      </c>
      <c r="T245" s="533">
        <v>0</v>
      </c>
      <c r="U245" s="533"/>
      <c r="V245" s="224">
        <v>103</v>
      </c>
      <c r="W245" s="222" t="s">
        <v>212</v>
      </c>
      <c r="X245" s="534">
        <v>733.7</v>
      </c>
      <c r="Y245" s="534"/>
      <c r="Z245" s="222" t="s">
        <v>212</v>
      </c>
      <c r="AA245" s="227">
        <v>8225500</v>
      </c>
      <c r="AB245" s="228">
        <v>0</v>
      </c>
      <c r="AC245" s="215"/>
    </row>
    <row r="246" spans="1:29" ht="2.25" customHeight="1">
      <c r="A246" s="215"/>
      <c r="B246" s="529" t="s">
        <v>212</v>
      </c>
      <c r="C246" s="529"/>
      <c r="D246" s="219" t="s">
        <v>212</v>
      </c>
      <c r="E246" s="222" t="s">
        <v>212</v>
      </c>
      <c r="F246" s="531" t="s">
        <v>212</v>
      </c>
      <c r="G246" s="531"/>
      <c r="H246" s="222" t="s">
        <v>212</v>
      </c>
      <c r="I246" s="531" t="s">
        <v>212</v>
      </c>
      <c r="J246" s="531"/>
      <c r="K246" s="222" t="s">
        <v>212</v>
      </c>
      <c r="L246" s="222" t="s">
        <v>212</v>
      </c>
      <c r="M246" s="222" t="s">
        <v>212</v>
      </c>
      <c r="N246" s="222" t="s">
        <v>212</v>
      </c>
      <c r="O246" s="222" t="s">
        <v>212</v>
      </c>
      <c r="P246" s="222" t="s">
        <v>212</v>
      </c>
      <c r="Q246" s="222" t="s">
        <v>212</v>
      </c>
      <c r="R246" s="222" t="s">
        <v>212</v>
      </c>
      <c r="S246" s="222" t="s">
        <v>212</v>
      </c>
      <c r="T246" s="531" t="s">
        <v>212</v>
      </c>
      <c r="U246" s="531"/>
      <c r="V246" s="222" t="s">
        <v>212</v>
      </c>
      <c r="W246" s="222" t="s">
        <v>212</v>
      </c>
      <c r="X246" s="531" t="s">
        <v>212</v>
      </c>
      <c r="Y246" s="531"/>
      <c r="Z246" s="222" t="s">
        <v>212</v>
      </c>
      <c r="AA246" s="222" t="s">
        <v>212</v>
      </c>
      <c r="AB246" s="222" t="s">
        <v>212</v>
      </c>
      <c r="AC246" s="215"/>
    </row>
    <row r="247" spans="1:29" ht="13.5" customHeight="1">
      <c r="A247" s="215"/>
      <c r="B247" s="535">
        <v>39198</v>
      </c>
      <c r="C247" s="535"/>
      <c r="D247" s="219" t="s">
        <v>212</v>
      </c>
      <c r="E247" s="229">
        <v>285.10000000000002</v>
      </c>
      <c r="F247" s="536">
        <v>24</v>
      </c>
      <c r="G247" s="536"/>
      <c r="H247" s="229">
        <v>0</v>
      </c>
      <c r="I247" s="536">
        <v>0</v>
      </c>
      <c r="J247" s="536"/>
      <c r="K247" s="229">
        <v>303.8</v>
      </c>
      <c r="L247" s="230">
        <v>24</v>
      </c>
      <c r="M247" s="229">
        <v>0</v>
      </c>
      <c r="N247" s="230">
        <v>0</v>
      </c>
      <c r="O247" s="231">
        <v>588.9</v>
      </c>
      <c r="P247" s="222" t="s">
        <v>212</v>
      </c>
      <c r="Q247" s="229">
        <v>105</v>
      </c>
      <c r="R247" s="230">
        <v>24</v>
      </c>
      <c r="S247" s="229">
        <v>0</v>
      </c>
      <c r="T247" s="536">
        <v>0</v>
      </c>
      <c r="U247" s="536"/>
      <c r="V247" s="229">
        <v>105</v>
      </c>
      <c r="W247" s="222" t="s">
        <v>212</v>
      </c>
      <c r="X247" s="530">
        <v>693.9</v>
      </c>
      <c r="Y247" s="530"/>
      <c r="Z247" s="222" t="s">
        <v>212</v>
      </c>
      <c r="AA247" s="232">
        <v>7363200</v>
      </c>
      <c r="AB247" s="233">
        <v>0</v>
      </c>
      <c r="AC247" s="215"/>
    </row>
    <row r="248" spans="1:29" ht="2.25" customHeight="1">
      <c r="A248" s="215"/>
      <c r="B248" s="529" t="s">
        <v>212</v>
      </c>
      <c r="C248" s="529"/>
      <c r="D248" s="219" t="s">
        <v>212</v>
      </c>
      <c r="E248" s="222" t="s">
        <v>212</v>
      </c>
      <c r="F248" s="531" t="s">
        <v>212</v>
      </c>
      <c r="G248" s="531"/>
      <c r="H248" s="222" t="s">
        <v>212</v>
      </c>
      <c r="I248" s="531" t="s">
        <v>212</v>
      </c>
      <c r="J248" s="531"/>
      <c r="K248" s="222" t="s">
        <v>212</v>
      </c>
      <c r="L248" s="222" t="s">
        <v>212</v>
      </c>
      <c r="M248" s="222" t="s">
        <v>212</v>
      </c>
      <c r="N248" s="222" t="s">
        <v>212</v>
      </c>
      <c r="O248" s="222" t="s">
        <v>212</v>
      </c>
      <c r="P248" s="222" t="s">
        <v>212</v>
      </c>
      <c r="Q248" s="222" t="s">
        <v>212</v>
      </c>
      <c r="R248" s="222" t="s">
        <v>212</v>
      </c>
      <c r="S248" s="222" t="s">
        <v>212</v>
      </c>
      <c r="T248" s="531" t="s">
        <v>212</v>
      </c>
      <c r="U248" s="531"/>
      <c r="V248" s="222" t="s">
        <v>212</v>
      </c>
      <c r="W248" s="222" t="s">
        <v>212</v>
      </c>
      <c r="X248" s="531" t="s">
        <v>212</v>
      </c>
      <c r="Y248" s="531"/>
      <c r="Z248" s="222" t="s">
        <v>212</v>
      </c>
      <c r="AA248" s="222" t="s">
        <v>212</v>
      </c>
      <c r="AB248" s="222" t="s">
        <v>212</v>
      </c>
      <c r="AC248" s="215"/>
    </row>
    <row r="249" spans="1:29" ht="13.5" customHeight="1">
      <c r="A249" s="215"/>
      <c r="B249" s="532">
        <v>39199</v>
      </c>
      <c r="C249" s="532"/>
      <c r="D249" s="219" t="s">
        <v>212</v>
      </c>
      <c r="E249" s="224">
        <v>233.1</v>
      </c>
      <c r="F249" s="533">
        <v>24</v>
      </c>
      <c r="G249" s="533"/>
      <c r="H249" s="224">
        <v>0</v>
      </c>
      <c r="I249" s="533">
        <v>0</v>
      </c>
      <c r="J249" s="533"/>
      <c r="K249" s="224">
        <v>264</v>
      </c>
      <c r="L249" s="225">
        <v>24</v>
      </c>
      <c r="M249" s="224">
        <v>0</v>
      </c>
      <c r="N249" s="225">
        <v>0</v>
      </c>
      <c r="O249" s="226">
        <v>497.1</v>
      </c>
      <c r="P249" s="222" t="s">
        <v>212</v>
      </c>
      <c r="Q249" s="224">
        <v>82</v>
      </c>
      <c r="R249" s="225">
        <v>21</v>
      </c>
      <c r="S249" s="224">
        <v>0</v>
      </c>
      <c r="T249" s="533">
        <v>0</v>
      </c>
      <c r="U249" s="533"/>
      <c r="V249" s="224">
        <v>82</v>
      </c>
      <c r="W249" s="222" t="s">
        <v>212</v>
      </c>
      <c r="X249" s="534">
        <v>579.1</v>
      </c>
      <c r="Y249" s="534"/>
      <c r="Z249" s="222" t="s">
        <v>212</v>
      </c>
      <c r="AA249" s="227">
        <v>6755800</v>
      </c>
      <c r="AB249" s="228">
        <v>0</v>
      </c>
      <c r="AC249" s="215"/>
    </row>
    <row r="250" spans="1:29" ht="2.25" customHeight="1">
      <c r="A250" s="215"/>
      <c r="B250" s="529" t="s">
        <v>212</v>
      </c>
      <c r="C250" s="529"/>
      <c r="D250" s="219" t="s">
        <v>212</v>
      </c>
      <c r="E250" s="222" t="s">
        <v>212</v>
      </c>
      <c r="F250" s="531" t="s">
        <v>212</v>
      </c>
      <c r="G250" s="531"/>
      <c r="H250" s="222" t="s">
        <v>212</v>
      </c>
      <c r="I250" s="531" t="s">
        <v>212</v>
      </c>
      <c r="J250" s="531"/>
      <c r="K250" s="222" t="s">
        <v>212</v>
      </c>
      <c r="L250" s="222" t="s">
        <v>212</v>
      </c>
      <c r="M250" s="222" t="s">
        <v>212</v>
      </c>
      <c r="N250" s="222" t="s">
        <v>212</v>
      </c>
      <c r="O250" s="222" t="s">
        <v>212</v>
      </c>
      <c r="P250" s="222" t="s">
        <v>212</v>
      </c>
      <c r="Q250" s="222" t="s">
        <v>212</v>
      </c>
      <c r="R250" s="222" t="s">
        <v>212</v>
      </c>
      <c r="S250" s="222" t="s">
        <v>212</v>
      </c>
      <c r="T250" s="531" t="s">
        <v>212</v>
      </c>
      <c r="U250" s="531"/>
      <c r="V250" s="222" t="s">
        <v>212</v>
      </c>
      <c r="W250" s="222" t="s">
        <v>212</v>
      </c>
      <c r="X250" s="531" t="s">
        <v>212</v>
      </c>
      <c r="Y250" s="531"/>
      <c r="Z250" s="222" t="s">
        <v>212</v>
      </c>
      <c r="AA250" s="222" t="s">
        <v>212</v>
      </c>
      <c r="AB250" s="222" t="s">
        <v>212</v>
      </c>
      <c r="AC250" s="215"/>
    </row>
    <row r="251" spans="1:29" ht="13.5" customHeight="1">
      <c r="A251" s="215"/>
      <c r="B251" s="535">
        <v>39200</v>
      </c>
      <c r="C251" s="535"/>
      <c r="D251" s="219" t="s">
        <v>212</v>
      </c>
      <c r="E251" s="229">
        <v>203.4</v>
      </c>
      <c r="F251" s="536">
        <v>24</v>
      </c>
      <c r="G251" s="536"/>
      <c r="H251" s="229">
        <v>106.8</v>
      </c>
      <c r="I251" s="536">
        <v>12</v>
      </c>
      <c r="J251" s="536"/>
      <c r="K251" s="229">
        <v>228.8</v>
      </c>
      <c r="L251" s="230">
        <v>24</v>
      </c>
      <c r="M251" s="229">
        <v>0</v>
      </c>
      <c r="N251" s="230">
        <v>0</v>
      </c>
      <c r="O251" s="231">
        <v>539</v>
      </c>
      <c r="P251" s="222" t="s">
        <v>212</v>
      </c>
      <c r="Q251" s="229">
        <v>0</v>
      </c>
      <c r="R251" s="230">
        <v>0</v>
      </c>
      <c r="S251" s="229">
        <v>0</v>
      </c>
      <c r="T251" s="536">
        <v>0</v>
      </c>
      <c r="U251" s="536"/>
      <c r="V251" s="229">
        <v>0</v>
      </c>
      <c r="W251" s="222" t="s">
        <v>212</v>
      </c>
      <c r="X251" s="530">
        <v>539</v>
      </c>
      <c r="Y251" s="530"/>
      <c r="Z251" s="222" t="s">
        <v>212</v>
      </c>
      <c r="AA251" s="232">
        <v>7897400</v>
      </c>
      <c r="AB251" s="233">
        <v>1028</v>
      </c>
      <c r="AC251" s="215"/>
    </row>
    <row r="252" spans="1:29" ht="2.25" customHeight="1">
      <c r="A252" s="215"/>
      <c r="B252" s="529" t="s">
        <v>212</v>
      </c>
      <c r="C252" s="529"/>
      <c r="D252" s="219" t="s">
        <v>212</v>
      </c>
      <c r="E252" s="222" t="s">
        <v>212</v>
      </c>
      <c r="F252" s="531" t="s">
        <v>212</v>
      </c>
      <c r="G252" s="531"/>
      <c r="H252" s="222" t="s">
        <v>212</v>
      </c>
      <c r="I252" s="531" t="s">
        <v>212</v>
      </c>
      <c r="J252" s="531"/>
      <c r="K252" s="222" t="s">
        <v>212</v>
      </c>
      <c r="L252" s="222" t="s">
        <v>212</v>
      </c>
      <c r="M252" s="222" t="s">
        <v>212</v>
      </c>
      <c r="N252" s="222" t="s">
        <v>212</v>
      </c>
      <c r="O252" s="222" t="s">
        <v>212</v>
      </c>
      <c r="P252" s="222" t="s">
        <v>212</v>
      </c>
      <c r="Q252" s="222" t="s">
        <v>212</v>
      </c>
      <c r="R252" s="222" t="s">
        <v>212</v>
      </c>
      <c r="S252" s="222" t="s">
        <v>212</v>
      </c>
      <c r="T252" s="531" t="s">
        <v>212</v>
      </c>
      <c r="U252" s="531"/>
      <c r="V252" s="222" t="s">
        <v>212</v>
      </c>
      <c r="W252" s="222" t="s">
        <v>212</v>
      </c>
      <c r="X252" s="531" t="s">
        <v>212</v>
      </c>
      <c r="Y252" s="531"/>
      <c r="Z252" s="222" t="s">
        <v>212</v>
      </c>
      <c r="AA252" s="222" t="s">
        <v>212</v>
      </c>
      <c r="AB252" s="222" t="s">
        <v>212</v>
      </c>
      <c r="AC252" s="215"/>
    </row>
    <row r="253" spans="1:29" ht="13.5" customHeight="1">
      <c r="A253" s="215"/>
      <c r="B253" s="532">
        <v>39201</v>
      </c>
      <c r="C253" s="532"/>
      <c r="D253" s="219" t="s">
        <v>212</v>
      </c>
      <c r="E253" s="224">
        <v>2.1</v>
      </c>
      <c r="F253" s="533">
        <v>1</v>
      </c>
      <c r="G253" s="533"/>
      <c r="H253" s="224">
        <v>343.8</v>
      </c>
      <c r="I253" s="533">
        <v>24</v>
      </c>
      <c r="J253" s="533"/>
      <c r="K253" s="224">
        <v>279.89999999999998</v>
      </c>
      <c r="L253" s="225">
        <v>24</v>
      </c>
      <c r="M253" s="224">
        <v>0</v>
      </c>
      <c r="N253" s="225">
        <v>0</v>
      </c>
      <c r="O253" s="226">
        <v>625.79999999999995</v>
      </c>
      <c r="P253" s="222" t="s">
        <v>212</v>
      </c>
      <c r="Q253" s="224">
        <v>0</v>
      </c>
      <c r="R253" s="225">
        <v>0</v>
      </c>
      <c r="S253" s="224">
        <v>0</v>
      </c>
      <c r="T253" s="533">
        <v>0</v>
      </c>
      <c r="U253" s="533"/>
      <c r="V253" s="224">
        <v>0</v>
      </c>
      <c r="W253" s="222" t="s">
        <v>212</v>
      </c>
      <c r="X253" s="534">
        <v>625.79999999999995</v>
      </c>
      <c r="Y253" s="534"/>
      <c r="Z253" s="222" t="s">
        <v>212</v>
      </c>
      <c r="AA253" s="227">
        <v>8749370</v>
      </c>
      <c r="AB253" s="228">
        <v>0</v>
      </c>
      <c r="AC253" s="215"/>
    </row>
    <row r="254" spans="1:29" ht="2.25" customHeight="1">
      <c r="A254" s="215"/>
      <c r="B254" s="529" t="s">
        <v>212</v>
      </c>
      <c r="C254" s="529"/>
      <c r="D254" s="219" t="s">
        <v>212</v>
      </c>
      <c r="E254" s="222" t="s">
        <v>212</v>
      </c>
      <c r="F254" s="531" t="s">
        <v>212</v>
      </c>
      <c r="G254" s="531"/>
      <c r="H254" s="222" t="s">
        <v>212</v>
      </c>
      <c r="I254" s="531" t="s">
        <v>212</v>
      </c>
      <c r="J254" s="531"/>
      <c r="K254" s="222" t="s">
        <v>212</v>
      </c>
      <c r="L254" s="222" t="s">
        <v>212</v>
      </c>
      <c r="M254" s="222" t="s">
        <v>212</v>
      </c>
      <c r="N254" s="222" t="s">
        <v>212</v>
      </c>
      <c r="O254" s="222" t="s">
        <v>212</v>
      </c>
      <c r="P254" s="222" t="s">
        <v>212</v>
      </c>
      <c r="Q254" s="222" t="s">
        <v>212</v>
      </c>
      <c r="R254" s="222" t="s">
        <v>212</v>
      </c>
      <c r="S254" s="222" t="s">
        <v>212</v>
      </c>
      <c r="T254" s="531" t="s">
        <v>212</v>
      </c>
      <c r="U254" s="531"/>
      <c r="V254" s="222" t="s">
        <v>212</v>
      </c>
      <c r="W254" s="222" t="s">
        <v>212</v>
      </c>
      <c r="X254" s="531" t="s">
        <v>212</v>
      </c>
      <c r="Y254" s="531"/>
      <c r="Z254" s="222" t="s">
        <v>212</v>
      </c>
      <c r="AA254" s="222" t="s">
        <v>212</v>
      </c>
      <c r="AB254" s="222" t="s">
        <v>212</v>
      </c>
      <c r="AC254" s="215"/>
    </row>
    <row r="255" spans="1:29" ht="13.5" customHeight="1">
      <c r="A255" s="215"/>
      <c r="B255" s="535">
        <v>39202</v>
      </c>
      <c r="C255" s="535"/>
      <c r="D255" s="219" t="s">
        <v>212</v>
      </c>
      <c r="E255" s="229">
        <v>0</v>
      </c>
      <c r="F255" s="536">
        <v>0</v>
      </c>
      <c r="G255" s="536"/>
      <c r="H255" s="229">
        <v>299</v>
      </c>
      <c r="I255" s="536">
        <v>24</v>
      </c>
      <c r="J255" s="536"/>
      <c r="K255" s="229">
        <v>264.89999999999998</v>
      </c>
      <c r="L255" s="230">
        <v>24</v>
      </c>
      <c r="M255" s="229">
        <v>0</v>
      </c>
      <c r="N255" s="230">
        <v>0</v>
      </c>
      <c r="O255" s="231">
        <v>563.9</v>
      </c>
      <c r="P255" s="222" t="s">
        <v>212</v>
      </c>
      <c r="Q255" s="229">
        <v>0</v>
      </c>
      <c r="R255" s="230">
        <v>0</v>
      </c>
      <c r="S255" s="229">
        <v>0</v>
      </c>
      <c r="T255" s="536">
        <v>0</v>
      </c>
      <c r="U255" s="536"/>
      <c r="V255" s="229">
        <v>0</v>
      </c>
      <c r="W255" s="222" t="s">
        <v>212</v>
      </c>
      <c r="X255" s="530">
        <v>563.9</v>
      </c>
      <c r="Y255" s="530"/>
      <c r="Z255" s="222" t="s">
        <v>212</v>
      </c>
      <c r="AA255" s="232">
        <v>7438400</v>
      </c>
      <c r="AB255" s="233">
        <v>0</v>
      </c>
      <c r="AC255" s="215"/>
    </row>
    <row r="256" spans="1:29" ht="2.25" customHeight="1">
      <c r="A256" s="215"/>
      <c r="B256" s="529" t="s">
        <v>212</v>
      </c>
      <c r="C256" s="529"/>
      <c r="D256" s="219" t="s">
        <v>212</v>
      </c>
      <c r="E256" s="222" t="s">
        <v>212</v>
      </c>
      <c r="F256" s="531" t="s">
        <v>212</v>
      </c>
      <c r="G256" s="531"/>
      <c r="H256" s="222" t="s">
        <v>212</v>
      </c>
      <c r="I256" s="531" t="s">
        <v>212</v>
      </c>
      <c r="J256" s="531"/>
      <c r="K256" s="222" t="s">
        <v>212</v>
      </c>
      <c r="L256" s="222" t="s">
        <v>212</v>
      </c>
      <c r="M256" s="222" t="s">
        <v>212</v>
      </c>
      <c r="N256" s="222" t="s">
        <v>212</v>
      </c>
      <c r="O256" s="222" t="s">
        <v>212</v>
      </c>
      <c r="P256" s="222" t="s">
        <v>212</v>
      </c>
      <c r="Q256" s="222" t="s">
        <v>212</v>
      </c>
      <c r="R256" s="222" t="s">
        <v>212</v>
      </c>
      <c r="S256" s="222" t="s">
        <v>212</v>
      </c>
      <c r="T256" s="531" t="s">
        <v>212</v>
      </c>
      <c r="U256" s="531"/>
      <c r="V256" s="222" t="s">
        <v>212</v>
      </c>
      <c r="W256" s="222" t="s">
        <v>212</v>
      </c>
      <c r="X256" s="531" t="s">
        <v>212</v>
      </c>
      <c r="Y256" s="531"/>
      <c r="Z256" s="222" t="s">
        <v>212</v>
      </c>
      <c r="AA256" s="222" t="s">
        <v>212</v>
      </c>
      <c r="AB256" s="222" t="s">
        <v>212</v>
      </c>
      <c r="AC256" s="215"/>
    </row>
    <row r="257" spans="1:29" ht="13.5" customHeight="1">
      <c r="A257" s="215"/>
      <c r="B257" s="532">
        <v>39203</v>
      </c>
      <c r="C257" s="532"/>
      <c r="D257" s="219" t="s">
        <v>212</v>
      </c>
      <c r="E257" s="224">
        <v>0</v>
      </c>
      <c r="F257" s="533">
        <v>0</v>
      </c>
      <c r="G257" s="533"/>
      <c r="H257" s="224">
        <v>340.7</v>
      </c>
      <c r="I257" s="533">
        <v>24</v>
      </c>
      <c r="J257" s="533"/>
      <c r="K257" s="224">
        <v>299.8</v>
      </c>
      <c r="L257" s="225">
        <v>24</v>
      </c>
      <c r="M257" s="224">
        <v>0</v>
      </c>
      <c r="N257" s="225">
        <v>0</v>
      </c>
      <c r="O257" s="226">
        <v>640.5</v>
      </c>
      <c r="P257" s="222" t="s">
        <v>212</v>
      </c>
      <c r="Q257" s="224">
        <v>0</v>
      </c>
      <c r="R257" s="225">
        <v>24</v>
      </c>
      <c r="S257" s="224">
        <v>0</v>
      </c>
      <c r="T257" s="533">
        <v>24</v>
      </c>
      <c r="U257" s="533"/>
      <c r="V257" s="224">
        <v>0</v>
      </c>
      <c r="W257" s="222" t="s">
        <v>212</v>
      </c>
      <c r="X257" s="534">
        <v>640.5</v>
      </c>
      <c r="Y257" s="534"/>
      <c r="Z257" s="222" t="s">
        <v>212</v>
      </c>
      <c r="AA257" s="227">
        <v>8061400</v>
      </c>
      <c r="AB257" s="228">
        <v>0</v>
      </c>
      <c r="AC257" s="215"/>
    </row>
    <row r="258" spans="1:29" ht="2.25" customHeight="1">
      <c r="A258" s="215"/>
      <c r="B258" s="529" t="s">
        <v>212</v>
      </c>
      <c r="C258" s="529"/>
      <c r="D258" s="219" t="s">
        <v>212</v>
      </c>
      <c r="E258" s="222" t="s">
        <v>212</v>
      </c>
      <c r="F258" s="531" t="s">
        <v>212</v>
      </c>
      <c r="G258" s="531"/>
      <c r="H258" s="222" t="s">
        <v>212</v>
      </c>
      <c r="I258" s="531" t="s">
        <v>212</v>
      </c>
      <c r="J258" s="531"/>
      <c r="K258" s="222" t="s">
        <v>212</v>
      </c>
      <c r="L258" s="222" t="s">
        <v>212</v>
      </c>
      <c r="M258" s="222" t="s">
        <v>212</v>
      </c>
      <c r="N258" s="222" t="s">
        <v>212</v>
      </c>
      <c r="O258" s="222" t="s">
        <v>212</v>
      </c>
      <c r="P258" s="222" t="s">
        <v>212</v>
      </c>
      <c r="Q258" s="222" t="s">
        <v>212</v>
      </c>
      <c r="R258" s="222" t="s">
        <v>212</v>
      </c>
      <c r="S258" s="222" t="s">
        <v>212</v>
      </c>
      <c r="T258" s="531" t="s">
        <v>212</v>
      </c>
      <c r="U258" s="531"/>
      <c r="V258" s="222" t="s">
        <v>212</v>
      </c>
      <c r="W258" s="222" t="s">
        <v>212</v>
      </c>
      <c r="X258" s="531" t="s">
        <v>212</v>
      </c>
      <c r="Y258" s="531"/>
      <c r="Z258" s="222" t="s">
        <v>212</v>
      </c>
      <c r="AA258" s="222" t="s">
        <v>212</v>
      </c>
      <c r="AB258" s="222" t="s">
        <v>212</v>
      </c>
      <c r="AC258" s="215"/>
    </row>
    <row r="259" spans="1:29" ht="13.5" customHeight="1">
      <c r="A259" s="215"/>
      <c r="B259" s="535">
        <v>39204</v>
      </c>
      <c r="C259" s="535"/>
      <c r="D259" s="219" t="s">
        <v>212</v>
      </c>
      <c r="E259" s="229">
        <v>0</v>
      </c>
      <c r="F259" s="536">
        <v>0</v>
      </c>
      <c r="G259" s="536"/>
      <c r="H259" s="229">
        <v>342.8</v>
      </c>
      <c r="I259" s="536">
        <v>24</v>
      </c>
      <c r="J259" s="536"/>
      <c r="K259" s="229">
        <v>286.3</v>
      </c>
      <c r="L259" s="230">
        <v>24</v>
      </c>
      <c r="M259" s="229">
        <v>0</v>
      </c>
      <c r="N259" s="230">
        <v>0</v>
      </c>
      <c r="O259" s="231">
        <v>629.1</v>
      </c>
      <c r="P259" s="222" t="s">
        <v>212</v>
      </c>
      <c r="Q259" s="229">
        <v>0</v>
      </c>
      <c r="R259" s="230">
        <v>0</v>
      </c>
      <c r="S259" s="229">
        <v>0</v>
      </c>
      <c r="T259" s="536">
        <v>0</v>
      </c>
      <c r="U259" s="536"/>
      <c r="V259" s="229">
        <v>0</v>
      </c>
      <c r="W259" s="222" t="s">
        <v>212</v>
      </c>
      <c r="X259" s="530">
        <v>629.1</v>
      </c>
      <c r="Y259" s="530"/>
      <c r="Z259" s="222" t="s">
        <v>212</v>
      </c>
      <c r="AA259" s="232">
        <v>7955700</v>
      </c>
      <c r="AB259" s="233">
        <v>0</v>
      </c>
      <c r="AC259" s="215"/>
    </row>
    <row r="260" spans="1:29" ht="2.25" customHeight="1">
      <c r="A260" s="215"/>
      <c r="B260" s="529" t="s">
        <v>212</v>
      </c>
      <c r="C260" s="529"/>
      <c r="D260" s="219" t="s">
        <v>212</v>
      </c>
      <c r="E260" s="222" t="s">
        <v>212</v>
      </c>
      <c r="F260" s="531" t="s">
        <v>212</v>
      </c>
      <c r="G260" s="531"/>
      <c r="H260" s="222" t="s">
        <v>212</v>
      </c>
      <c r="I260" s="531" t="s">
        <v>212</v>
      </c>
      <c r="J260" s="531"/>
      <c r="K260" s="222" t="s">
        <v>212</v>
      </c>
      <c r="L260" s="222" t="s">
        <v>212</v>
      </c>
      <c r="M260" s="222" t="s">
        <v>212</v>
      </c>
      <c r="N260" s="222" t="s">
        <v>212</v>
      </c>
      <c r="O260" s="222" t="s">
        <v>212</v>
      </c>
      <c r="P260" s="222" t="s">
        <v>212</v>
      </c>
      <c r="Q260" s="222" t="s">
        <v>212</v>
      </c>
      <c r="R260" s="222" t="s">
        <v>212</v>
      </c>
      <c r="S260" s="222" t="s">
        <v>212</v>
      </c>
      <c r="T260" s="531" t="s">
        <v>212</v>
      </c>
      <c r="U260" s="531"/>
      <c r="V260" s="222" t="s">
        <v>212</v>
      </c>
      <c r="W260" s="222" t="s">
        <v>212</v>
      </c>
      <c r="X260" s="531" t="s">
        <v>212</v>
      </c>
      <c r="Y260" s="531"/>
      <c r="Z260" s="222" t="s">
        <v>212</v>
      </c>
      <c r="AA260" s="222" t="s">
        <v>212</v>
      </c>
      <c r="AB260" s="222" t="s">
        <v>212</v>
      </c>
      <c r="AC260" s="215"/>
    </row>
    <row r="261" spans="1:29" ht="13.5" customHeight="1">
      <c r="A261" s="215"/>
      <c r="B261" s="532">
        <v>39205</v>
      </c>
      <c r="C261" s="532"/>
      <c r="D261" s="219" t="s">
        <v>212</v>
      </c>
      <c r="E261" s="224">
        <v>5.2</v>
      </c>
      <c r="F261" s="533">
        <v>1</v>
      </c>
      <c r="G261" s="533"/>
      <c r="H261" s="224">
        <v>343</v>
      </c>
      <c r="I261" s="533">
        <v>24</v>
      </c>
      <c r="J261" s="533"/>
      <c r="K261" s="224">
        <v>311.10000000000002</v>
      </c>
      <c r="L261" s="225">
        <v>24</v>
      </c>
      <c r="M261" s="224">
        <v>0</v>
      </c>
      <c r="N261" s="225">
        <v>0</v>
      </c>
      <c r="O261" s="226">
        <v>659.3</v>
      </c>
      <c r="P261" s="222" t="s">
        <v>212</v>
      </c>
      <c r="Q261" s="224">
        <v>0</v>
      </c>
      <c r="R261" s="225">
        <v>0</v>
      </c>
      <c r="S261" s="224">
        <v>0</v>
      </c>
      <c r="T261" s="533">
        <v>0</v>
      </c>
      <c r="U261" s="533"/>
      <c r="V261" s="224">
        <v>0</v>
      </c>
      <c r="W261" s="222" t="s">
        <v>212</v>
      </c>
      <c r="X261" s="534">
        <v>659.3</v>
      </c>
      <c r="Y261" s="534"/>
      <c r="Z261" s="222" t="s">
        <v>212</v>
      </c>
      <c r="AA261" s="227">
        <v>7271400</v>
      </c>
      <c r="AB261" s="228">
        <v>32218</v>
      </c>
      <c r="AC261" s="215"/>
    </row>
    <row r="262" spans="1:29" ht="2.25" customHeight="1">
      <c r="A262" s="215"/>
      <c r="B262" s="529" t="s">
        <v>212</v>
      </c>
      <c r="C262" s="529"/>
      <c r="D262" s="219" t="s">
        <v>212</v>
      </c>
      <c r="E262" s="222" t="s">
        <v>212</v>
      </c>
      <c r="F262" s="531" t="s">
        <v>212</v>
      </c>
      <c r="G262" s="531"/>
      <c r="H262" s="222" t="s">
        <v>212</v>
      </c>
      <c r="I262" s="531" t="s">
        <v>212</v>
      </c>
      <c r="J262" s="531"/>
      <c r="K262" s="222" t="s">
        <v>212</v>
      </c>
      <c r="L262" s="222" t="s">
        <v>212</v>
      </c>
      <c r="M262" s="222" t="s">
        <v>212</v>
      </c>
      <c r="N262" s="222" t="s">
        <v>212</v>
      </c>
      <c r="O262" s="222" t="s">
        <v>212</v>
      </c>
      <c r="P262" s="222" t="s">
        <v>212</v>
      </c>
      <c r="Q262" s="222" t="s">
        <v>212</v>
      </c>
      <c r="R262" s="222" t="s">
        <v>212</v>
      </c>
      <c r="S262" s="222" t="s">
        <v>212</v>
      </c>
      <c r="T262" s="531" t="s">
        <v>212</v>
      </c>
      <c r="U262" s="531"/>
      <c r="V262" s="222" t="s">
        <v>212</v>
      </c>
      <c r="W262" s="222" t="s">
        <v>212</v>
      </c>
      <c r="X262" s="531" t="s">
        <v>212</v>
      </c>
      <c r="Y262" s="531"/>
      <c r="Z262" s="222" t="s">
        <v>212</v>
      </c>
      <c r="AA262" s="222" t="s">
        <v>212</v>
      </c>
      <c r="AB262" s="222" t="s">
        <v>212</v>
      </c>
      <c r="AC262" s="215"/>
    </row>
    <row r="263" spans="1:29" ht="13.5" customHeight="1">
      <c r="A263" s="215"/>
      <c r="B263" s="535">
        <v>39206</v>
      </c>
      <c r="C263" s="535"/>
      <c r="D263" s="219" t="s">
        <v>212</v>
      </c>
      <c r="E263" s="229">
        <v>0</v>
      </c>
      <c r="F263" s="536">
        <v>0</v>
      </c>
      <c r="G263" s="536"/>
      <c r="H263" s="229">
        <v>310.2</v>
      </c>
      <c r="I263" s="536">
        <v>24</v>
      </c>
      <c r="J263" s="536"/>
      <c r="K263" s="229">
        <v>277.10000000000002</v>
      </c>
      <c r="L263" s="230">
        <v>24</v>
      </c>
      <c r="M263" s="229">
        <v>0</v>
      </c>
      <c r="N263" s="230">
        <v>0</v>
      </c>
      <c r="O263" s="231">
        <v>587.29999999999995</v>
      </c>
      <c r="P263" s="222" t="s">
        <v>212</v>
      </c>
      <c r="Q263" s="229">
        <v>0</v>
      </c>
      <c r="R263" s="230">
        <v>0</v>
      </c>
      <c r="S263" s="229">
        <v>0</v>
      </c>
      <c r="T263" s="536">
        <v>0</v>
      </c>
      <c r="U263" s="536"/>
      <c r="V263" s="229">
        <v>0</v>
      </c>
      <c r="W263" s="222" t="s">
        <v>212</v>
      </c>
      <c r="X263" s="530">
        <v>587.29999999999995</v>
      </c>
      <c r="Y263" s="530"/>
      <c r="Z263" s="222" t="s">
        <v>212</v>
      </c>
      <c r="AA263" s="232">
        <v>0</v>
      </c>
      <c r="AB263" s="233">
        <v>284013</v>
      </c>
      <c r="AC263" s="215"/>
    </row>
    <row r="264" spans="1:29" ht="2.25" customHeight="1">
      <c r="A264" s="215"/>
      <c r="B264" s="529" t="s">
        <v>212</v>
      </c>
      <c r="C264" s="529"/>
      <c r="D264" s="219" t="s">
        <v>212</v>
      </c>
      <c r="E264" s="222" t="s">
        <v>212</v>
      </c>
      <c r="F264" s="531" t="s">
        <v>212</v>
      </c>
      <c r="G264" s="531"/>
      <c r="H264" s="222" t="s">
        <v>212</v>
      </c>
      <c r="I264" s="531" t="s">
        <v>212</v>
      </c>
      <c r="J264" s="531"/>
      <c r="K264" s="222" t="s">
        <v>212</v>
      </c>
      <c r="L264" s="222" t="s">
        <v>212</v>
      </c>
      <c r="M264" s="222" t="s">
        <v>212</v>
      </c>
      <c r="N264" s="222" t="s">
        <v>212</v>
      </c>
      <c r="O264" s="222" t="s">
        <v>212</v>
      </c>
      <c r="P264" s="222" t="s">
        <v>212</v>
      </c>
      <c r="Q264" s="222" t="s">
        <v>212</v>
      </c>
      <c r="R264" s="222" t="s">
        <v>212</v>
      </c>
      <c r="S264" s="222" t="s">
        <v>212</v>
      </c>
      <c r="T264" s="531" t="s">
        <v>212</v>
      </c>
      <c r="U264" s="531"/>
      <c r="V264" s="222" t="s">
        <v>212</v>
      </c>
      <c r="W264" s="222" t="s">
        <v>212</v>
      </c>
      <c r="X264" s="531" t="s">
        <v>212</v>
      </c>
      <c r="Y264" s="531"/>
      <c r="Z264" s="222" t="s">
        <v>212</v>
      </c>
      <c r="AA264" s="222" t="s">
        <v>212</v>
      </c>
      <c r="AB264" s="222" t="s">
        <v>212</v>
      </c>
      <c r="AC264" s="215"/>
    </row>
    <row r="265" spans="1:29" ht="13.5" customHeight="1">
      <c r="A265" s="215"/>
      <c r="B265" s="532">
        <v>39207</v>
      </c>
      <c r="C265" s="532"/>
      <c r="D265" s="219" t="s">
        <v>212</v>
      </c>
      <c r="E265" s="224">
        <v>0</v>
      </c>
      <c r="F265" s="533">
        <v>0</v>
      </c>
      <c r="G265" s="533"/>
      <c r="H265" s="224">
        <v>295.8</v>
      </c>
      <c r="I265" s="533">
        <v>24</v>
      </c>
      <c r="J265" s="533"/>
      <c r="K265" s="224">
        <v>270.8</v>
      </c>
      <c r="L265" s="225">
        <v>24</v>
      </c>
      <c r="M265" s="224">
        <v>0</v>
      </c>
      <c r="N265" s="225">
        <v>0</v>
      </c>
      <c r="O265" s="226">
        <v>566.6</v>
      </c>
      <c r="P265" s="222" t="s">
        <v>212</v>
      </c>
      <c r="Q265" s="224">
        <v>0</v>
      </c>
      <c r="R265" s="225">
        <v>0</v>
      </c>
      <c r="S265" s="224">
        <v>0</v>
      </c>
      <c r="T265" s="533">
        <v>0</v>
      </c>
      <c r="U265" s="533"/>
      <c r="V265" s="224">
        <v>0</v>
      </c>
      <c r="W265" s="222" t="s">
        <v>212</v>
      </c>
      <c r="X265" s="534">
        <v>566.6</v>
      </c>
      <c r="Y265" s="534"/>
      <c r="Z265" s="222" t="s">
        <v>212</v>
      </c>
      <c r="AA265" s="227">
        <v>0</v>
      </c>
      <c r="AB265" s="228">
        <v>278246</v>
      </c>
      <c r="AC265" s="215"/>
    </row>
    <row r="266" spans="1:29" ht="2.25" customHeight="1">
      <c r="A266" s="215"/>
      <c r="B266" s="529" t="s">
        <v>212</v>
      </c>
      <c r="C266" s="529"/>
      <c r="D266" s="219" t="s">
        <v>212</v>
      </c>
      <c r="E266" s="222" t="s">
        <v>212</v>
      </c>
      <c r="F266" s="531" t="s">
        <v>212</v>
      </c>
      <c r="G266" s="531"/>
      <c r="H266" s="222" t="s">
        <v>212</v>
      </c>
      <c r="I266" s="531" t="s">
        <v>212</v>
      </c>
      <c r="J266" s="531"/>
      <c r="K266" s="222" t="s">
        <v>212</v>
      </c>
      <c r="L266" s="222" t="s">
        <v>212</v>
      </c>
      <c r="M266" s="222" t="s">
        <v>212</v>
      </c>
      <c r="N266" s="222" t="s">
        <v>212</v>
      </c>
      <c r="O266" s="222" t="s">
        <v>212</v>
      </c>
      <c r="P266" s="222" t="s">
        <v>212</v>
      </c>
      <c r="Q266" s="222" t="s">
        <v>212</v>
      </c>
      <c r="R266" s="222" t="s">
        <v>212</v>
      </c>
      <c r="S266" s="222" t="s">
        <v>212</v>
      </c>
      <c r="T266" s="531" t="s">
        <v>212</v>
      </c>
      <c r="U266" s="531"/>
      <c r="V266" s="222" t="s">
        <v>212</v>
      </c>
      <c r="W266" s="222" t="s">
        <v>212</v>
      </c>
      <c r="X266" s="531" t="s">
        <v>212</v>
      </c>
      <c r="Y266" s="531"/>
      <c r="Z266" s="222" t="s">
        <v>212</v>
      </c>
      <c r="AA266" s="222" t="s">
        <v>212</v>
      </c>
      <c r="AB266" s="222" t="s">
        <v>212</v>
      </c>
      <c r="AC266" s="215"/>
    </row>
    <row r="267" spans="1:29" ht="13.5" customHeight="1">
      <c r="A267" s="215"/>
      <c r="B267" s="535">
        <v>39208</v>
      </c>
      <c r="C267" s="535"/>
      <c r="D267" s="219" t="s">
        <v>212</v>
      </c>
      <c r="E267" s="229">
        <v>0</v>
      </c>
      <c r="F267" s="536">
        <v>0</v>
      </c>
      <c r="G267" s="536"/>
      <c r="H267" s="229">
        <v>304.5</v>
      </c>
      <c r="I267" s="536">
        <v>24</v>
      </c>
      <c r="J267" s="536"/>
      <c r="K267" s="229">
        <v>264</v>
      </c>
      <c r="L267" s="230">
        <v>24</v>
      </c>
      <c r="M267" s="229">
        <v>0</v>
      </c>
      <c r="N267" s="230">
        <v>0</v>
      </c>
      <c r="O267" s="231">
        <v>568.5</v>
      </c>
      <c r="P267" s="222" t="s">
        <v>212</v>
      </c>
      <c r="Q267" s="229">
        <v>0</v>
      </c>
      <c r="R267" s="230">
        <v>0</v>
      </c>
      <c r="S267" s="229">
        <v>0</v>
      </c>
      <c r="T267" s="536">
        <v>0</v>
      </c>
      <c r="U267" s="536"/>
      <c r="V267" s="229">
        <v>0</v>
      </c>
      <c r="W267" s="222" t="s">
        <v>212</v>
      </c>
      <c r="X267" s="530">
        <v>568.5</v>
      </c>
      <c r="Y267" s="530"/>
      <c r="Z267" s="222" t="s">
        <v>212</v>
      </c>
      <c r="AA267" s="232">
        <v>0</v>
      </c>
      <c r="AB267" s="233">
        <v>276921</v>
      </c>
      <c r="AC267" s="215"/>
    </row>
    <row r="268" spans="1:29" ht="2.25" customHeight="1">
      <c r="A268" s="215"/>
      <c r="B268" s="529" t="s">
        <v>212</v>
      </c>
      <c r="C268" s="529"/>
      <c r="D268" s="219" t="s">
        <v>212</v>
      </c>
      <c r="E268" s="222" t="s">
        <v>212</v>
      </c>
      <c r="F268" s="531" t="s">
        <v>212</v>
      </c>
      <c r="G268" s="531"/>
      <c r="H268" s="222" t="s">
        <v>212</v>
      </c>
      <c r="I268" s="531" t="s">
        <v>212</v>
      </c>
      <c r="J268" s="531"/>
      <c r="K268" s="222" t="s">
        <v>212</v>
      </c>
      <c r="L268" s="222" t="s">
        <v>212</v>
      </c>
      <c r="M268" s="222" t="s">
        <v>212</v>
      </c>
      <c r="N268" s="222" t="s">
        <v>212</v>
      </c>
      <c r="O268" s="222" t="s">
        <v>212</v>
      </c>
      <c r="P268" s="222" t="s">
        <v>212</v>
      </c>
      <c r="Q268" s="222" t="s">
        <v>212</v>
      </c>
      <c r="R268" s="222" t="s">
        <v>212</v>
      </c>
      <c r="S268" s="222" t="s">
        <v>212</v>
      </c>
      <c r="T268" s="531" t="s">
        <v>212</v>
      </c>
      <c r="U268" s="531"/>
      <c r="V268" s="222" t="s">
        <v>212</v>
      </c>
      <c r="W268" s="222" t="s">
        <v>212</v>
      </c>
      <c r="X268" s="531" t="s">
        <v>212</v>
      </c>
      <c r="Y268" s="531"/>
      <c r="Z268" s="222" t="s">
        <v>212</v>
      </c>
      <c r="AA268" s="222" t="s">
        <v>212</v>
      </c>
      <c r="AB268" s="222" t="s">
        <v>212</v>
      </c>
      <c r="AC268" s="215"/>
    </row>
    <row r="269" spans="1:29" ht="13.5" customHeight="1">
      <c r="A269" s="215"/>
      <c r="B269" s="532">
        <v>39209</v>
      </c>
      <c r="C269" s="532"/>
      <c r="D269" s="219" t="s">
        <v>212</v>
      </c>
      <c r="E269" s="224">
        <v>15.3</v>
      </c>
      <c r="F269" s="533">
        <v>9</v>
      </c>
      <c r="G269" s="533"/>
      <c r="H269" s="224">
        <v>280.8</v>
      </c>
      <c r="I269" s="533">
        <v>24</v>
      </c>
      <c r="J269" s="533"/>
      <c r="K269" s="224">
        <v>234.5</v>
      </c>
      <c r="L269" s="225">
        <v>24</v>
      </c>
      <c r="M269" s="224">
        <v>0</v>
      </c>
      <c r="N269" s="225">
        <v>0</v>
      </c>
      <c r="O269" s="226">
        <v>530.6</v>
      </c>
      <c r="P269" s="222" t="s">
        <v>212</v>
      </c>
      <c r="Q269" s="224">
        <v>0</v>
      </c>
      <c r="R269" s="225">
        <v>0</v>
      </c>
      <c r="S269" s="224">
        <v>0</v>
      </c>
      <c r="T269" s="533">
        <v>0</v>
      </c>
      <c r="U269" s="533"/>
      <c r="V269" s="224">
        <v>0</v>
      </c>
      <c r="W269" s="222" t="s">
        <v>212</v>
      </c>
      <c r="X269" s="534">
        <v>530.6</v>
      </c>
      <c r="Y269" s="534"/>
      <c r="Z269" s="222" t="s">
        <v>212</v>
      </c>
      <c r="AA269" s="227">
        <v>4880073</v>
      </c>
      <c r="AB269" s="228">
        <v>106878</v>
      </c>
      <c r="AC269" s="215"/>
    </row>
    <row r="270" spans="1:29" ht="2.25" customHeight="1">
      <c r="A270" s="215"/>
      <c r="B270" s="529" t="s">
        <v>212</v>
      </c>
      <c r="C270" s="529"/>
      <c r="D270" s="219" t="s">
        <v>212</v>
      </c>
      <c r="E270" s="222" t="s">
        <v>212</v>
      </c>
      <c r="F270" s="531" t="s">
        <v>212</v>
      </c>
      <c r="G270" s="531"/>
      <c r="H270" s="222" t="s">
        <v>212</v>
      </c>
      <c r="I270" s="531" t="s">
        <v>212</v>
      </c>
      <c r="J270" s="531"/>
      <c r="K270" s="222" t="s">
        <v>212</v>
      </c>
      <c r="L270" s="222" t="s">
        <v>212</v>
      </c>
      <c r="M270" s="222" t="s">
        <v>212</v>
      </c>
      <c r="N270" s="222" t="s">
        <v>212</v>
      </c>
      <c r="O270" s="222" t="s">
        <v>212</v>
      </c>
      <c r="P270" s="222" t="s">
        <v>212</v>
      </c>
      <c r="Q270" s="222" t="s">
        <v>212</v>
      </c>
      <c r="R270" s="222" t="s">
        <v>212</v>
      </c>
      <c r="S270" s="222" t="s">
        <v>212</v>
      </c>
      <c r="T270" s="531" t="s">
        <v>212</v>
      </c>
      <c r="U270" s="531"/>
      <c r="V270" s="222" t="s">
        <v>212</v>
      </c>
      <c r="W270" s="222" t="s">
        <v>212</v>
      </c>
      <c r="X270" s="531" t="s">
        <v>212</v>
      </c>
      <c r="Y270" s="531"/>
      <c r="Z270" s="222" t="s">
        <v>212</v>
      </c>
      <c r="AA270" s="222" t="s">
        <v>212</v>
      </c>
      <c r="AB270" s="222" t="s">
        <v>212</v>
      </c>
      <c r="AC270" s="215"/>
    </row>
    <row r="271" spans="1:29" ht="13.5" customHeight="1">
      <c r="A271" s="215"/>
      <c r="B271" s="535">
        <v>39210</v>
      </c>
      <c r="C271" s="535"/>
      <c r="D271" s="219" t="s">
        <v>212</v>
      </c>
      <c r="E271" s="229">
        <v>0</v>
      </c>
      <c r="F271" s="536">
        <v>0</v>
      </c>
      <c r="G271" s="536"/>
      <c r="H271" s="229">
        <v>377.7</v>
      </c>
      <c r="I271" s="536">
        <v>24</v>
      </c>
      <c r="J271" s="536"/>
      <c r="K271" s="229">
        <v>318.8</v>
      </c>
      <c r="L271" s="230">
        <v>24</v>
      </c>
      <c r="M271" s="229">
        <v>0</v>
      </c>
      <c r="N271" s="230">
        <v>0</v>
      </c>
      <c r="O271" s="231">
        <v>696.5</v>
      </c>
      <c r="P271" s="222" t="s">
        <v>212</v>
      </c>
      <c r="Q271" s="229">
        <v>0</v>
      </c>
      <c r="R271" s="230">
        <v>0</v>
      </c>
      <c r="S271" s="229">
        <v>0</v>
      </c>
      <c r="T271" s="536">
        <v>0</v>
      </c>
      <c r="U271" s="536"/>
      <c r="V271" s="229">
        <v>0</v>
      </c>
      <c r="W271" s="222" t="s">
        <v>212</v>
      </c>
      <c r="X271" s="530">
        <v>696.5</v>
      </c>
      <c r="Y271" s="530"/>
      <c r="Z271" s="222" t="s">
        <v>212</v>
      </c>
      <c r="AA271" s="232">
        <v>8508200</v>
      </c>
      <c r="AB271" s="233">
        <v>0</v>
      </c>
      <c r="AC271" s="215"/>
    </row>
    <row r="272" spans="1:29" ht="2.25" customHeight="1">
      <c r="A272" s="215"/>
      <c r="B272" s="529" t="s">
        <v>212</v>
      </c>
      <c r="C272" s="529"/>
      <c r="D272" s="219" t="s">
        <v>212</v>
      </c>
      <c r="E272" s="222" t="s">
        <v>212</v>
      </c>
      <c r="F272" s="531" t="s">
        <v>212</v>
      </c>
      <c r="G272" s="531"/>
      <c r="H272" s="222" t="s">
        <v>212</v>
      </c>
      <c r="I272" s="531" t="s">
        <v>212</v>
      </c>
      <c r="J272" s="531"/>
      <c r="K272" s="222" t="s">
        <v>212</v>
      </c>
      <c r="L272" s="222" t="s">
        <v>212</v>
      </c>
      <c r="M272" s="222" t="s">
        <v>212</v>
      </c>
      <c r="N272" s="222" t="s">
        <v>212</v>
      </c>
      <c r="O272" s="222" t="s">
        <v>212</v>
      </c>
      <c r="P272" s="222" t="s">
        <v>212</v>
      </c>
      <c r="Q272" s="222" t="s">
        <v>212</v>
      </c>
      <c r="R272" s="222" t="s">
        <v>212</v>
      </c>
      <c r="S272" s="222" t="s">
        <v>212</v>
      </c>
      <c r="T272" s="531" t="s">
        <v>212</v>
      </c>
      <c r="U272" s="531"/>
      <c r="V272" s="222" t="s">
        <v>212</v>
      </c>
      <c r="W272" s="222" t="s">
        <v>212</v>
      </c>
      <c r="X272" s="531" t="s">
        <v>212</v>
      </c>
      <c r="Y272" s="531"/>
      <c r="Z272" s="222" t="s">
        <v>212</v>
      </c>
      <c r="AA272" s="222" t="s">
        <v>212</v>
      </c>
      <c r="AB272" s="222" t="s">
        <v>212</v>
      </c>
      <c r="AC272" s="215"/>
    </row>
    <row r="273" spans="1:29" ht="13.5" customHeight="1">
      <c r="A273" s="215"/>
      <c r="B273" s="532">
        <v>39211</v>
      </c>
      <c r="C273" s="532"/>
      <c r="D273" s="219" t="s">
        <v>212</v>
      </c>
      <c r="E273" s="224">
        <v>0</v>
      </c>
      <c r="F273" s="533">
        <v>0</v>
      </c>
      <c r="G273" s="533"/>
      <c r="H273" s="224">
        <v>363</v>
      </c>
      <c r="I273" s="533">
        <v>24</v>
      </c>
      <c r="J273" s="533"/>
      <c r="K273" s="224">
        <v>304.7</v>
      </c>
      <c r="L273" s="225">
        <v>24</v>
      </c>
      <c r="M273" s="224">
        <v>0</v>
      </c>
      <c r="N273" s="225">
        <v>0</v>
      </c>
      <c r="O273" s="226">
        <v>667.7</v>
      </c>
      <c r="P273" s="222" t="s">
        <v>212</v>
      </c>
      <c r="Q273" s="224">
        <v>0</v>
      </c>
      <c r="R273" s="225">
        <v>0</v>
      </c>
      <c r="S273" s="224">
        <v>0</v>
      </c>
      <c r="T273" s="533">
        <v>0</v>
      </c>
      <c r="U273" s="533"/>
      <c r="V273" s="224">
        <v>0</v>
      </c>
      <c r="W273" s="222" t="s">
        <v>212</v>
      </c>
      <c r="X273" s="534">
        <v>667.7</v>
      </c>
      <c r="Y273" s="534"/>
      <c r="Z273" s="222" t="s">
        <v>212</v>
      </c>
      <c r="AA273" s="227">
        <v>8285700</v>
      </c>
      <c r="AB273" s="228">
        <v>0</v>
      </c>
      <c r="AC273" s="215"/>
    </row>
    <row r="274" spans="1:29" ht="2.25" customHeight="1">
      <c r="A274" s="215"/>
      <c r="B274" s="529" t="s">
        <v>212</v>
      </c>
      <c r="C274" s="529"/>
      <c r="D274" s="219" t="s">
        <v>212</v>
      </c>
      <c r="E274" s="222" t="s">
        <v>212</v>
      </c>
      <c r="F274" s="531" t="s">
        <v>212</v>
      </c>
      <c r="G274" s="531"/>
      <c r="H274" s="222" t="s">
        <v>212</v>
      </c>
      <c r="I274" s="531" t="s">
        <v>212</v>
      </c>
      <c r="J274" s="531"/>
      <c r="K274" s="222" t="s">
        <v>212</v>
      </c>
      <c r="L274" s="222" t="s">
        <v>212</v>
      </c>
      <c r="M274" s="222" t="s">
        <v>212</v>
      </c>
      <c r="N274" s="222" t="s">
        <v>212</v>
      </c>
      <c r="O274" s="222" t="s">
        <v>212</v>
      </c>
      <c r="P274" s="222" t="s">
        <v>212</v>
      </c>
      <c r="Q274" s="222" t="s">
        <v>212</v>
      </c>
      <c r="R274" s="222" t="s">
        <v>212</v>
      </c>
      <c r="S274" s="222" t="s">
        <v>212</v>
      </c>
      <c r="T274" s="531" t="s">
        <v>212</v>
      </c>
      <c r="U274" s="531"/>
      <c r="V274" s="222" t="s">
        <v>212</v>
      </c>
      <c r="W274" s="222" t="s">
        <v>212</v>
      </c>
      <c r="X274" s="531" t="s">
        <v>212</v>
      </c>
      <c r="Y274" s="531"/>
      <c r="Z274" s="222" t="s">
        <v>212</v>
      </c>
      <c r="AA274" s="222" t="s">
        <v>212</v>
      </c>
      <c r="AB274" s="222" t="s">
        <v>212</v>
      </c>
      <c r="AC274" s="215"/>
    </row>
    <row r="275" spans="1:29" ht="13.5" customHeight="1">
      <c r="A275" s="215"/>
      <c r="B275" s="535">
        <v>39212</v>
      </c>
      <c r="C275" s="535"/>
      <c r="D275" s="219" t="s">
        <v>212</v>
      </c>
      <c r="E275" s="229">
        <v>28.3</v>
      </c>
      <c r="F275" s="536">
        <v>5</v>
      </c>
      <c r="G275" s="536"/>
      <c r="H275" s="229">
        <v>355.2</v>
      </c>
      <c r="I275" s="536">
        <v>24</v>
      </c>
      <c r="J275" s="536"/>
      <c r="K275" s="229">
        <v>317.8</v>
      </c>
      <c r="L275" s="230">
        <v>24</v>
      </c>
      <c r="M275" s="229">
        <v>0</v>
      </c>
      <c r="N275" s="230">
        <v>0</v>
      </c>
      <c r="O275" s="231">
        <v>701.3</v>
      </c>
      <c r="P275" s="222" t="s">
        <v>212</v>
      </c>
      <c r="Q275" s="229">
        <v>0</v>
      </c>
      <c r="R275" s="230">
        <v>0</v>
      </c>
      <c r="S275" s="229">
        <v>0</v>
      </c>
      <c r="T275" s="536">
        <v>0</v>
      </c>
      <c r="U275" s="536"/>
      <c r="V275" s="229">
        <v>0</v>
      </c>
      <c r="W275" s="222" t="s">
        <v>212</v>
      </c>
      <c r="X275" s="530">
        <v>701.3</v>
      </c>
      <c r="Y275" s="530"/>
      <c r="Z275" s="222" t="s">
        <v>212</v>
      </c>
      <c r="AA275" s="232">
        <v>9221700</v>
      </c>
      <c r="AB275" s="233">
        <v>0</v>
      </c>
      <c r="AC275" s="215"/>
    </row>
    <row r="276" spans="1:29" ht="2.25" customHeight="1">
      <c r="A276" s="215"/>
      <c r="B276" s="529" t="s">
        <v>212</v>
      </c>
      <c r="C276" s="529"/>
      <c r="D276" s="219" t="s">
        <v>212</v>
      </c>
      <c r="E276" s="222" t="s">
        <v>212</v>
      </c>
      <c r="F276" s="531" t="s">
        <v>212</v>
      </c>
      <c r="G276" s="531"/>
      <c r="H276" s="222" t="s">
        <v>212</v>
      </c>
      <c r="I276" s="531" t="s">
        <v>212</v>
      </c>
      <c r="J276" s="531"/>
      <c r="K276" s="222" t="s">
        <v>212</v>
      </c>
      <c r="L276" s="222" t="s">
        <v>212</v>
      </c>
      <c r="M276" s="222" t="s">
        <v>212</v>
      </c>
      <c r="N276" s="222" t="s">
        <v>212</v>
      </c>
      <c r="O276" s="222" t="s">
        <v>212</v>
      </c>
      <c r="P276" s="222" t="s">
        <v>212</v>
      </c>
      <c r="Q276" s="222" t="s">
        <v>212</v>
      </c>
      <c r="R276" s="222" t="s">
        <v>212</v>
      </c>
      <c r="S276" s="222" t="s">
        <v>212</v>
      </c>
      <c r="T276" s="531" t="s">
        <v>212</v>
      </c>
      <c r="U276" s="531"/>
      <c r="V276" s="222" t="s">
        <v>212</v>
      </c>
      <c r="W276" s="222" t="s">
        <v>212</v>
      </c>
      <c r="X276" s="531" t="s">
        <v>212</v>
      </c>
      <c r="Y276" s="531"/>
      <c r="Z276" s="222" t="s">
        <v>212</v>
      </c>
      <c r="AA276" s="222" t="s">
        <v>212</v>
      </c>
      <c r="AB276" s="222" t="s">
        <v>212</v>
      </c>
      <c r="AC276" s="215"/>
    </row>
    <row r="277" spans="1:29" ht="13.5" customHeight="1">
      <c r="A277" s="215"/>
      <c r="B277" s="532">
        <v>39213</v>
      </c>
      <c r="C277" s="532"/>
      <c r="D277" s="219" t="s">
        <v>212</v>
      </c>
      <c r="E277" s="224">
        <v>30.6</v>
      </c>
      <c r="F277" s="533">
        <v>6</v>
      </c>
      <c r="G277" s="533"/>
      <c r="H277" s="224">
        <v>328.5</v>
      </c>
      <c r="I277" s="533">
        <v>24</v>
      </c>
      <c r="J277" s="533"/>
      <c r="K277" s="224">
        <v>310.5</v>
      </c>
      <c r="L277" s="225">
        <v>24</v>
      </c>
      <c r="M277" s="224">
        <v>0</v>
      </c>
      <c r="N277" s="225">
        <v>0</v>
      </c>
      <c r="O277" s="226">
        <v>669.6</v>
      </c>
      <c r="P277" s="222" t="s">
        <v>212</v>
      </c>
      <c r="Q277" s="224">
        <v>0</v>
      </c>
      <c r="R277" s="225">
        <v>0</v>
      </c>
      <c r="S277" s="224">
        <v>0</v>
      </c>
      <c r="T277" s="533">
        <v>0</v>
      </c>
      <c r="U277" s="533"/>
      <c r="V277" s="224">
        <v>0</v>
      </c>
      <c r="W277" s="222" t="s">
        <v>212</v>
      </c>
      <c r="X277" s="534">
        <v>669.6</v>
      </c>
      <c r="Y277" s="534"/>
      <c r="Z277" s="222" t="s">
        <v>212</v>
      </c>
      <c r="AA277" s="227">
        <v>9928000</v>
      </c>
      <c r="AB277" s="228">
        <v>0</v>
      </c>
      <c r="AC277" s="215"/>
    </row>
    <row r="278" spans="1:29" ht="2.25" customHeight="1">
      <c r="A278" s="215"/>
      <c r="B278" s="529" t="s">
        <v>212</v>
      </c>
      <c r="C278" s="529"/>
      <c r="D278" s="219" t="s">
        <v>212</v>
      </c>
      <c r="E278" s="222" t="s">
        <v>212</v>
      </c>
      <c r="F278" s="531" t="s">
        <v>212</v>
      </c>
      <c r="G278" s="531"/>
      <c r="H278" s="222" t="s">
        <v>212</v>
      </c>
      <c r="I278" s="531" t="s">
        <v>212</v>
      </c>
      <c r="J278" s="531"/>
      <c r="K278" s="222" t="s">
        <v>212</v>
      </c>
      <c r="L278" s="222" t="s">
        <v>212</v>
      </c>
      <c r="M278" s="222" t="s">
        <v>212</v>
      </c>
      <c r="N278" s="222" t="s">
        <v>212</v>
      </c>
      <c r="O278" s="222" t="s">
        <v>212</v>
      </c>
      <c r="P278" s="222" t="s">
        <v>212</v>
      </c>
      <c r="Q278" s="222" t="s">
        <v>212</v>
      </c>
      <c r="R278" s="222" t="s">
        <v>212</v>
      </c>
      <c r="S278" s="222" t="s">
        <v>212</v>
      </c>
      <c r="T278" s="531" t="s">
        <v>212</v>
      </c>
      <c r="U278" s="531"/>
      <c r="V278" s="222" t="s">
        <v>212</v>
      </c>
      <c r="W278" s="222" t="s">
        <v>212</v>
      </c>
      <c r="X278" s="531" t="s">
        <v>212</v>
      </c>
      <c r="Y278" s="531"/>
      <c r="Z278" s="222" t="s">
        <v>212</v>
      </c>
      <c r="AA278" s="222" t="s">
        <v>212</v>
      </c>
      <c r="AB278" s="222" t="s">
        <v>212</v>
      </c>
      <c r="AC278" s="215"/>
    </row>
    <row r="279" spans="1:29" ht="13.5" customHeight="1">
      <c r="A279" s="215"/>
      <c r="B279" s="535">
        <v>39214</v>
      </c>
      <c r="C279" s="535"/>
      <c r="D279" s="219" t="s">
        <v>212</v>
      </c>
      <c r="E279" s="229">
        <v>0</v>
      </c>
      <c r="F279" s="536">
        <v>0</v>
      </c>
      <c r="G279" s="536"/>
      <c r="H279" s="229">
        <v>325.3</v>
      </c>
      <c r="I279" s="536">
        <v>24</v>
      </c>
      <c r="J279" s="536"/>
      <c r="K279" s="229">
        <v>294.7</v>
      </c>
      <c r="L279" s="230">
        <v>24</v>
      </c>
      <c r="M279" s="229">
        <v>0</v>
      </c>
      <c r="N279" s="230">
        <v>0</v>
      </c>
      <c r="O279" s="231">
        <v>620</v>
      </c>
      <c r="P279" s="222" t="s">
        <v>212</v>
      </c>
      <c r="Q279" s="229">
        <v>0</v>
      </c>
      <c r="R279" s="230">
        <v>0</v>
      </c>
      <c r="S279" s="229">
        <v>0</v>
      </c>
      <c r="T279" s="536">
        <v>0</v>
      </c>
      <c r="U279" s="536"/>
      <c r="V279" s="229">
        <v>0</v>
      </c>
      <c r="W279" s="222" t="s">
        <v>212</v>
      </c>
      <c r="X279" s="530">
        <v>620</v>
      </c>
      <c r="Y279" s="530"/>
      <c r="Z279" s="222" t="s">
        <v>212</v>
      </c>
      <c r="AA279" s="232">
        <v>8381700</v>
      </c>
      <c r="AB279" s="233">
        <v>0</v>
      </c>
      <c r="AC279" s="215"/>
    </row>
    <row r="280" spans="1:29" ht="2.25" customHeight="1">
      <c r="A280" s="215"/>
      <c r="B280" s="529" t="s">
        <v>212</v>
      </c>
      <c r="C280" s="529"/>
      <c r="D280" s="219" t="s">
        <v>212</v>
      </c>
      <c r="E280" s="222" t="s">
        <v>212</v>
      </c>
      <c r="F280" s="531" t="s">
        <v>212</v>
      </c>
      <c r="G280" s="531"/>
      <c r="H280" s="222" t="s">
        <v>212</v>
      </c>
      <c r="I280" s="531" t="s">
        <v>212</v>
      </c>
      <c r="J280" s="531"/>
      <c r="K280" s="222" t="s">
        <v>212</v>
      </c>
      <c r="L280" s="222" t="s">
        <v>212</v>
      </c>
      <c r="M280" s="222" t="s">
        <v>212</v>
      </c>
      <c r="N280" s="222" t="s">
        <v>212</v>
      </c>
      <c r="O280" s="222" t="s">
        <v>212</v>
      </c>
      <c r="P280" s="222" t="s">
        <v>212</v>
      </c>
      <c r="Q280" s="222" t="s">
        <v>212</v>
      </c>
      <c r="R280" s="222" t="s">
        <v>212</v>
      </c>
      <c r="S280" s="222" t="s">
        <v>212</v>
      </c>
      <c r="T280" s="531" t="s">
        <v>212</v>
      </c>
      <c r="U280" s="531"/>
      <c r="V280" s="222" t="s">
        <v>212</v>
      </c>
      <c r="W280" s="222" t="s">
        <v>212</v>
      </c>
      <c r="X280" s="531" t="s">
        <v>212</v>
      </c>
      <c r="Y280" s="531"/>
      <c r="Z280" s="222" t="s">
        <v>212</v>
      </c>
      <c r="AA280" s="222" t="s">
        <v>212</v>
      </c>
      <c r="AB280" s="222" t="s">
        <v>212</v>
      </c>
      <c r="AC280" s="215"/>
    </row>
    <row r="281" spans="1:29" ht="13.5" customHeight="1">
      <c r="A281" s="215"/>
      <c r="B281" s="532">
        <v>39215</v>
      </c>
      <c r="C281" s="532"/>
      <c r="D281" s="219" t="s">
        <v>212</v>
      </c>
      <c r="E281" s="224">
        <v>48.3</v>
      </c>
      <c r="F281" s="533">
        <v>8</v>
      </c>
      <c r="G281" s="533"/>
      <c r="H281" s="224">
        <v>303.5</v>
      </c>
      <c r="I281" s="533">
        <v>23</v>
      </c>
      <c r="J281" s="533"/>
      <c r="K281" s="224">
        <v>206</v>
      </c>
      <c r="L281" s="225">
        <v>21</v>
      </c>
      <c r="M281" s="224">
        <v>0</v>
      </c>
      <c r="N281" s="225">
        <v>0</v>
      </c>
      <c r="O281" s="226">
        <v>557.79999999999995</v>
      </c>
      <c r="P281" s="222" t="s">
        <v>212</v>
      </c>
      <c r="Q281" s="224">
        <v>11</v>
      </c>
      <c r="R281" s="225">
        <v>1</v>
      </c>
      <c r="S281" s="224">
        <v>0</v>
      </c>
      <c r="T281" s="533">
        <v>0</v>
      </c>
      <c r="U281" s="533"/>
      <c r="V281" s="224">
        <v>11</v>
      </c>
      <c r="W281" s="222" t="s">
        <v>212</v>
      </c>
      <c r="X281" s="534">
        <v>568.79999999999995</v>
      </c>
      <c r="Y281" s="534"/>
      <c r="Z281" s="222" t="s">
        <v>212</v>
      </c>
      <c r="AA281" s="227">
        <v>8339100</v>
      </c>
      <c r="AB281" s="228">
        <v>0</v>
      </c>
      <c r="AC281" s="215"/>
    </row>
    <row r="282" spans="1:29" ht="2.25" customHeight="1">
      <c r="A282" s="215"/>
      <c r="B282" s="529" t="s">
        <v>212</v>
      </c>
      <c r="C282" s="529"/>
      <c r="D282" s="219" t="s">
        <v>212</v>
      </c>
      <c r="E282" s="222" t="s">
        <v>212</v>
      </c>
      <c r="F282" s="531" t="s">
        <v>212</v>
      </c>
      <c r="G282" s="531"/>
      <c r="H282" s="222" t="s">
        <v>212</v>
      </c>
      <c r="I282" s="531" t="s">
        <v>212</v>
      </c>
      <c r="J282" s="531"/>
      <c r="K282" s="222" t="s">
        <v>212</v>
      </c>
      <c r="L282" s="222" t="s">
        <v>212</v>
      </c>
      <c r="M282" s="222" t="s">
        <v>212</v>
      </c>
      <c r="N282" s="222" t="s">
        <v>212</v>
      </c>
      <c r="O282" s="222" t="s">
        <v>212</v>
      </c>
      <c r="P282" s="222" t="s">
        <v>212</v>
      </c>
      <c r="Q282" s="222" t="s">
        <v>212</v>
      </c>
      <c r="R282" s="222" t="s">
        <v>212</v>
      </c>
      <c r="S282" s="222" t="s">
        <v>212</v>
      </c>
      <c r="T282" s="531" t="s">
        <v>212</v>
      </c>
      <c r="U282" s="531"/>
      <c r="V282" s="222" t="s">
        <v>212</v>
      </c>
      <c r="W282" s="222" t="s">
        <v>212</v>
      </c>
      <c r="X282" s="531" t="s">
        <v>212</v>
      </c>
      <c r="Y282" s="531"/>
      <c r="Z282" s="222" t="s">
        <v>212</v>
      </c>
      <c r="AA282" s="222" t="s">
        <v>212</v>
      </c>
      <c r="AB282" s="222" t="s">
        <v>212</v>
      </c>
      <c r="AC282" s="215"/>
    </row>
    <row r="283" spans="1:29" ht="13.5" customHeight="1">
      <c r="A283" s="215"/>
      <c r="B283" s="535">
        <v>39216</v>
      </c>
      <c r="C283" s="535"/>
      <c r="D283" s="219" t="s">
        <v>212</v>
      </c>
      <c r="E283" s="229">
        <v>0</v>
      </c>
      <c r="F283" s="536">
        <v>0</v>
      </c>
      <c r="G283" s="536"/>
      <c r="H283" s="229">
        <v>311.7</v>
      </c>
      <c r="I283" s="536">
        <v>24</v>
      </c>
      <c r="J283" s="536"/>
      <c r="K283" s="229">
        <v>265.5</v>
      </c>
      <c r="L283" s="230">
        <v>24</v>
      </c>
      <c r="M283" s="229">
        <v>0</v>
      </c>
      <c r="N283" s="230">
        <v>0</v>
      </c>
      <c r="O283" s="231">
        <v>577.20000000000005</v>
      </c>
      <c r="P283" s="222" t="s">
        <v>212</v>
      </c>
      <c r="Q283" s="229">
        <v>0</v>
      </c>
      <c r="R283" s="230">
        <v>0</v>
      </c>
      <c r="S283" s="229">
        <v>0</v>
      </c>
      <c r="T283" s="536">
        <v>0</v>
      </c>
      <c r="U283" s="536"/>
      <c r="V283" s="229">
        <v>0</v>
      </c>
      <c r="W283" s="222" t="s">
        <v>212</v>
      </c>
      <c r="X283" s="530">
        <v>577.20000000000005</v>
      </c>
      <c r="Y283" s="530"/>
      <c r="Z283" s="222" t="s">
        <v>212</v>
      </c>
      <c r="AA283" s="232">
        <v>8068700</v>
      </c>
      <c r="AB283" s="233">
        <v>0</v>
      </c>
      <c r="AC283" s="215"/>
    </row>
    <row r="284" spans="1:29" ht="2.25" customHeight="1">
      <c r="A284" s="215"/>
      <c r="B284" s="529" t="s">
        <v>212</v>
      </c>
      <c r="C284" s="529"/>
      <c r="D284" s="219" t="s">
        <v>212</v>
      </c>
      <c r="E284" s="222" t="s">
        <v>212</v>
      </c>
      <c r="F284" s="531" t="s">
        <v>212</v>
      </c>
      <c r="G284" s="531"/>
      <c r="H284" s="222" t="s">
        <v>212</v>
      </c>
      <c r="I284" s="531" t="s">
        <v>212</v>
      </c>
      <c r="J284" s="531"/>
      <c r="K284" s="222" t="s">
        <v>212</v>
      </c>
      <c r="L284" s="222" t="s">
        <v>212</v>
      </c>
      <c r="M284" s="222" t="s">
        <v>212</v>
      </c>
      <c r="N284" s="222" t="s">
        <v>212</v>
      </c>
      <c r="O284" s="222" t="s">
        <v>212</v>
      </c>
      <c r="P284" s="222" t="s">
        <v>212</v>
      </c>
      <c r="Q284" s="222" t="s">
        <v>212</v>
      </c>
      <c r="R284" s="222" t="s">
        <v>212</v>
      </c>
      <c r="S284" s="222" t="s">
        <v>212</v>
      </c>
      <c r="T284" s="531" t="s">
        <v>212</v>
      </c>
      <c r="U284" s="531"/>
      <c r="V284" s="222" t="s">
        <v>212</v>
      </c>
      <c r="W284" s="222" t="s">
        <v>212</v>
      </c>
      <c r="X284" s="531" t="s">
        <v>212</v>
      </c>
      <c r="Y284" s="531"/>
      <c r="Z284" s="222" t="s">
        <v>212</v>
      </c>
      <c r="AA284" s="222" t="s">
        <v>212</v>
      </c>
      <c r="AB284" s="222" t="s">
        <v>212</v>
      </c>
      <c r="AC284" s="215"/>
    </row>
    <row r="285" spans="1:29" ht="13.5" customHeight="1">
      <c r="A285" s="215"/>
      <c r="B285" s="532">
        <v>39217</v>
      </c>
      <c r="C285" s="532"/>
      <c r="D285" s="219" t="s">
        <v>212</v>
      </c>
      <c r="E285" s="224">
        <v>0</v>
      </c>
      <c r="F285" s="533">
        <v>0</v>
      </c>
      <c r="G285" s="533"/>
      <c r="H285" s="224">
        <v>370.8</v>
      </c>
      <c r="I285" s="533">
        <v>24</v>
      </c>
      <c r="J285" s="533"/>
      <c r="K285" s="224">
        <v>310.5</v>
      </c>
      <c r="L285" s="225">
        <v>24</v>
      </c>
      <c r="M285" s="224">
        <v>0</v>
      </c>
      <c r="N285" s="225">
        <v>0</v>
      </c>
      <c r="O285" s="226">
        <v>681.3</v>
      </c>
      <c r="P285" s="222" t="s">
        <v>212</v>
      </c>
      <c r="Q285" s="224">
        <v>0</v>
      </c>
      <c r="R285" s="225">
        <v>0</v>
      </c>
      <c r="S285" s="224">
        <v>0</v>
      </c>
      <c r="T285" s="533">
        <v>0</v>
      </c>
      <c r="U285" s="533"/>
      <c r="V285" s="224">
        <v>0</v>
      </c>
      <c r="W285" s="222" t="s">
        <v>212</v>
      </c>
      <c r="X285" s="534">
        <v>681.3</v>
      </c>
      <c r="Y285" s="534"/>
      <c r="Z285" s="222" t="s">
        <v>212</v>
      </c>
      <c r="AA285" s="227">
        <v>8907500</v>
      </c>
      <c r="AB285" s="228">
        <v>0</v>
      </c>
      <c r="AC285" s="215"/>
    </row>
    <row r="286" spans="1:29" ht="2.25" customHeight="1">
      <c r="A286" s="215"/>
      <c r="B286" s="529" t="s">
        <v>212</v>
      </c>
      <c r="C286" s="529"/>
      <c r="D286" s="219" t="s">
        <v>212</v>
      </c>
      <c r="E286" s="222" t="s">
        <v>212</v>
      </c>
      <c r="F286" s="531" t="s">
        <v>212</v>
      </c>
      <c r="G286" s="531"/>
      <c r="H286" s="222" t="s">
        <v>212</v>
      </c>
      <c r="I286" s="531" t="s">
        <v>212</v>
      </c>
      <c r="J286" s="531"/>
      <c r="K286" s="222" t="s">
        <v>212</v>
      </c>
      <c r="L286" s="222" t="s">
        <v>212</v>
      </c>
      <c r="M286" s="222" t="s">
        <v>212</v>
      </c>
      <c r="N286" s="222" t="s">
        <v>212</v>
      </c>
      <c r="O286" s="222" t="s">
        <v>212</v>
      </c>
      <c r="P286" s="222" t="s">
        <v>212</v>
      </c>
      <c r="Q286" s="222" t="s">
        <v>212</v>
      </c>
      <c r="R286" s="222" t="s">
        <v>212</v>
      </c>
      <c r="S286" s="222" t="s">
        <v>212</v>
      </c>
      <c r="T286" s="531" t="s">
        <v>212</v>
      </c>
      <c r="U286" s="531"/>
      <c r="V286" s="222" t="s">
        <v>212</v>
      </c>
      <c r="W286" s="222" t="s">
        <v>212</v>
      </c>
      <c r="X286" s="531" t="s">
        <v>212</v>
      </c>
      <c r="Y286" s="531"/>
      <c r="Z286" s="222" t="s">
        <v>212</v>
      </c>
      <c r="AA286" s="222" t="s">
        <v>212</v>
      </c>
      <c r="AB286" s="222" t="s">
        <v>212</v>
      </c>
      <c r="AC286" s="215"/>
    </row>
    <row r="287" spans="1:29" ht="13.5" customHeight="1">
      <c r="A287" s="215"/>
      <c r="B287" s="535">
        <v>39218</v>
      </c>
      <c r="C287" s="535"/>
      <c r="D287" s="219" t="s">
        <v>212</v>
      </c>
      <c r="E287" s="229">
        <v>0</v>
      </c>
      <c r="F287" s="536">
        <v>0</v>
      </c>
      <c r="G287" s="536"/>
      <c r="H287" s="229">
        <v>356</v>
      </c>
      <c r="I287" s="536">
        <v>24</v>
      </c>
      <c r="J287" s="536"/>
      <c r="K287" s="229">
        <v>312.8</v>
      </c>
      <c r="L287" s="230">
        <v>24</v>
      </c>
      <c r="M287" s="229">
        <v>0</v>
      </c>
      <c r="N287" s="230">
        <v>0</v>
      </c>
      <c r="O287" s="231">
        <v>668.8</v>
      </c>
      <c r="P287" s="222" t="s">
        <v>212</v>
      </c>
      <c r="Q287" s="229">
        <v>0</v>
      </c>
      <c r="R287" s="230">
        <v>0</v>
      </c>
      <c r="S287" s="229">
        <v>0</v>
      </c>
      <c r="T287" s="536">
        <v>0</v>
      </c>
      <c r="U287" s="536"/>
      <c r="V287" s="229">
        <v>0</v>
      </c>
      <c r="W287" s="222" t="s">
        <v>212</v>
      </c>
      <c r="X287" s="530">
        <v>668.8</v>
      </c>
      <c r="Y287" s="530"/>
      <c r="Z287" s="222" t="s">
        <v>212</v>
      </c>
      <c r="AA287" s="232">
        <v>8823300</v>
      </c>
      <c r="AB287" s="233">
        <v>0</v>
      </c>
      <c r="AC287" s="215"/>
    </row>
    <row r="288" spans="1:29" ht="2.25" customHeight="1">
      <c r="A288" s="215"/>
      <c r="B288" s="529" t="s">
        <v>212</v>
      </c>
      <c r="C288" s="529"/>
      <c r="D288" s="219" t="s">
        <v>212</v>
      </c>
      <c r="E288" s="222" t="s">
        <v>212</v>
      </c>
      <c r="F288" s="531" t="s">
        <v>212</v>
      </c>
      <c r="G288" s="531"/>
      <c r="H288" s="222" t="s">
        <v>212</v>
      </c>
      <c r="I288" s="531" t="s">
        <v>212</v>
      </c>
      <c r="J288" s="531"/>
      <c r="K288" s="222" t="s">
        <v>212</v>
      </c>
      <c r="L288" s="222" t="s">
        <v>212</v>
      </c>
      <c r="M288" s="222" t="s">
        <v>212</v>
      </c>
      <c r="N288" s="222" t="s">
        <v>212</v>
      </c>
      <c r="O288" s="222" t="s">
        <v>212</v>
      </c>
      <c r="P288" s="222" t="s">
        <v>212</v>
      </c>
      <c r="Q288" s="222" t="s">
        <v>212</v>
      </c>
      <c r="R288" s="222" t="s">
        <v>212</v>
      </c>
      <c r="S288" s="222" t="s">
        <v>212</v>
      </c>
      <c r="T288" s="531" t="s">
        <v>212</v>
      </c>
      <c r="U288" s="531"/>
      <c r="V288" s="222" t="s">
        <v>212</v>
      </c>
      <c r="W288" s="222" t="s">
        <v>212</v>
      </c>
      <c r="X288" s="531" t="s">
        <v>212</v>
      </c>
      <c r="Y288" s="531"/>
      <c r="Z288" s="222" t="s">
        <v>212</v>
      </c>
      <c r="AA288" s="222" t="s">
        <v>212</v>
      </c>
      <c r="AB288" s="222" t="s">
        <v>212</v>
      </c>
      <c r="AC288" s="215"/>
    </row>
    <row r="289" spans="1:29" ht="13.5" customHeight="1">
      <c r="A289" s="215"/>
      <c r="B289" s="532">
        <v>39219</v>
      </c>
      <c r="C289" s="532"/>
      <c r="D289" s="219" t="s">
        <v>212</v>
      </c>
      <c r="E289" s="224">
        <v>0</v>
      </c>
      <c r="F289" s="533">
        <v>0</v>
      </c>
      <c r="G289" s="533"/>
      <c r="H289" s="224">
        <v>361.2</v>
      </c>
      <c r="I289" s="533">
        <v>24</v>
      </c>
      <c r="J289" s="533"/>
      <c r="K289" s="224">
        <v>309.89999999999998</v>
      </c>
      <c r="L289" s="225">
        <v>24</v>
      </c>
      <c r="M289" s="224">
        <v>0</v>
      </c>
      <c r="N289" s="225">
        <v>0</v>
      </c>
      <c r="O289" s="226">
        <v>671.1</v>
      </c>
      <c r="P289" s="222" t="s">
        <v>212</v>
      </c>
      <c r="Q289" s="224">
        <v>0</v>
      </c>
      <c r="R289" s="225">
        <v>0</v>
      </c>
      <c r="S289" s="224">
        <v>0</v>
      </c>
      <c r="T289" s="533">
        <v>0</v>
      </c>
      <c r="U289" s="533"/>
      <c r="V289" s="224">
        <v>0</v>
      </c>
      <c r="W289" s="222" t="s">
        <v>212</v>
      </c>
      <c r="X289" s="534">
        <v>671.1</v>
      </c>
      <c r="Y289" s="534"/>
      <c r="Z289" s="222" t="s">
        <v>212</v>
      </c>
      <c r="AA289" s="227">
        <v>8815800</v>
      </c>
      <c r="AB289" s="228">
        <v>0</v>
      </c>
      <c r="AC289" s="215"/>
    </row>
    <row r="290" spans="1:29" ht="2.25" customHeight="1">
      <c r="A290" s="215"/>
      <c r="B290" s="529" t="s">
        <v>212</v>
      </c>
      <c r="C290" s="529"/>
      <c r="D290" s="219" t="s">
        <v>212</v>
      </c>
      <c r="E290" s="222" t="s">
        <v>212</v>
      </c>
      <c r="F290" s="531" t="s">
        <v>212</v>
      </c>
      <c r="G290" s="531"/>
      <c r="H290" s="222" t="s">
        <v>212</v>
      </c>
      <c r="I290" s="531" t="s">
        <v>212</v>
      </c>
      <c r="J290" s="531"/>
      <c r="K290" s="222" t="s">
        <v>212</v>
      </c>
      <c r="L290" s="222" t="s">
        <v>212</v>
      </c>
      <c r="M290" s="222" t="s">
        <v>212</v>
      </c>
      <c r="N290" s="222" t="s">
        <v>212</v>
      </c>
      <c r="O290" s="222" t="s">
        <v>212</v>
      </c>
      <c r="P290" s="222" t="s">
        <v>212</v>
      </c>
      <c r="Q290" s="222" t="s">
        <v>212</v>
      </c>
      <c r="R290" s="222" t="s">
        <v>212</v>
      </c>
      <c r="S290" s="222" t="s">
        <v>212</v>
      </c>
      <c r="T290" s="531" t="s">
        <v>212</v>
      </c>
      <c r="U290" s="531"/>
      <c r="V290" s="222" t="s">
        <v>212</v>
      </c>
      <c r="W290" s="222" t="s">
        <v>212</v>
      </c>
      <c r="X290" s="531" t="s">
        <v>212</v>
      </c>
      <c r="Y290" s="531"/>
      <c r="Z290" s="222" t="s">
        <v>212</v>
      </c>
      <c r="AA290" s="222" t="s">
        <v>212</v>
      </c>
      <c r="AB290" s="222" t="s">
        <v>212</v>
      </c>
      <c r="AC290" s="215"/>
    </row>
    <row r="291" spans="1:29" ht="13.5" customHeight="1">
      <c r="A291" s="215"/>
      <c r="B291" s="535">
        <v>39220</v>
      </c>
      <c r="C291" s="535"/>
      <c r="D291" s="219" t="s">
        <v>212</v>
      </c>
      <c r="E291" s="229">
        <v>0</v>
      </c>
      <c r="F291" s="536">
        <v>0</v>
      </c>
      <c r="G291" s="536"/>
      <c r="H291" s="229">
        <v>354.8</v>
      </c>
      <c r="I291" s="536">
        <v>24</v>
      </c>
      <c r="J291" s="536"/>
      <c r="K291" s="229">
        <v>299.3</v>
      </c>
      <c r="L291" s="230">
        <v>24</v>
      </c>
      <c r="M291" s="229">
        <v>0</v>
      </c>
      <c r="N291" s="230">
        <v>0</v>
      </c>
      <c r="O291" s="231">
        <v>654.1</v>
      </c>
      <c r="P291" s="222" t="s">
        <v>212</v>
      </c>
      <c r="Q291" s="229">
        <v>0</v>
      </c>
      <c r="R291" s="230">
        <v>0</v>
      </c>
      <c r="S291" s="229">
        <v>0</v>
      </c>
      <c r="T291" s="536">
        <v>0</v>
      </c>
      <c r="U291" s="536"/>
      <c r="V291" s="229">
        <v>0</v>
      </c>
      <c r="W291" s="222" t="s">
        <v>212</v>
      </c>
      <c r="X291" s="530">
        <v>654.1</v>
      </c>
      <c r="Y291" s="530"/>
      <c r="Z291" s="222" t="s">
        <v>212</v>
      </c>
      <c r="AA291" s="232">
        <v>8692800</v>
      </c>
      <c r="AB291" s="233">
        <v>0</v>
      </c>
      <c r="AC291" s="215"/>
    </row>
    <row r="292" spans="1:29" ht="2.25" customHeight="1">
      <c r="A292" s="215"/>
      <c r="B292" s="529" t="s">
        <v>212</v>
      </c>
      <c r="C292" s="529"/>
      <c r="D292" s="219" t="s">
        <v>212</v>
      </c>
      <c r="E292" s="222" t="s">
        <v>212</v>
      </c>
      <c r="F292" s="531" t="s">
        <v>212</v>
      </c>
      <c r="G292" s="531"/>
      <c r="H292" s="222" t="s">
        <v>212</v>
      </c>
      <c r="I292" s="531" t="s">
        <v>212</v>
      </c>
      <c r="J292" s="531"/>
      <c r="K292" s="222" t="s">
        <v>212</v>
      </c>
      <c r="L292" s="222" t="s">
        <v>212</v>
      </c>
      <c r="M292" s="222" t="s">
        <v>212</v>
      </c>
      <c r="N292" s="222" t="s">
        <v>212</v>
      </c>
      <c r="O292" s="222" t="s">
        <v>212</v>
      </c>
      <c r="P292" s="222" t="s">
        <v>212</v>
      </c>
      <c r="Q292" s="222" t="s">
        <v>212</v>
      </c>
      <c r="R292" s="222" t="s">
        <v>212</v>
      </c>
      <c r="S292" s="222" t="s">
        <v>212</v>
      </c>
      <c r="T292" s="531" t="s">
        <v>212</v>
      </c>
      <c r="U292" s="531"/>
      <c r="V292" s="222" t="s">
        <v>212</v>
      </c>
      <c r="W292" s="222" t="s">
        <v>212</v>
      </c>
      <c r="X292" s="531" t="s">
        <v>212</v>
      </c>
      <c r="Y292" s="531"/>
      <c r="Z292" s="222" t="s">
        <v>212</v>
      </c>
      <c r="AA292" s="222" t="s">
        <v>212</v>
      </c>
      <c r="AB292" s="222" t="s">
        <v>212</v>
      </c>
      <c r="AC292" s="215"/>
    </row>
    <row r="293" spans="1:29" ht="13.5" customHeight="1">
      <c r="A293" s="215"/>
      <c r="B293" s="532">
        <v>39221</v>
      </c>
      <c r="C293" s="532"/>
      <c r="D293" s="219" t="s">
        <v>212</v>
      </c>
      <c r="E293" s="224">
        <v>0</v>
      </c>
      <c r="F293" s="533">
        <v>2</v>
      </c>
      <c r="G293" s="533"/>
      <c r="H293" s="224">
        <v>326</v>
      </c>
      <c r="I293" s="533">
        <v>24</v>
      </c>
      <c r="J293" s="533"/>
      <c r="K293" s="224">
        <v>277</v>
      </c>
      <c r="L293" s="225">
        <v>24</v>
      </c>
      <c r="M293" s="224">
        <v>0</v>
      </c>
      <c r="N293" s="225">
        <v>0</v>
      </c>
      <c r="O293" s="226">
        <v>603</v>
      </c>
      <c r="P293" s="222" t="s">
        <v>212</v>
      </c>
      <c r="Q293" s="224">
        <v>0</v>
      </c>
      <c r="R293" s="225">
        <v>0</v>
      </c>
      <c r="S293" s="224">
        <v>0</v>
      </c>
      <c r="T293" s="533">
        <v>0</v>
      </c>
      <c r="U293" s="533"/>
      <c r="V293" s="224">
        <v>0</v>
      </c>
      <c r="W293" s="222" t="s">
        <v>212</v>
      </c>
      <c r="X293" s="534">
        <v>603</v>
      </c>
      <c r="Y293" s="534"/>
      <c r="Z293" s="222" t="s">
        <v>212</v>
      </c>
      <c r="AA293" s="227">
        <v>8472800</v>
      </c>
      <c r="AB293" s="228">
        <v>280</v>
      </c>
      <c r="AC293" s="215"/>
    </row>
    <row r="294" spans="1:29" ht="2.25" customHeight="1">
      <c r="A294" s="215"/>
      <c r="B294" s="529" t="s">
        <v>212</v>
      </c>
      <c r="C294" s="529"/>
      <c r="D294" s="219" t="s">
        <v>212</v>
      </c>
      <c r="E294" s="222" t="s">
        <v>212</v>
      </c>
      <c r="F294" s="531" t="s">
        <v>212</v>
      </c>
      <c r="G294" s="531"/>
      <c r="H294" s="222" t="s">
        <v>212</v>
      </c>
      <c r="I294" s="531" t="s">
        <v>212</v>
      </c>
      <c r="J294" s="531"/>
      <c r="K294" s="222" t="s">
        <v>212</v>
      </c>
      <c r="L294" s="222" t="s">
        <v>212</v>
      </c>
      <c r="M294" s="222" t="s">
        <v>212</v>
      </c>
      <c r="N294" s="222" t="s">
        <v>212</v>
      </c>
      <c r="O294" s="222" t="s">
        <v>212</v>
      </c>
      <c r="P294" s="222" t="s">
        <v>212</v>
      </c>
      <c r="Q294" s="222" t="s">
        <v>212</v>
      </c>
      <c r="R294" s="222" t="s">
        <v>212</v>
      </c>
      <c r="S294" s="222" t="s">
        <v>212</v>
      </c>
      <c r="T294" s="531" t="s">
        <v>212</v>
      </c>
      <c r="U294" s="531"/>
      <c r="V294" s="222" t="s">
        <v>212</v>
      </c>
      <c r="W294" s="222" t="s">
        <v>212</v>
      </c>
      <c r="X294" s="531" t="s">
        <v>212</v>
      </c>
      <c r="Y294" s="531"/>
      <c r="Z294" s="222" t="s">
        <v>212</v>
      </c>
      <c r="AA294" s="222" t="s">
        <v>212</v>
      </c>
      <c r="AB294" s="222" t="s">
        <v>212</v>
      </c>
      <c r="AC294" s="215"/>
    </row>
    <row r="295" spans="1:29" ht="13.5" customHeight="1">
      <c r="A295" s="215"/>
      <c r="B295" s="535">
        <v>39222</v>
      </c>
      <c r="C295" s="535"/>
      <c r="D295" s="219" t="s">
        <v>212</v>
      </c>
      <c r="E295" s="229">
        <v>0</v>
      </c>
      <c r="F295" s="536">
        <v>0</v>
      </c>
      <c r="G295" s="536"/>
      <c r="H295" s="229">
        <v>339.4</v>
      </c>
      <c r="I295" s="536">
        <v>24</v>
      </c>
      <c r="J295" s="536"/>
      <c r="K295" s="229">
        <v>281.2</v>
      </c>
      <c r="L295" s="230">
        <v>24</v>
      </c>
      <c r="M295" s="229">
        <v>0</v>
      </c>
      <c r="N295" s="230">
        <v>0</v>
      </c>
      <c r="O295" s="231">
        <v>620.6</v>
      </c>
      <c r="P295" s="222" t="s">
        <v>212</v>
      </c>
      <c r="Q295" s="229">
        <v>0</v>
      </c>
      <c r="R295" s="230">
        <v>0</v>
      </c>
      <c r="S295" s="229">
        <v>0</v>
      </c>
      <c r="T295" s="536">
        <v>0</v>
      </c>
      <c r="U295" s="536"/>
      <c r="V295" s="229">
        <v>0</v>
      </c>
      <c r="W295" s="222" t="s">
        <v>212</v>
      </c>
      <c r="X295" s="530">
        <v>620.6</v>
      </c>
      <c r="Y295" s="530"/>
      <c r="Z295" s="222" t="s">
        <v>212</v>
      </c>
      <c r="AA295" s="232">
        <v>8385700</v>
      </c>
      <c r="AB295" s="233">
        <v>0</v>
      </c>
      <c r="AC295" s="215"/>
    </row>
    <row r="296" spans="1:29" ht="2.25" customHeight="1">
      <c r="A296" s="215"/>
      <c r="B296" s="529" t="s">
        <v>212</v>
      </c>
      <c r="C296" s="529"/>
      <c r="D296" s="219" t="s">
        <v>212</v>
      </c>
      <c r="E296" s="222" t="s">
        <v>212</v>
      </c>
      <c r="F296" s="531" t="s">
        <v>212</v>
      </c>
      <c r="G296" s="531"/>
      <c r="H296" s="222" t="s">
        <v>212</v>
      </c>
      <c r="I296" s="531" t="s">
        <v>212</v>
      </c>
      <c r="J296" s="531"/>
      <c r="K296" s="222" t="s">
        <v>212</v>
      </c>
      <c r="L296" s="222" t="s">
        <v>212</v>
      </c>
      <c r="M296" s="222" t="s">
        <v>212</v>
      </c>
      <c r="N296" s="222" t="s">
        <v>212</v>
      </c>
      <c r="O296" s="222" t="s">
        <v>212</v>
      </c>
      <c r="P296" s="222" t="s">
        <v>212</v>
      </c>
      <c r="Q296" s="222" t="s">
        <v>212</v>
      </c>
      <c r="R296" s="222" t="s">
        <v>212</v>
      </c>
      <c r="S296" s="222" t="s">
        <v>212</v>
      </c>
      <c r="T296" s="531" t="s">
        <v>212</v>
      </c>
      <c r="U296" s="531"/>
      <c r="V296" s="222" t="s">
        <v>212</v>
      </c>
      <c r="W296" s="222" t="s">
        <v>212</v>
      </c>
      <c r="X296" s="531" t="s">
        <v>212</v>
      </c>
      <c r="Y296" s="531"/>
      <c r="Z296" s="222" t="s">
        <v>212</v>
      </c>
      <c r="AA296" s="222" t="s">
        <v>212</v>
      </c>
      <c r="AB296" s="222" t="s">
        <v>212</v>
      </c>
      <c r="AC296" s="215"/>
    </row>
    <row r="297" spans="1:29" ht="13.5" customHeight="1">
      <c r="A297" s="215"/>
      <c r="B297" s="532">
        <v>39223</v>
      </c>
      <c r="C297" s="532"/>
      <c r="D297" s="219" t="s">
        <v>212</v>
      </c>
      <c r="E297" s="224">
        <v>0</v>
      </c>
      <c r="F297" s="533">
        <v>0</v>
      </c>
      <c r="G297" s="533"/>
      <c r="H297" s="224">
        <v>312.3</v>
      </c>
      <c r="I297" s="533">
        <v>24</v>
      </c>
      <c r="J297" s="533"/>
      <c r="K297" s="224">
        <v>242.4</v>
      </c>
      <c r="L297" s="225">
        <v>24</v>
      </c>
      <c r="M297" s="224">
        <v>0</v>
      </c>
      <c r="N297" s="225">
        <v>0</v>
      </c>
      <c r="O297" s="226">
        <v>554.70000000000005</v>
      </c>
      <c r="P297" s="222" t="s">
        <v>212</v>
      </c>
      <c r="Q297" s="224">
        <v>0</v>
      </c>
      <c r="R297" s="225">
        <v>24</v>
      </c>
      <c r="S297" s="224">
        <v>0</v>
      </c>
      <c r="T297" s="533">
        <v>24</v>
      </c>
      <c r="U297" s="533"/>
      <c r="V297" s="224">
        <v>0</v>
      </c>
      <c r="W297" s="222" t="s">
        <v>212</v>
      </c>
      <c r="X297" s="534">
        <v>554.70000000000005</v>
      </c>
      <c r="Y297" s="534"/>
      <c r="Z297" s="222" t="s">
        <v>212</v>
      </c>
      <c r="AA297" s="227">
        <v>7868500</v>
      </c>
      <c r="AB297" s="228">
        <v>0</v>
      </c>
      <c r="AC297" s="215"/>
    </row>
    <row r="298" spans="1:29" ht="2.25" customHeight="1">
      <c r="A298" s="215"/>
      <c r="B298" s="529" t="s">
        <v>212</v>
      </c>
      <c r="C298" s="529"/>
      <c r="D298" s="219" t="s">
        <v>212</v>
      </c>
      <c r="E298" s="222" t="s">
        <v>212</v>
      </c>
      <c r="F298" s="531" t="s">
        <v>212</v>
      </c>
      <c r="G298" s="531"/>
      <c r="H298" s="222" t="s">
        <v>212</v>
      </c>
      <c r="I298" s="531" t="s">
        <v>212</v>
      </c>
      <c r="J298" s="531"/>
      <c r="K298" s="222" t="s">
        <v>212</v>
      </c>
      <c r="L298" s="222" t="s">
        <v>212</v>
      </c>
      <c r="M298" s="222" t="s">
        <v>212</v>
      </c>
      <c r="N298" s="222" t="s">
        <v>212</v>
      </c>
      <c r="O298" s="222" t="s">
        <v>212</v>
      </c>
      <c r="P298" s="222" t="s">
        <v>212</v>
      </c>
      <c r="Q298" s="222" t="s">
        <v>212</v>
      </c>
      <c r="R298" s="222" t="s">
        <v>212</v>
      </c>
      <c r="S298" s="222" t="s">
        <v>212</v>
      </c>
      <c r="T298" s="531" t="s">
        <v>212</v>
      </c>
      <c r="U298" s="531"/>
      <c r="V298" s="222" t="s">
        <v>212</v>
      </c>
      <c r="W298" s="222" t="s">
        <v>212</v>
      </c>
      <c r="X298" s="531" t="s">
        <v>212</v>
      </c>
      <c r="Y298" s="531"/>
      <c r="Z298" s="222" t="s">
        <v>212</v>
      </c>
      <c r="AA298" s="222" t="s">
        <v>212</v>
      </c>
      <c r="AB298" s="222" t="s">
        <v>212</v>
      </c>
      <c r="AC298" s="215"/>
    </row>
    <row r="299" spans="1:29" ht="13.5" customHeight="1">
      <c r="A299" s="215"/>
      <c r="B299" s="535">
        <v>39224</v>
      </c>
      <c r="C299" s="535"/>
      <c r="D299" s="219" t="s">
        <v>212</v>
      </c>
      <c r="E299" s="229">
        <v>0</v>
      </c>
      <c r="F299" s="536">
        <v>0</v>
      </c>
      <c r="G299" s="536"/>
      <c r="H299" s="229">
        <v>346.3</v>
      </c>
      <c r="I299" s="536">
        <v>24</v>
      </c>
      <c r="J299" s="536"/>
      <c r="K299" s="229">
        <v>308.39999999999998</v>
      </c>
      <c r="L299" s="230">
        <v>24</v>
      </c>
      <c r="M299" s="229">
        <v>0</v>
      </c>
      <c r="N299" s="230">
        <v>0</v>
      </c>
      <c r="O299" s="231">
        <v>654.70000000000005</v>
      </c>
      <c r="P299" s="222" t="s">
        <v>212</v>
      </c>
      <c r="Q299" s="229">
        <v>0</v>
      </c>
      <c r="R299" s="230">
        <v>0</v>
      </c>
      <c r="S299" s="229">
        <v>0</v>
      </c>
      <c r="T299" s="536">
        <v>0</v>
      </c>
      <c r="U299" s="536"/>
      <c r="V299" s="229">
        <v>0</v>
      </c>
      <c r="W299" s="222" t="s">
        <v>212</v>
      </c>
      <c r="X299" s="530">
        <v>654.70000000000005</v>
      </c>
      <c r="Y299" s="530"/>
      <c r="Z299" s="222" t="s">
        <v>212</v>
      </c>
      <c r="AA299" s="232">
        <v>8698400</v>
      </c>
      <c r="AB299" s="233">
        <v>0</v>
      </c>
      <c r="AC299" s="215"/>
    </row>
    <row r="300" spans="1:29" ht="2.25" customHeight="1">
      <c r="A300" s="215"/>
      <c r="B300" s="529" t="s">
        <v>212</v>
      </c>
      <c r="C300" s="529"/>
      <c r="D300" s="219" t="s">
        <v>212</v>
      </c>
      <c r="E300" s="222" t="s">
        <v>212</v>
      </c>
      <c r="F300" s="531" t="s">
        <v>212</v>
      </c>
      <c r="G300" s="531"/>
      <c r="H300" s="222" t="s">
        <v>212</v>
      </c>
      <c r="I300" s="531" t="s">
        <v>212</v>
      </c>
      <c r="J300" s="531"/>
      <c r="K300" s="222" t="s">
        <v>212</v>
      </c>
      <c r="L300" s="222" t="s">
        <v>212</v>
      </c>
      <c r="M300" s="222" t="s">
        <v>212</v>
      </c>
      <c r="N300" s="222" t="s">
        <v>212</v>
      </c>
      <c r="O300" s="222" t="s">
        <v>212</v>
      </c>
      <c r="P300" s="222" t="s">
        <v>212</v>
      </c>
      <c r="Q300" s="222" t="s">
        <v>212</v>
      </c>
      <c r="R300" s="222" t="s">
        <v>212</v>
      </c>
      <c r="S300" s="222" t="s">
        <v>212</v>
      </c>
      <c r="T300" s="531" t="s">
        <v>212</v>
      </c>
      <c r="U300" s="531"/>
      <c r="V300" s="222" t="s">
        <v>212</v>
      </c>
      <c r="W300" s="222" t="s">
        <v>212</v>
      </c>
      <c r="X300" s="531" t="s">
        <v>212</v>
      </c>
      <c r="Y300" s="531"/>
      <c r="Z300" s="222" t="s">
        <v>212</v>
      </c>
      <c r="AA300" s="222" t="s">
        <v>212</v>
      </c>
      <c r="AB300" s="222" t="s">
        <v>212</v>
      </c>
      <c r="AC300" s="215"/>
    </row>
    <row r="301" spans="1:29" ht="13.5" customHeight="1">
      <c r="A301" s="215"/>
      <c r="B301" s="532">
        <v>39225</v>
      </c>
      <c r="C301" s="532"/>
      <c r="D301" s="219" t="s">
        <v>212</v>
      </c>
      <c r="E301" s="224">
        <v>0</v>
      </c>
      <c r="F301" s="533">
        <v>0</v>
      </c>
      <c r="G301" s="533"/>
      <c r="H301" s="224">
        <v>254.2</v>
      </c>
      <c r="I301" s="533">
        <v>24</v>
      </c>
      <c r="J301" s="533"/>
      <c r="K301" s="224">
        <v>223</v>
      </c>
      <c r="L301" s="225">
        <v>24</v>
      </c>
      <c r="M301" s="224">
        <v>0</v>
      </c>
      <c r="N301" s="225">
        <v>0</v>
      </c>
      <c r="O301" s="226">
        <v>477.2</v>
      </c>
      <c r="P301" s="222" t="s">
        <v>212</v>
      </c>
      <c r="Q301" s="224">
        <v>0</v>
      </c>
      <c r="R301" s="225">
        <v>0</v>
      </c>
      <c r="S301" s="224">
        <v>0</v>
      </c>
      <c r="T301" s="533">
        <v>0</v>
      </c>
      <c r="U301" s="533"/>
      <c r="V301" s="224">
        <v>0</v>
      </c>
      <c r="W301" s="222" t="s">
        <v>212</v>
      </c>
      <c r="X301" s="534">
        <v>477.2</v>
      </c>
      <c r="Y301" s="534"/>
      <c r="Z301" s="222" t="s">
        <v>212</v>
      </c>
      <c r="AA301" s="227">
        <v>7344500</v>
      </c>
      <c r="AB301" s="228">
        <v>0</v>
      </c>
      <c r="AC301" s="215"/>
    </row>
    <row r="302" spans="1:29" ht="2.25" customHeight="1">
      <c r="A302" s="215"/>
      <c r="B302" s="529" t="s">
        <v>212</v>
      </c>
      <c r="C302" s="529"/>
      <c r="D302" s="219" t="s">
        <v>212</v>
      </c>
      <c r="E302" s="222" t="s">
        <v>212</v>
      </c>
      <c r="F302" s="531" t="s">
        <v>212</v>
      </c>
      <c r="G302" s="531"/>
      <c r="H302" s="222" t="s">
        <v>212</v>
      </c>
      <c r="I302" s="531" t="s">
        <v>212</v>
      </c>
      <c r="J302" s="531"/>
      <c r="K302" s="222" t="s">
        <v>212</v>
      </c>
      <c r="L302" s="222" t="s">
        <v>212</v>
      </c>
      <c r="M302" s="222" t="s">
        <v>212</v>
      </c>
      <c r="N302" s="222" t="s">
        <v>212</v>
      </c>
      <c r="O302" s="222" t="s">
        <v>212</v>
      </c>
      <c r="P302" s="222" t="s">
        <v>212</v>
      </c>
      <c r="Q302" s="222" t="s">
        <v>212</v>
      </c>
      <c r="R302" s="222" t="s">
        <v>212</v>
      </c>
      <c r="S302" s="222" t="s">
        <v>212</v>
      </c>
      <c r="T302" s="531" t="s">
        <v>212</v>
      </c>
      <c r="U302" s="531"/>
      <c r="V302" s="222" t="s">
        <v>212</v>
      </c>
      <c r="W302" s="222" t="s">
        <v>212</v>
      </c>
      <c r="X302" s="531" t="s">
        <v>212</v>
      </c>
      <c r="Y302" s="531"/>
      <c r="Z302" s="222" t="s">
        <v>212</v>
      </c>
      <c r="AA302" s="222" t="s">
        <v>212</v>
      </c>
      <c r="AB302" s="222" t="s">
        <v>212</v>
      </c>
      <c r="AC302" s="215"/>
    </row>
    <row r="303" spans="1:29" ht="13.5" customHeight="1">
      <c r="A303" s="215"/>
      <c r="B303" s="535">
        <v>39226</v>
      </c>
      <c r="C303" s="535"/>
      <c r="D303" s="219" t="s">
        <v>212</v>
      </c>
      <c r="E303" s="229">
        <v>0</v>
      </c>
      <c r="F303" s="536">
        <v>0</v>
      </c>
      <c r="G303" s="536"/>
      <c r="H303" s="229">
        <v>350</v>
      </c>
      <c r="I303" s="536">
        <v>24</v>
      </c>
      <c r="J303" s="536"/>
      <c r="K303" s="229">
        <v>303.89999999999998</v>
      </c>
      <c r="L303" s="230">
        <v>24</v>
      </c>
      <c r="M303" s="229">
        <v>0</v>
      </c>
      <c r="N303" s="230">
        <v>0</v>
      </c>
      <c r="O303" s="231">
        <v>653.9</v>
      </c>
      <c r="P303" s="222" t="s">
        <v>212</v>
      </c>
      <c r="Q303" s="229">
        <v>0</v>
      </c>
      <c r="R303" s="230">
        <v>0</v>
      </c>
      <c r="S303" s="229">
        <v>0</v>
      </c>
      <c r="T303" s="536">
        <v>0</v>
      </c>
      <c r="U303" s="536"/>
      <c r="V303" s="229">
        <v>0</v>
      </c>
      <c r="W303" s="222" t="s">
        <v>212</v>
      </c>
      <c r="X303" s="530">
        <v>653.9</v>
      </c>
      <c r="Y303" s="530"/>
      <c r="Z303" s="222" t="s">
        <v>212</v>
      </c>
      <c r="AA303" s="232">
        <v>8747000</v>
      </c>
      <c r="AB303" s="233">
        <v>0</v>
      </c>
      <c r="AC303" s="215"/>
    </row>
    <row r="304" spans="1:29" ht="2.25" customHeight="1">
      <c r="A304" s="215"/>
      <c r="B304" s="529" t="s">
        <v>212</v>
      </c>
      <c r="C304" s="529"/>
      <c r="D304" s="219" t="s">
        <v>212</v>
      </c>
      <c r="E304" s="222" t="s">
        <v>212</v>
      </c>
      <c r="F304" s="531" t="s">
        <v>212</v>
      </c>
      <c r="G304" s="531"/>
      <c r="H304" s="222" t="s">
        <v>212</v>
      </c>
      <c r="I304" s="531" t="s">
        <v>212</v>
      </c>
      <c r="J304" s="531"/>
      <c r="K304" s="222" t="s">
        <v>212</v>
      </c>
      <c r="L304" s="222" t="s">
        <v>212</v>
      </c>
      <c r="M304" s="222" t="s">
        <v>212</v>
      </c>
      <c r="N304" s="222" t="s">
        <v>212</v>
      </c>
      <c r="O304" s="222" t="s">
        <v>212</v>
      </c>
      <c r="P304" s="222" t="s">
        <v>212</v>
      </c>
      <c r="Q304" s="222" t="s">
        <v>212</v>
      </c>
      <c r="R304" s="222" t="s">
        <v>212</v>
      </c>
      <c r="S304" s="222" t="s">
        <v>212</v>
      </c>
      <c r="T304" s="531" t="s">
        <v>212</v>
      </c>
      <c r="U304" s="531"/>
      <c r="V304" s="222" t="s">
        <v>212</v>
      </c>
      <c r="W304" s="222" t="s">
        <v>212</v>
      </c>
      <c r="X304" s="531" t="s">
        <v>212</v>
      </c>
      <c r="Y304" s="531"/>
      <c r="Z304" s="222" t="s">
        <v>212</v>
      </c>
      <c r="AA304" s="222" t="s">
        <v>212</v>
      </c>
      <c r="AB304" s="222" t="s">
        <v>212</v>
      </c>
      <c r="AC304" s="215"/>
    </row>
    <row r="305" spans="1:29" ht="13.5" customHeight="1">
      <c r="A305" s="215"/>
      <c r="B305" s="532">
        <v>39227</v>
      </c>
      <c r="C305" s="532"/>
      <c r="D305" s="219" t="s">
        <v>212</v>
      </c>
      <c r="E305" s="224">
        <v>97.6</v>
      </c>
      <c r="F305" s="533">
        <v>13</v>
      </c>
      <c r="G305" s="533"/>
      <c r="H305" s="224">
        <v>327.8</v>
      </c>
      <c r="I305" s="533">
        <v>24</v>
      </c>
      <c r="J305" s="533"/>
      <c r="K305" s="224">
        <v>287.8</v>
      </c>
      <c r="L305" s="225">
        <v>24</v>
      </c>
      <c r="M305" s="224">
        <v>0</v>
      </c>
      <c r="N305" s="225">
        <v>0</v>
      </c>
      <c r="O305" s="226">
        <v>713.2</v>
      </c>
      <c r="P305" s="222" t="s">
        <v>212</v>
      </c>
      <c r="Q305" s="224">
        <v>0</v>
      </c>
      <c r="R305" s="225">
        <v>0</v>
      </c>
      <c r="S305" s="224">
        <v>0</v>
      </c>
      <c r="T305" s="533">
        <v>0</v>
      </c>
      <c r="U305" s="533"/>
      <c r="V305" s="224">
        <v>0</v>
      </c>
      <c r="W305" s="222" t="s">
        <v>212</v>
      </c>
      <c r="X305" s="534">
        <v>713.2</v>
      </c>
      <c r="Y305" s="534"/>
      <c r="Z305" s="222" t="s">
        <v>212</v>
      </c>
      <c r="AA305" s="227">
        <v>10312000</v>
      </c>
      <c r="AB305" s="228">
        <v>0</v>
      </c>
      <c r="AC305" s="215"/>
    </row>
    <row r="306" spans="1:29" ht="2.25" customHeight="1">
      <c r="A306" s="215"/>
      <c r="B306" s="529" t="s">
        <v>212</v>
      </c>
      <c r="C306" s="529"/>
      <c r="D306" s="219" t="s">
        <v>212</v>
      </c>
      <c r="E306" s="222" t="s">
        <v>212</v>
      </c>
      <c r="F306" s="531" t="s">
        <v>212</v>
      </c>
      <c r="G306" s="531"/>
      <c r="H306" s="222" t="s">
        <v>212</v>
      </c>
      <c r="I306" s="531" t="s">
        <v>212</v>
      </c>
      <c r="J306" s="531"/>
      <c r="K306" s="222" t="s">
        <v>212</v>
      </c>
      <c r="L306" s="222" t="s">
        <v>212</v>
      </c>
      <c r="M306" s="222" t="s">
        <v>212</v>
      </c>
      <c r="N306" s="222" t="s">
        <v>212</v>
      </c>
      <c r="O306" s="222" t="s">
        <v>212</v>
      </c>
      <c r="P306" s="222" t="s">
        <v>212</v>
      </c>
      <c r="Q306" s="222" t="s">
        <v>212</v>
      </c>
      <c r="R306" s="222" t="s">
        <v>212</v>
      </c>
      <c r="S306" s="222" t="s">
        <v>212</v>
      </c>
      <c r="T306" s="531" t="s">
        <v>212</v>
      </c>
      <c r="U306" s="531"/>
      <c r="V306" s="222" t="s">
        <v>212</v>
      </c>
      <c r="W306" s="222" t="s">
        <v>212</v>
      </c>
      <c r="X306" s="531" t="s">
        <v>212</v>
      </c>
      <c r="Y306" s="531"/>
      <c r="Z306" s="222" t="s">
        <v>212</v>
      </c>
      <c r="AA306" s="222" t="s">
        <v>212</v>
      </c>
      <c r="AB306" s="222" t="s">
        <v>212</v>
      </c>
      <c r="AC306" s="215"/>
    </row>
    <row r="307" spans="1:29" ht="13.5" customHeight="1">
      <c r="A307" s="215"/>
      <c r="B307" s="535">
        <v>39228</v>
      </c>
      <c r="C307" s="535"/>
      <c r="D307" s="219" t="s">
        <v>212</v>
      </c>
      <c r="E307" s="229">
        <v>212.8</v>
      </c>
      <c r="F307" s="536">
        <v>24</v>
      </c>
      <c r="G307" s="536"/>
      <c r="H307" s="229">
        <v>317</v>
      </c>
      <c r="I307" s="536">
        <v>24</v>
      </c>
      <c r="J307" s="536"/>
      <c r="K307" s="229">
        <v>215.3</v>
      </c>
      <c r="L307" s="230">
        <v>24</v>
      </c>
      <c r="M307" s="229">
        <v>0</v>
      </c>
      <c r="N307" s="230">
        <v>0</v>
      </c>
      <c r="O307" s="231">
        <v>745.1</v>
      </c>
      <c r="P307" s="222" t="s">
        <v>212</v>
      </c>
      <c r="Q307" s="229">
        <v>0</v>
      </c>
      <c r="R307" s="230">
        <v>0</v>
      </c>
      <c r="S307" s="229">
        <v>0</v>
      </c>
      <c r="T307" s="536">
        <v>0</v>
      </c>
      <c r="U307" s="536"/>
      <c r="V307" s="229">
        <v>0</v>
      </c>
      <c r="W307" s="222" t="s">
        <v>212</v>
      </c>
      <c r="X307" s="530">
        <v>745.1</v>
      </c>
      <c r="Y307" s="530"/>
      <c r="Z307" s="222" t="s">
        <v>212</v>
      </c>
      <c r="AA307" s="232">
        <v>10312000</v>
      </c>
      <c r="AB307" s="233">
        <v>0</v>
      </c>
      <c r="AC307" s="215"/>
    </row>
    <row r="308" spans="1:29" ht="2.25" customHeight="1">
      <c r="A308" s="215"/>
      <c r="B308" s="529" t="s">
        <v>212</v>
      </c>
      <c r="C308" s="529"/>
      <c r="D308" s="219" t="s">
        <v>212</v>
      </c>
      <c r="E308" s="222" t="s">
        <v>212</v>
      </c>
      <c r="F308" s="531" t="s">
        <v>212</v>
      </c>
      <c r="G308" s="531"/>
      <c r="H308" s="222" t="s">
        <v>212</v>
      </c>
      <c r="I308" s="531" t="s">
        <v>212</v>
      </c>
      <c r="J308" s="531"/>
      <c r="K308" s="222" t="s">
        <v>212</v>
      </c>
      <c r="L308" s="222" t="s">
        <v>212</v>
      </c>
      <c r="M308" s="222" t="s">
        <v>212</v>
      </c>
      <c r="N308" s="222" t="s">
        <v>212</v>
      </c>
      <c r="O308" s="222" t="s">
        <v>212</v>
      </c>
      <c r="P308" s="222" t="s">
        <v>212</v>
      </c>
      <c r="Q308" s="222" t="s">
        <v>212</v>
      </c>
      <c r="R308" s="222" t="s">
        <v>212</v>
      </c>
      <c r="S308" s="222" t="s">
        <v>212</v>
      </c>
      <c r="T308" s="531" t="s">
        <v>212</v>
      </c>
      <c r="U308" s="531"/>
      <c r="V308" s="222" t="s">
        <v>212</v>
      </c>
      <c r="W308" s="222" t="s">
        <v>212</v>
      </c>
      <c r="X308" s="531" t="s">
        <v>212</v>
      </c>
      <c r="Y308" s="531"/>
      <c r="Z308" s="222" t="s">
        <v>212</v>
      </c>
      <c r="AA308" s="222" t="s">
        <v>212</v>
      </c>
      <c r="AB308" s="222" t="s">
        <v>212</v>
      </c>
      <c r="AC308" s="215"/>
    </row>
    <row r="309" spans="1:29" ht="13.5" customHeight="1">
      <c r="A309" s="215"/>
      <c r="B309" s="532">
        <v>39229</v>
      </c>
      <c r="C309" s="532"/>
      <c r="D309" s="219" t="s">
        <v>212</v>
      </c>
      <c r="E309" s="224">
        <v>216.1</v>
      </c>
      <c r="F309" s="533">
        <v>24</v>
      </c>
      <c r="G309" s="533"/>
      <c r="H309" s="224">
        <v>324.7</v>
      </c>
      <c r="I309" s="533">
        <v>24</v>
      </c>
      <c r="J309" s="533"/>
      <c r="K309" s="224">
        <v>204.9</v>
      </c>
      <c r="L309" s="225">
        <v>24</v>
      </c>
      <c r="M309" s="224">
        <v>0</v>
      </c>
      <c r="N309" s="225">
        <v>0</v>
      </c>
      <c r="O309" s="226">
        <v>745.7</v>
      </c>
      <c r="P309" s="222" t="s">
        <v>212</v>
      </c>
      <c r="Q309" s="224">
        <v>0</v>
      </c>
      <c r="R309" s="225">
        <v>0</v>
      </c>
      <c r="S309" s="224">
        <v>0</v>
      </c>
      <c r="T309" s="533">
        <v>0</v>
      </c>
      <c r="U309" s="533"/>
      <c r="V309" s="224">
        <v>0</v>
      </c>
      <c r="W309" s="222" t="s">
        <v>212</v>
      </c>
      <c r="X309" s="534">
        <v>745.7</v>
      </c>
      <c r="Y309" s="534"/>
      <c r="Z309" s="222" t="s">
        <v>212</v>
      </c>
      <c r="AA309" s="227">
        <v>11260600</v>
      </c>
      <c r="AB309" s="228">
        <v>0</v>
      </c>
      <c r="AC309" s="215"/>
    </row>
    <row r="310" spans="1:29" ht="2.25" customHeight="1">
      <c r="A310" s="215"/>
      <c r="B310" s="529" t="s">
        <v>212</v>
      </c>
      <c r="C310" s="529"/>
      <c r="D310" s="219" t="s">
        <v>212</v>
      </c>
      <c r="E310" s="222" t="s">
        <v>212</v>
      </c>
      <c r="F310" s="531" t="s">
        <v>212</v>
      </c>
      <c r="G310" s="531"/>
      <c r="H310" s="222" t="s">
        <v>212</v>
      </c>
      <c r="I310" s="531" t="s">
        <v>212</v>
      </c>
      <c r="J310" s="531"/>
      <c r="K310" s="222" t="s">
        <v>212</v>
      </c>
      <c r="L310" s="222" t="s">
        <v>212</v>
      </c>
      <c r="M310" s="222" t="s">
        <v>212</v>
      </c>
      <c r="N310" s="222" t="s">
        <v>212</v>
      </c>
      <c r="O310" s="222" t="s">
        <v>212</v>
      </c>
      <c r="P310" s="222" t="s">
        <v>212</v>
      </c>
      <c r="Q310" s="222" t="s">
        <v>212</v>
      </c>
      <c r="R310" s="222" t="s">
        <v>212</v>
      </c>
      <c r="S310" s="222" t="s">
        <v>212</v>
      </c>
      <c r="T310" s="531" t="s">
        <v>212</v>
      </c>
      <c r="U310" s="531"/>
      <c r="V310" s="222" t="s">
        <v>212</v>
      </c>
      <c r="W310" s="222" t="s">
        <v>212</v>
      </c>
      <c r="X310" s="531" t="s">
        <v>212</v>
      </c>
      <c r="Y310" s="531"/>
      <c r="Z310" s="222" t="s">
        <v>212</v>
      </c>
      <c r="AA310" s="222" t="s">
        <v>212</v>
      </c>
      <c r="AB310" s="222" t="s">
        <v>212</v>
      </c>
      <c r="AC310" s="215"/>
    </row>
    <row r="311" spans="1:29" ht="13.5" customHeight="1">
      <c r="A311" s="215"/>
      <c r="B311" s="535">
        <v>39230</v>
      </c>
      <c r="C311" s="535"/>
      <c r="D311" s="219" t="s">
        <v>212</v>
      </c>
      <c r="E311" s="229">
        <v>168.9</v>
      </c>
      <c r="F311" s="536">
        <v>20</v>
      </c>
      <c r="G311" s="536"/>
      <c r="H311" s="229">
        <v>300.5</v>
      </c>
      <c r="I311" s="536">
        <v>23</v>
      </c>
      <c r="J311" s="536"/>
      <c r="K311" s="229">
        <v>226.2</v>
      </c>
      <c r="L311" s="230">
        <v>24</v>
      </c>
      <c r="M311" s="229">
        <v>0</v>
      </c>
      <c r="N311" s="230">
        <v>0</v>
      </c>
      <c r="O311" s="231">
        <v>695.6</v>
      </c>
      <c r="P311" s="222" t="s">
        <v>212</v>
      </c>
      <c r="Q311" s="229">
        <v>0</v>
      </c>
      <c r="R311" s="230">
        <v>0</v>
      </c>
      <c r="S311" s="229">
        <v>0</v>
      </c>
      <c r="T311" s="536">
        <v>0</v>
      </c>
      <c r="U311" s="536"/>
      <c r="V311" s="229">
        <v>0</v>
      </c>
      <c r="W311" s="222" t="s">
        <v>212</v>
      </c>
      <c r="X311" s="530">
        <v>695.6</v>
      </c>
      <c r="Y311" s="530"/>
      <c r="Z311" s="222" t="s">
        <v>212</v>
      </c>
      <c r="AA311" s="232">
        <v>10617900</v>
      </c>
      <c r="AB311" s="233">
        <v>0</v>
      </c>
      <c r="AC311" s="215"/>
    </row>
    <row r="312" spans="1:29" ht="2.25" customHeight="1">
      <c r="A312" s="215"/>
      <c r="B312" s="529" t="s">
        <v>212</v>
      </c>
      <c r="C312" s="529"/>
      <c r="D312" s="219" t="s">
        <v>212</v>
      </c>
      <c r="E312" s="222" t="s">
        <v>212</v>
      </c>
      <c r="F312" s="531" t="s">
        <v>212</v>
      </c>
      <c r="G312" s="531"/>
      <c r="H312" s="222" t="s">
        <v>212</v>
      </c>
      <c r="I312" s="531" t="s">
        <v>212</v>
      </c>
      <c r="J312" s="531"/>
      <c r="K312" s="222" t="s">
        <v>212</v>
      </c>
      <c r="L312" s="222" t="s">
        <v>212</v>
      </c>
      <c r="M312" s="222" t="s">
        <v>212</v>
      </c>
      <c r="N312" s="222" t="s">
        <v>212</v>
      </c>
      <c r="O312" s="222" t="s">
        <v>212</v>
      </c>
      <c r="P312" s="222" t="s">
        <v>212</v>
      </c>
      <c r="Q312" s="222" t="s">
        <v>212</v>
      </c>
      <c r="R312" s="222" t="s">
        <v>212</v>
      </c>
      <c r="S312" s="222" t="s">
        <v>212</v>
      </c>
      <c r="T312" s="531" t="s">
        <v>212</v>
      </c>
      <c r="U312" s="531"/>
      <c r="V312" s="222" t="s">
        <v>212</v>
      </c>
      <c r="W312" s="222" t="s">
        <v>212</v>
      </c>
      <c r="X312" s="531" t="s">
        <v>212</v>
      </c>
      <c r="Y312" s="531"/>
      <c r="Z312" s="222" t="s">
        <v>212</v>
      </c>
      <c r="AA312" s="222" t="s">
        <v>212</v>
      </c>
      <c r="AB312" s="222" t="s">
        <v>212</v>
      </c>
      <c r="AC312" s="215"/>
    </row>
    <row r="313" spans="1:29" ht="13.5" customHeight="1">
      <c r="A313" s="215"/>
      <c r="B313" s="532">
        <v>39231</v>
      </c>
      <c r="C313" s="532"/>
      <c r="D313" s="219" t="s">
        <v>212</v>
      </c>
      <c r="E313" s="224">
        <v>273.7</v>
      </c>
      <c r="F313" s="533">
        <v>24</v>
      </c>
      <c r="G313" s="533"/>
      <c r="H313" s="224">
        <v>121.8</v>
      </c>
      <c r="I313" s="533">
        <v>13</v>
      </c>
      <c r="J313" s="533"/>
      <c r="K313" s="224">
        <v>285.89999999999998</v>
      </c>
      <c r="L313" s="225">
        <v>24</v>
      </c>
      <c r="M313" s="224">
        <v>0</v>
      </c>
      <c r="N313" s="225">
        <v>0</v>
      </c>
      <c r="O313" s="226">
        <v>681.4</v>
      </c>
      <c r="P313" s="222" t="s">
        <v>212</v>
      </c>
      <c r="Q313" s="224">
        <v>0</v>
      </c>
      <c r="R313" s="225">
        <v>0</v>
      </c>
      <c r="S313" s="224">
        <v>0</v>
      </c>
      <c r="T313" s="533">
        <v>0</v>
      </c>
      <c r="U313" s="533"/>
      <c r="V313" s="224">
        <v>0</v>
      </c>
      <c r="W313" s="222" t="s">
        <v>212</v>
      </c>
      <c r="X313" s="534">
        <v>681.4</v>
      </c>
      <c r="Y313" s="534"/>
      <c r="Z313" s="222" t="s">
        <v>212</v>
      </c>
      <c r="AA313" s="227">
        <v>10091900</v>
      </c>
      <c r="AB313" s="228">
        <v>0</v>
      </c>
      <c r="AC313" s="215"/>
    </row>
    <row r="314" spans="1:29" ht="2.25" customHeight="1">
      <c r="A314" s="215"/>
      <c r="B314" s="529" t="s">
        <v>212</v>
      </c>
      <c r="C314" s="529"/>
      <c r="D314" s="219" t="s">
        <v>212</v>
      </c>
      <c r="E314" s="222" t="s">
        <v>212</v>
      </c>
      <c r="F314" s="531" t="s">
        <v>212</v>
      </c>
      <c r="G314" s="531"/>
      <c r="H314" s="222" t="s">
        <v>212</v>
      </c>
      <c r="I314" s="531" t="s">
        <v>212</v>
      </c>
      <c r="J314" s="531"/>
      <c r="K314" s="222" t="s">
        <v>212</v>
      </c>
      <c r="L314" s="222" t="s">
        <v>212</v>
      </c>
      <c r="M314" s="222" t="s">
        <v>212</v>
      </c>
      <c r="N314" s="222" t="s">
        <v>212</v>
      </c>
      <c r="O314" s="222" t="s">
        <v>212</v>
      </c>
      <c r="P314" s="222" t="s">
        <v>212</v>
      </c>
      <c r="Q314" s="222" t="s">
        <v>212</v>
      </c>
      <c r="R314" s="222" t="s">
        <v>212</v>
      </c>
      <c r="S314" s="222" t="s">
        <v>212</v>
      </c>
      <c r="T314" s="531" t="s">
        <v>212</v>
      </c>
      <c r="U314" s="531"/>
      <c r="V314" s="222" t="s">
        <v>212</v>
      </c>
      <c r="W314" s="222" t="s">
        <v>212</v>
      </c>
      <c r="X314" s="531" t="s">
        <v>212</v>
      </c>
      <c r="Y314" s="531"/>
      <c r="Z314" s="222" t="s">
        <v>212</v>
      </c>
      <c r="AA314" s="222" t="s">
        <v>212</v>
      </c>
      <c r="AB314" s="222" t="s">
        <v>212</v>
      </c>
      <c r="AC314" s="215"/>
    </row>
    <row r="315" spans="1:29" ht="13.5" customHeight="1">
      <c r="A315" s="215"/>
      <c r="B315" s="535">
        <v>39232</v>
      </c>
      <c r="C315" s="535"/>
      <c r="D315" s="219" t="s">
        <v>212</v>
      </c>
      <c r="E315" s="229">
        <v>258.7</v>
      </c>
      <c r="F315" s="536">
        <v>24</v>
      </c>
      <c r="G315" s="536"/>
      <c r="H315" s="229">
        <v>173</v>
      </c>
      <c r="I315" s="536">
        <v>20</v>
      </c>
      <c r="J315" s="536"/>
      <c r="K315" s="229">
        <v>227.8</v>
      </c>
      <c r="L315" s="230">
        <v>24</v>
      </c>
      <c r="M315" s="229">
        <v>0</v>
      </c>
      <c r="N315" s="230">
        <v>0</v>
      </c>
      <c r="O315" s="231">
        <v>659.5</v>
      </c>
      <c r="P315" s="222" t="s">
        <v>212</v>
      </c>
      <c r="Q315" s="229">
        <v>0</v>
      </c>
      <c r="R315" s="230">
        <v>0</v>
      </c>
      <c r="S315" s="229">
        <v>56</v>
      </c>
      <c r="T315" s="536">
        <v>7</v>
      </c>
      <c r="U315" s="536"/>
      <c r="V315" s="229">
        <v>56</v>
      </c>
      <c r="W315" s="222" t="s">
        <v>212</v>
      </c>
      <c r="X315" s="530">
        <v>715.5</v>
      </c>
      <c r="Y315" s="530"/>
      <c r="Z315" s="222" t="s">
        <v>212</v>
      </c>
      <c r="AA315" s="232">
        <v>10361200</v>
      </c>
      <c r="AB315" s="233">
        <v>0</v>
      </c>
      <c r="AC315" s="215"/>
    </row>
    <row r="316" spans="1:29" ht="2.25" customHeight="1">
      <c r="A316" s="215"/>
      <c r="B316" s="529" t="s">
        <v>212</v>
      </c>
      <c r="C316" s="529"/>
      <c r="D316" s="219" t="s">
        <v>212</v>
      </c>
      <c r="E316" s="222" t="s">
        <v>212</v>
      </c>
      <c r="F316" s="531" t="s">
        <v>212</v>
      </c>
      <c r="G316" s="531"/>
      <c r="H316" s="222" t="s">
        <v>212</v>
      </c>
      <c r="I316" s="531" t="s">
        <v>212</v>
      </c>
      <c r="J316" s="531"/>
      <c r="K316" s="222" t="s">
        <v>212</v>
      </c>
      <c r="L316" s="222" t="s">
        <v>212</v>
      </c>
      <c r="M316" s="222" t="s">
        <v>212</v>
      </c>
      <c r="N316" s="222" t="s">
        <v>212</v>
      </c>
      <c r="O316" s="222" t="s">
        <v>212</v>
      </c>
      <c r="P316" s="222" t="s">
        <v>212</v>
      </c>
      <c r="Q316" s="222" t="s">
        <v>212</v>
      </c>
      <c r="R316" s="222" t="s">
        <v>212</v>
      </c>
      <c r="S316" s="222" t="s">
        <v>212</v>
      </c>
      <c r="T316" s="531" t="s">
        <v>212</v>
      </c>
      <c r="U316" s="531"/>
      <c r="V316" s="222" t="s">
        <v>212</v>
      </c>
      <c r="W316" s="222" t="s">
        <v>212</v>
      </c>
      <c r="X316" s="531" t="s">
        <v>212</v>
      </c>
      <c r="Y316" s="531"/>
      <c r="Z316" s="222" t="s">
        <v>212</v>
      </c>
      <c r="AA316" s="222" t="s">
        <v>212</v>
      </c>
      <c r="AB316" s="222" t="s">
        <v>212</v>
      </c>
      <c r="AC316" s="215"/>
    </row>
    <row r="317" spans="1:29" ht="13.5" customHeight="1">
      <c r="A317" s="215"/>
      <c r="B317" s="532">
        <v>39233</v>
      </c>
      <c r="C317" s="532"/>
      <c r="D317" s="219" t="s">
        <v>212</v>
      </c>
      <c r="E317" s="224">
        <v>53.9</v>
      </c>
      <c r="F317" s="533">
        <v>6</v>
      </c>
      <c r="G317" s="533"/>
      <c r="H317" s="224">
        <v>306.8</v>
      </c>
      <c r="I317" s="533">
        <v>24</v>
      </c>
      <c r="J317" s="533"/>
      <c r="K317" s="224">
        <v>267.10000000000002</v>
      </c>
      <c r="L317" s="225">
        <v>24</v>
      </c>
      <c r="M317" s="224">
        <v>0</v>
      </c>
      <c r="N317" s="225">
        <v>0</v>
      </c>
      <c r="O317" s="226">
        <v>627.79999999999995</v>
      </c>
      <c r="P317" s="222" t="s">
        <v>212</v>
      </c>
      <c r="Q317" s="224">
        <v>0</v>
      </c>
      <c r="R317" s="225">
        <v>0</v>
      </c>
      <c r="S317" s="224">
        <v>0</v>
      </c>
      <c r="T317" s="533">
        <v>0</v>
      </c>
      <c r="U317" s="533"/>
      <c r="V317" s="224">
        <v>0</v>
      </c>
      <c r="W317" s="222" t="s">
        <v>212</v>
      </c>
      <c r="X317" s="534">
        <v>627.79999999999995</v>
      </c>
      <c r="Y317" s="534"/>
      <c r="Z317" s="222" t="s">
        <v>212</v>
      </c>
      <c r="AA317" s="227">
        <v>9000700</v>
      </c>
      <c r="AB317" s="228">
        <v>0</v>
      </c>
      <c r="AC317" s="215"/>
    </row>
    <row r="318" spans="1:29" ht="2.25" customHeight="1">
      <c r="A318" s="215"/>
      <c r="B318" s="529" t="s">
        <v>212</v>
      </c>
      <c r="C318" s="529"/>
      <c r="D318" s="219" t="s">
        <v>212</v>
      </c>
      <c r="E318" s="222" t="s">
        <v>212</v>
      </c>
      <c r="F318" s="531" t="s">
        <v>212</v>
      </c>
      <c r="G318" s="531"/>
      <c r="H318" s="222" t="s">
        <v>212</v>
      </c>
      <c r="I318" s="531" t="s">
        <v>212</v>
      </c>
      <c r="J318" s="531"/>
      <c r="K318" s="222" t="s">
        <v>212</v>
      </c>
      <c r="L318" s="222" t="s">
        <v>212</v>
      </c>
      <c r="M318" s="222" t="s">
        <v>212</v>
      </c>
      <c r="N318" s="222" t="s">
        <v>212</v>
      </c>
      <c r="O318" s="222" t="s">
        <v>212</v>
      </c>
      <c r="P318" s="222" t="s">
        <v>212</v>
      </c>
      <c r="Q318" s="222" t="s">
        <v>212</v>
      </c>
      <c r="R318" s="222" t="s">
        <v>212</v>
      </c>
      <c r="S318" s="222" t="s">
        <v>212</v>
      </c>
      <c r="T318" s="531" t="s">
        <v>212</v>
      </c>
      <c r="U318" s="531"/>
      <c r="V318" s="222" t="s">
        <v>212</v>
      </c>
      <c r="W318" s="222" t="s">
        <v>212</v>
      </c>
      <c r="X318" s="531" t="s">
        <v>212</v>
      </c>
      <c r="Y318" s="531"/>
      <c r="Z318" s="222" t="s">
        <v>212</v>
      </c>
      <c r="AA318" s="222" t="s">
        <v>212</v>
      </c>
      <c r="AB318" s="222" t="s">
        <v>212</v>
      </c>
      <c r="AC318" s="215"/>
    </row>
    <row r="319" spans="1:29" ht="13.5" customHeight="1">
      <c r="A319" s="215"/>
      <c r="B319" s="535">
        <v>39234</v>
      </c>
      <c r="C319" s="535"/>
      <c r="D319" s="219" t="s">
        <v>212</v>
      </c>
      <c r="E319" s="229">
        <v>0</v>
      </c>
      <c r="F319" s="536">
        <v>0</v>
      </c>
      <c r="G319" s="536"/>
      <c r="H319" s="229">
        <v>343.7</v>
      </c>
      <c r="I319" s="536">
        <v>24</v>
      </c>
      <c r="J319" s="536"/>
      <c r="K319" s="229">
        <v>274.10000000000002</v>
      </c>
      <c r="L319" s="230">
        <v>24</v>
      </c>
      <c r="M319" s="229">
        <v>0</v>
      </c>
      <c r="N319" s="230">
        <v>0</v>
      </c>
      <c r="O319" s="231">
        <v>617.79999999999995</v>
      </c>
      <c r="P319" s="222" t="s">
        <v>212</v>
      </c>
      <c r="Q319" s="229">
        <v>0</v>
      </c>
      <c r="R319" s="230">
        <v>0</v>
      </c>
      <c r="S319" s="229">
        <v>0</v>
      </c>
      <c r="T319" s="536">
        <v>0</v>
      </c>
      <c r="U319" s="536"/>
      <c r="V319" s="229">
        <v>0</v>
      </c>
      <c r="W319" s="222" t="s">
        <v>212</v>
      </c>
      <c r="X319" s="530">
        <v>617.79999999999995</v>
      </c>
      <c r="Y319" s="530"/>
      <c r="Z319" s="222" t="s">
        <v>212</v>
      </c>
      <c r="AA319" s="232">
        <v>8406800</v>
      </c>
      <c r="AB319" s="233">
        <v>0</v>
      </c>
      <c r="AC319" s="215"/>
    </row>
    <row r="320" spans="1:29" ht="2.25" customHeight="1">
      <c r="A320" s="215"/>
      <c r="B320" s="529" t="s">
        <v>212</v>
      </c>
      <c r="C320" s="529"/>
      <c r="D320" s="219" t="s">
        <v>212</v>
      </c>
      <c r="E320" s="222" t="s">
        <v>212</v>
      </c>
      <c r="F320" s="531" t="s">
        <v>212</v>
      </c>
      <c r="G320" s="531"/>
      <c r="H320" s="222" t="s">
        <v>212</v>
      </c>
      <c r="I320" s="531" t="s">
        <v>212</v>
      </c>
      <c r="J320" s="531"/>
      <c r="K320" s="222" t="s">
        <v>212</v>
      </c>
      <c r="L320" s="222" t="s">
        <v>212</v>
      </c>
      <c r="M320" s="222" t="s">
        <v>212</v>
      </c>
      <c r="N320" s="222" t="s">
        <v>212</v>
      </c>
      <c r="O320" s="222" t="s">
        <v>212</v>
      </c>
      <c r="P320" s="222" t="s">
        <v>212</v>
      </c>
      <c r="Q320" s="222" t="s">
        <v>212</v>
      </c>
      <c r="R320" s="222" t="s">
        <v>212</v>
      </c>
      <c r="S320" s="222" t="s">
        <v>212</v>
      </c>
      <c r="T320" s="531" t="s">
        <v>212</v>
      </c>
      <c r="U320" s="531"/>
      <c r="V320" s="222" t="s">
        <v>212</v>
      </c>
      <c r="W320" s="222" t="s">
        <v>212</v>
      </c>
      <c r="X320" s="531" t="s">
        <v>212</v>
      </c>
      <c r="Y320" s="531"/>
      <c r="Z320" s="222" t="s">
        <v>212</v>
      </c>
      <c r="AA320" s="222" t="s">
        <v>212</v>
      </c>
      <c r="AB320" s="222" t="s">
        <v>212</v>
      </c>
      <c r="AC320" s="215"/>
    </row>
    <row r="321" spans="1:29" ht="13.5" customHeight="1">
      <c r="A321" s="215"/>
      <c r="B321" s="532">
        <v>39235</v>
      </c>
      <c r="C321" s="532"/>
      <c r="D321" s="219" t="s">
        <v>212</v>
      </c>
      <c r="E321" s="224">
        <v>76.900000000000006</v>
      </c>
      <c r="F321" s="533">
        <v>11</v>
      </c>
      <c r="G321" s="533"/>
      <c r="H321" s="224">
        <v>320.5</v>
      </c>
      <c r="I321" s="533">
        <v>24</v>
      </c>
      <c r="J321" s="533"/>
      <c r="K321" s="224">
        <v>260</v>
      </c>
      <c r="L321" s="225">
        <v>24</v>
      </c>
      <c r="M321" s="224">
        <v>0</v>
      </c>
      <c r="N321" s="225">
        <v>0</v>
      </c>
      <c r="O321" s="226">
        <v>657.4</v>
      </c>
      <c r="P321" s="222" t="s">
        <v>212</v>
      </c>
      <c r="Q321" s="224">
        <v>0</v>
      </c>
      <c r="R321" s="225">
        <v>0</v>
      </c>
      <c r="S321" s="224">
        <v>0</v>
      </c>
      <c r="T321" s="533">
        <v>0</v>
      </c>
      <c r="U321" s="533"/>
      <c r="V321" s="224">
        <v>0</v>
      </c>
      <c r="W321" s="222" t="s">
        <v>212</v>
      </c>
      <c r="X321" s="534">
        <v>657.4</v>
      </c>
      <c r="Y321" s="534"/>
      <c r="Z321" s="222" t="s">
        <v>212</v>
      </c>
      <c r="AA321" s="227">
        <v>9601700</v>
      </c>
      <c r="AB321" s="228">
        <v>0</v>
      </c>
      <c r="AC321" s="215"/>
    </row>
    <row r="322" spans="1:29" ht="2.25" customHeight="1">
      <c r="A322" s="215"/>
      <c r="B322" s="529" t="s">
        <v>212</v>
      </c>
      <c r="C322" s="529"/>
      <c r="D322" s="219" t="s">
        <v>212</v>
      </c>
      <c r="E322" s="222" t="s">
        <v>212</v>
      </c>
      <c r="F322" s="531" t="s">
        <v>212</v>
      </c>
      <c r="G322" s="531"/>
      <c r="H322" s="222" t="s">
        <v>212</v>
      </c>
      <c r="I322" s="531" t="s">
        <v>212</v>
      </c>
      <c r="J322" s="531"/>
      <c r="K322" s="222" t="s">
        <v>212</v>
      </c>
      <c r="L322" s="222" t="s">
        <v>212</v>
      </c>
      <c r="M322" s="222" t="s">
        <v>212</v>
      </c>
      <c r="N322" s="222" t="s">
        <v>212</v>
      </c>
      <c r="O322" s="222" t="s">
        <v>212</v>
      </c>
      <c r="P322" s="222" t="s">
        <v>212</v>
      </c>
      <c r="Q322" s="222" t="s">
        <v>212</v>
      </c>
      <c r="R322" s="222" t="s">
        <v>212</v>
      </c>
      <c r="S322" s="222" t="s">
        <v>212</v>
      </c>
      <c r="T322" s="531" t="s">
        <v>212</v>
      </c>
      <c r="U322" s="531"/>
      <c r="V322" s="222" t="s">
        <v>212</v>
      </c>
      <c r="W322" s="222" t="s">
        <v>212</v>
      </c>
      <c r="X322" s="531" t="s">
        <v>212</v>
      </c>
      <c r="Y322" s="531"/>
      <c r="Z322" s="222" t="s">
        <v>212</v>
      </c>
      <c r="AA322" s="222" t="s">
        <v>212</v>
      </c>
      <c r="AB322" s="222" t="s">
        <v>212</v>
      </c>
      <c r="AC322" s="215"/>
    </row>
    <row r="323" spans="1:29" ht="13.5" customHeight="1">
      <c r="A323" s="215"/>
      <c r="B323" s="535">
        <v>39236</v>
      </c>
      <c r="C323" s="535"/>
      <c r="D323" s="219" t="s">
        <v>212</v>
      </c>
      <c r="E323" s="229">
        <v>125.8</v>
      </c>
      <c r="F323" s="536">
        <v>15</v>
      </c>
      <c r="G323" s="536"/>
      <c r="H323" s="229">
        <v>334.2</v>
      </c>
      <c r="I323" s="536">
        <v>24</v>
      </c>
      <c r="J323" s="536"/>
      <c r="K323" s="229">
        <v>266.2</v>
      </c>
      <c r="L323" s="230">
        <v>24</v>
      </c>
      <c r="M323" s="229">
        <v>0</v>
      </c>
      <c r="N323" s="230">
        <v>0</v>
      </c>
      <c r="O323" s="231">
        <v>726.2</v>
      </c>
      <c r="P323" s="222" t="s">
        <v>212</v>
      </c>
      <c r="Q323" s="229">
        <v>0</v>
      </c>
      <c r="R323" s="230">
        <v>0</v>
      </c>
      <c r="S323" s="229">
        <v>0</v>
      </c>
      <c r="T323" s="536">
        <v>0</v>
      </c>
      <c r="U323" s="536"/>
      <c r="V323" s="229">
        <v>0</v>
      </c>
      <c r="W323" s="222" t="s">
        <v>212</v>
      </c>
      <c r="X323" s="530">
        <v>726.2</v>
      </c>
      <c r="Y323" s="530"/>
      <c r="Z323" s="222" t="s">
        <v>212</v>
      </c>
      <c r="AA323" s="232">
        <v>10586500</v>
      </c>
      <c r="AB323" s="233">
        <v>0</v>
      </c>
      <c r="AC323" s="215"/>
    </row>
    <row r="324" spans="1:29" ht="2.25" customHeight="1">
      <c r="A324" s="215"/>
      <c r="B324" s="529" t="s">
        <v>212</v>
      </c>
      <c r="C324" s="529"/>
      <c r="D324" s="219" t="s">
        <v>212</v>
      </c>
      <c r="E324" s="222" t="s">
        <v>212</v>
      </c>
      <c r="F324" s="531" t="s">
        <v>212</v>
      </c>
      <c r="G324" s="531"/>
      <c r="H324" s="222" t="s">
        <v>212</v>
      </c>
      <c r="I324" s="531" t="s">
        <v>212</v>
      </c>
      <c r="J324" s="531"/>
      <c r="K324" s="222" t="s">
        <v>212</v>
      </c>
      <c r="L324" s="222" t="s">
        <v>212</v>
      </c>
      <c r="M324" s="222" t="s">
        <v>212</v>
      </c>
      <c r="N324" s="222" t="s">
        <v>212</v>
      </c>
      <c r="O324" s="222" t="s">
        <v>212</v>
      </c>
      <c r="P324" s="222" t="s">
        <v>212</v>
      </c>
      <c r="Q324" s="222" t="s">
        <v>212</v>
      </c>
      <c r="R324" s="222" t="s">
        <v>212</v>
      </c>
      <c r="S324" s="222" t="s">
        <v>212</v>
      </c>
      <c r="T324" s="531" t="s">
        <v>212</v>
      </c>
      <c r="U324" s="531"/>
      <c r="V324" s="222" t="s">
        <v>212</v>
      </c>
      <c r="W324" s="222" t="s">
        <v>212</v>
      </c>
      <c r="X324" s="531" t="s">
        <v>212</v>
      </c>
      <c r="Y324" s="531"/>
      <c r="Z324" s="222" t="s">
        <v>212</v>
      </c>
      <c r="AA324" s="222" t="s">
        <v>212</v>
      </c>
      <c r="AB324" s="222" t="s">
        <v>212</v>
      </c>
      <c r="AC324" s="215"/>
    </row>
    <row r="325" spans="1:29" ht="13.5" customHeight="1">
      <c r="A325" s="215"/>
      <c r="B325" s="532">
        <v>39237</v>
      </c>
      <c r="C325" s="532"/>
      <c r="D325" s="219" t="s">
        <v>212</v>
      </c>
      <c r="E325" s="224">
        <v>189.2</v>
      </c>
      <c r="F325" s="533">
        <v>24</v>
      </c>
      <c r="G325" s="533"/>
      <c r="H325" s="224">
        <v>265.10000000000002</v>
      </c>
      <c r="I325" s="533">
        <v>24</v>
      </c>
      <c r="J325" s="533"/>
      <c r="K325" s="224">
        <v>221.4</v>
      </c>
      <c r="L325" s="225">
        <v>24</v>
      </c>
      <c r="M325" s="224">
        <v>0</v>
      </c>
      <c r="N325" s="225">
        <v>0</v>
      </c>
      <c r="O325" s="226">
        <v>675.7</v>
      </c>
      <c r="P325" s="222" t="s">
        <v>212</v>
      </c>
      <c r="Q325" s="224">
        <v>0</v>
      </c>
      <c r="R325" s="225">
        <v>0</v>
      </c>
      <c r="S325" s="224">
        <v>0</v>
      </c>
      <c r="T325" s="533">
        <v>0</v>
      </c>
      <c r="U325" s="533"/>
      <c r="V325" s="224">
        <v>0</v>
      </c>
      <c r="W325" s="222" t="s">
        <v>212</v>
      </c>
      <c r="X325" s="534">
        <v>675.7</v>
      </c>
      <c r="Y325" s="534"/>
      <c r="Z325" s="222" t="s">
        <v>212</v>
      </c>
      <c r="AA325" s="227">
        <v>10732200</v>
      </c>
      <c r="AB325" s="228">
        <v>0</v>
      </c>
      <c r="AC325" s="215"/>
    </row>
    <row r="326" spans="1:29" ht="2.25" customHeight="1">
      <c r="A326" s="215"/>
      <c r="B326" s="529" t="s">
        <v>212</v>
      </c>
      <c r="C326" s="529"/>
      <c r="D326" s="219" t="s">
        <v>212</v>
      </c>
      <c r="E326" s="222" t="s">
        <v>212</v>
      </c>
      <c r="F326" s="531" t="s">
        <v>212</v>
      </c>
      <c r="G326" s="531"/>
      <c r="H326" s="222" t="s">
        <v>212</v>
      </c>
      <c r="I326" s="531" t="s">
        <v>212</v>
      </c>
      <c r="J326" s="531"/>
      <c r="K326" s="222" t="s">
        <v>212</v>
      </c>
      <c r="L326" s="222" t="s">
        <v>212</v>
      </c>
      <c r="M326" s="222" t="s">
        <v>212</v>
      </c>
      <c r="N326" s="222" t="s">
        <v>212</v>
      </c>
      <c r="O326" s="222" t="s">
        <v>212</v>
      </c>
      <c r="P326" s="222" t="s">
        <v>212</v>
      </c>
      <c r="Q326" s="222" t="s">
        <v>212</v>
      </c>
      <c r="R326" s="222" t="s">
        <v>212</v>
      </c>
      <c r="S326" s="222" t="s">
        <v>212</v>
      </c>
      <c r="T326" s="531" t="s">
        <v>212</v>
      </c>
      <c r="U326" s="531"/>
      <c r="V326" s="222" t="s">
        <v>212</v>
      </c>
      <c r="W326" s="222" t="s">
        <v>212</v>
      </c>
      <c r="X326" s="531" t="s">
        <v>212</v>
      </c>
      <c r="Y326" s="531"/>
      <c r="Z326" s="222" t="s">
        <v>212</v>
      </c>
      <c r="AA326" s="222" t="s">
        <v>212</v>
      </c>
      <c r="AB326" s="222" t="s">
        <v>212</v>
      </c>
      <c r="AC326" s="215"/>
    </row>
    <row r="327" spans="1:29" ht="13.5" customHeight="1">
      <c r="A327" s="215"/>
      <c r="B327" s="535">
        <v>39238</v>
      </c>
      <c r="C327" s="535"/>
      <c r="D327" s="219" t="s">
        <v>212</v>
      </c>
      <c r="E327" s="229">
        <v>117.2</v>
      </c>
      <c r="F327" s="536">
        <v>15</v>
      </c>
      <c r="G327" s="536"/>
      <c r="H327" s="229">
        <v>203.2</v>
      </c>
      <c r="I327" s="536">
        <v>24</v>
      </c>
      <c r="J327" s="536"/>
      <c r="K327" s="229">
        <v>245.4</v>
      </c>
      <c r="L327" s="230">
        <v>24</v>
      </c>
      <c r="M327" s="229">
        <v>0</v>
      </c>
      <c r="N327" s="230">
        <v>0</v>
      </c>
      <c r="O327" s="231">
        <v>565.79999999999995</v>
      </c>
      <c r="P327" s="222" t="s">
        <v>212</v>
      </c>
      <c r="Q327" s="229">
        <v>0</v>
      </c>
      <c r="R327" s="230">
        <v>0</v>
      </c>
      <c r="S327" s="229">
        <v>0</v>
      </c>
      <c r="T327" s="536">
        <v>0</v>
      </c>
      <c r="U327" s="536"/>
      <c r="V327" s="229">
        <v>0</v>
      </c>
      <c r="W327" s="222" t="s">
        <v>212</v>
      </c>
      <c r="X327" s="530">
        <v>565.79999999999995</v>
      </c>
      <c r="Y327" s="530"/>
      <c r="Z327" s="222" t="s">
        <v>212</v>
      </c>
      <c r="AA327" s="232">
        <v>8928500</v>
      </c>
      <c r="AB327" s="233">
        <v>0</v>
      </c>
      <c r="AC327" s="215"/>
    </row>
    <row r="328" spans="1:29" ht="2.25" customHeight="1">
      <c r="A328" s="215"/>
      <c r="B328" s="529" t="s">
        <v>212</v>
      </c>
      <c r="C328" s="529"/>
      <c r="D328" s="219" t="s">
        <v>212</v>
      </c>
      <c r="E328" s="222" t="s">
        <v>212</v>
      </c>
      <c r="F328" s="531" t="s">
        <v>212</v>
      </c>
      <c r="G328" s="531"/>
      <c r="H328" s="222" t="s">
        <v>212</v>
      </c>
      <c r="I328" s="531" t="s">
        <v>212</v>
      </c>
      <c r="J328" s="531"/>
      <c r="K328" s="222" t="s">
        <v>212</v>
      </c>
      <c r="L328" s="222" t="s">
        <v>212</v>
      </c>
      <c r="M328" s="222" t="s">
        <v>212</v>
      </c>
      <c r="N328" s="222" t="s">
        <v>212</v>
      </c>
      <c r="O328" s="222" t="s">
        <v>212</v>
      </c>
      <c r="P328" s="222" t="s">
        <v>212</v>
      </c>
      <c r="Q328" s="222" t="s">
        <v>212</v>
      </c>
      <c r="R328" s="222" t="s">
        <v>212</v>
      </c>
      <c r="S328" s="222" t="s">
        <v>212</v>
      </c>
      <c r="T328" s="531" t="s">
        <v>212</v>
      </c>
      <c r="U328" s="531"/>
      <c r="V328" s="222" t="s">
        <v>212</v>
      </c>
      <c r="W328" s="222" t="s">
        <v>212</v>
      </c>
      <c r="X328" s="531" t="s">
        <v>212</v>
      </c>
      <c r="Y328" s="531"/>
      <c r="Z328" s="222" t="s">
        <v>212</v>
      </c>
      <c r="AA328" s="222" t="s">
        <v>212</v>
      </c>
      <c r="AB328" s="222" t="s">
        <v>212</v>
      </c>
      <c r="AC328" s="215"/>
    </row>
    <row r="329" spans="1:29" ht="13.5" customHeight="1">
      <c r="A329" s="215"/>
      <c r="B329" s="532">
        <v>39239</v>
      </c>
      <c r="C329" s="532"/>
      <c r="D329" s="219" t="s">
        <v>212</v>
      </c>
      <c r="E329" s="224">
        <v>0</v>
      </c>
      <c r="F329" s="533">
        <v>0</v>
      </c>
      <c r="G329" s="533"/>
      <c r="H329" s="224">
        <v>303.7</v>
      </c>
      <c r="I329" s="533">
        <v>24</v>
      </c>
      <c r="J329" s="533"/>
      <c r="K329" s="224">
        <v>288.8</v>
      </c>
      <c r="L329" s="225">
        <v>24</v>
      </c>
      <c r="M329" s="224">
        <v>0</v>
      </c>
      <c r="N329" s="225">
        <v>0</v>
      </c>
      <c r="O329" s="226">
        <v>592.5</v>
      </c>
      <c r="P329" s="222" t="s">
        <v>212</v>
      </c>
      <c r="Q329" s="224">
        <v>0</v>
      </c>
      <c r="R329" s="225">
        <v>0</v>
      </c>
      <c r="S329" s="224">
        <v>0</v>
      </c>
      <c r="T329" s="533">
        <v>0</v>
      </c>
      <c r="U329" s="533"/>
      <c r="V329" s="224">
        <v>0</v>
      </c>
      <c r="W329" s="222" t="s">
        <v>212</v>
      </c>
      <c r="X329" s="534">
        <v>592.5</v>
      </c>
      <c r="Y329" s="534"/>
      <c r="Z329" s="222" t="s">
        <v>212</v>
      </c>
      <c r="AA329" s="227">
        <v>8027600</v>
      </c>
      <c r="AB329" s="228">
        <v>0</v>
      </c>
      <c r="AC329" s="215"/>
    </row>
    <row r="330" spans="1:29" ht="2.25" customHeight="1">
      <c r="A330" s="215"/>
      <c r="B330" s="529" t="s">
        <v>212</v>
      </c>
      <c r="C330" s="529"/>
      <c r="D330" s="219" t="s">
        <v>212</v>
      </c>
      <c r="E330" s="222" t="s">
        <v>212</v>
      </c>
      <c r="F330" s="531" t="s">
        <v>212</v>
      </c>
      <c r="G330" s="531"/>
      <c r="H330" s="222" t="s">
        <v>212</v>
      </c>
      <c r="I330" s="531" t="s">
        <v>212</v>
      </c>
      <c r="J330" s="531"/>
      <c r="K330" s="222" t="s">
        <v>212</v>
      </c>
      <c r="L330" s="222" t="s">
        <v>212</v>
      </c>
      <c r="M330" s="222" t="s">
        <v>212</v>
      </c>
      <c r="N330" s="222" t="s">
        <v>212</v>
      </c>
      <c r="O330" s="222" t="s">
        <v>212</v>
      </c>
      <c r="P330" s="222" t="s">
        <v>212</v>
      </c>
      <c r="Q330" s="222" t="s">
        <v>212</v>
      </c>
      <c r="R330" s="222" t="s">
        <v>212</v>
      </c>
      <c r="S330" s="222" t="s">
        <v>212</v>
      </c>
      <c r="T330" s="531" t="s">
        <v>212</v>
      </c>
      <c r="U330" s="531"/>
      <c r="V330" s="222" t="s">
        <v>212</v>
      </c>
      <c r="W330" s="222" t="s">
        <v>212</v>
      </c>
      <c r="X330" s="531" t="s">
        <v>212</v>
      </c>
      <c r="Y330" s="531"/>
      <c r="Z330" s="222" t="s">
        <v>212</v>
      </c>
      <c r="AA330" s="222" t="s">
        <v>212</v>
      </c>
      <c r="AB330" s="222" t="s">
        <v>212</v>
      </c>
      <c r="AC330" s="215"/>
    </row>
    <row r="331" spans="1:29" ht="13.5" customHeight="1">
      <c r="A331" s="215"/>
      <c r="B331" s="535">
        <v>39240</v>
      </c>
      <c r="C331" s="535"/>
      <c r="D331" s="219" t="s">
        <v>212</v>
      </c>
      <c r="E331" s="229">
        <v>71.2</v>
      </c>
      <c r="F331" s="536">
        <v>9</v>
      </c>
      <c r="G331" s="536"/>
      <c r="H331" s="229">
        <v>329.3</v>
      </c>
      <c r="I331" s="536">
        <v>24</v>
      </c>
      <c r="J331" s="536"/>
      <c r="K331" s="229">
        <v>299.5</v>
      </c>
      <c r="L331" s="230">
        <v>24</v>
      </c>
      <c r="M331" s="229">
        <v>0</v>
      </c>
      <c r="N331" s="230">
        <v>0</v>
      </c>
      <c r="O331" s="231">
        <v>700</v>
      </c>
      <c r="P331" s="222" t="s">
        <v>212</v>
      </c>
      <c r="Q331" s="229">
        <v>0</v>
      </c>
      <c r="R331" s="230">
        <v>0</v>
      </c>
      <c r="S331" s="229">
        <v>0</v>
      </c>
      <c r="T331" s="536">
        <v>0</v>
      </c>
      <c r="U331" s="536"/>
      <c r="V331" s="229">
        <v>0</v>
      </c>
      <c r="W331" s="222" t="s">
        <v>212</v>
      </c>
      <c r="X331" s="530">
        <v>700</v>
      </c>
      <c r="Y331" s="530"/>
      <c r="Z331" s="222" t="s">
        <v>212</v>
      </c>
      <c r="AA331" s="232">
        <v>9764700</v>
      </c>
      <c r="AB331" s="233">
        <v>0</v>
      </c>
      <c r="AC331" s="215"/>
    </row>
    <row r="332" spans="1:29" ht="2.25" customHeight="1">
      <c r="A332" s="215"/>
      <c r="B332" s="529" t="s">
        <v>212</v>
      </c>
      <c r="C332" s="529"/>
      <c r="D332" s="219" t="s">
        <v>212</v>
      </c>
      <c r="E332" s="222" t="s">
        <v>212</v>
      </c>
      <c r="F332" s="531" t="s">
        <v>212</v>
      </c>
      <c r="G332" s="531"/>
      <c r="H332" s="222" t="s">
        <v>212</v>
      </c>
      <c r="I332" s="531" t="s">
        <v>212</v>
      </c>
      <c r="J332" s="531"/>
      <c r="K332" s="222" t="s">
        <v>212</v>
      </c>
      <c r="L332" s="222" t="s">
        <v>212</v>
      </c>
      <c r="M332" s="222" t="s">
        <v>212</v>
      </c>
      <c r="N332" s="222" t="s">
        <v>212</v>
      </c>
      <c r="O332" s="222" t="s">
        <v>212</v>
      </c>
      <c r="P332" s="222" t="s">
        <v>212</v>
      </c>
      <c r="Q332" s="222" t="s">
        <v>212</v>
      </c>
      <c r="R332" s="222" t="s">
        <v>212</v>
      </c>
      <c r="S332" s="222" t="s">
        <v>212</v>
      </c>
      <c r="T332" s="531" t="s">
        <v>212</v>
      </c>
      <c r="U332" s="531"/>
      <c r="V332" s="222" t="s">
        <v>212</v>
      </c>
      <c r="W332" s="222" t="s">
        <v>212</v>
      </c>
      <c r="X332" s="531" t="s">
        <v>212</v>
      </c>
      <c r="Y332" s="531"/>
      <c r="Z332" s="222" t="s">
        <v>212</v>
      </c>
      <c r="AA332" s="222" t="s">
        <v>212</v>
      </c>
      <c r="AB332" s="222" t="s">
        <v>212</v>
      </c>
      <c r="AC332" s="215"/>
    </row>
    <row r="333" spans="1:29" ht="13.5" customHeight="1">
      <c r="A333" s="215"/>
      <c r="B333" s="532">
        <v>39241</v>
      </c>
      <c r="C333" s="532"/>
      <c r="D333" s="219" t="s">
        <v>212</v>
      </c>
      <c r="E333" s="224">
        <v>195.2</v>
      </c>
      <c r="F333" s="533">
        <v>24</v>
      </c>
      <c r="G333" s="533"/>
      <c r="H333" s="224">
        <v>240</v>
      </c>
      <c r="I333" s="533">
        <v>24</v>
      </c>
      <c r="J333" s="533"/>
      <c r="K333" s="224">
        <v>252.2</v>
      </c>
      <c r="L333" s="225">
        <v>24</v>
      </c>
      <c r="M333" s="224">
        <v>0</v>
      </c>
      <c r="N333" s="225">
        <v>0</v>
      </c>
      <c r="O333" s="226">
        <v>687.4</v>
      </c>
      <c r="P333" s="222" t="s">
        <v>212</v>
      </c>
      <c r="Q333" s="224">
        <v>0</v>
      </c>
      <c r="R333" s="225">
        <v>0</v>
      </c>
      <c r="S333" s="224">
        <v>0</v>
      </c>
      <c r="T333" s="533">
        <v>0</v>
      </c>
      <c r="U333" s="533"/>
      <c r="V333" s="224">
        <v>0</v>
      </c>
      <c r="W333" s="222" t="s">
        <v>212</v>
      </c>
      <c r="X333" s="534">
        <v>687.4</v>
      </c>
      <c r="Y333" s="534"/>
      <c r="Z333" s="222" t="s">
        <v>212</v>
      </c>
      <c r="AA333" s="227">
        <v>10798600</v>
      </c>
      <c r="AB333" s="228">
        <v>0</v>
      </c>
      <c r="AC333" s="215"/>
    </row>
    <row r="334" spans="1:29" ht="2.25" customHeight="1">
      <c r="A334" s="215"/>
      <c r="B334" s="529" t="s">
        <v>212</v>
      </c>
      <c r="C334" s="529"/>
      <c r="D334" s="219" t="s">
        <v>212</v>
      </c>
      <c r="E334" s="222" t="s">
        <v>212</v>
      </c>
      <c r="F334" s="531" t="s">
        <v>212</v>
      </c>
      <c r="G334" s="531"/>
      <c r="H334" s="222" t="s">
        <v>212</v>
      </c>
      <c r="I334" s="531" t="s">
        <v>212</v>
      </c>
      <c r="J334" s="531"/>
      <c r="K334" s="222" t="s">
        <v>212</v>
      </c>
      <c r="L334" s="222" t="s">
        <v>212</v>
      </c>
      <c r="M334" s="222" t="s">
        <v>212</v>
      </c>
      <c r="N334" s="222" t="s">
        <v>212</v>
      </c>
      <c r="O334" s="222" t="s">
        <v>212</v>
      </c>
      <c r="P334" s="222" t="s">
        <v>212</v>
      </c>
      <c r="Q334" s="222" t="s">
        <v>212</v>
      </c>
      <c r="R334" s="222" t="s">
        <v>212</v>
      </c>
      <c r="S334" s="222" t="s">
        <v>212</v>
      </c>
      <c r="T334" s="531" t="s">
        <v>212</v>
      </c>
      <c r="U334" s="531"/>
      <c r="V334" s="222" t="s">
        <v>212</v>
      </c>
      <c r="W334" s="222" t="s">
        <v>212</v>
      </c>
      <c r="X334" s="531" t="s">
        <v>212</v>
      </c>
      <c r="Y334" s="531"/>
      <c r="Z334" s="222" t="s">
        <v>212</v>
      </c>
      <c r="AA334" s="222" t="s">
        <v>212</v>
      </c>
      <c r="AB334" s="222" t="s">
        <v>212</v>
      </c>
      <c r="AC334" s="215"/>
    </row>
    <row r="335" spans="1:29" ht="13.5" customHeight="1">
      <c r="A335" s="215"/>
      <c r="B335" s="535">
        <v>39242</v>
      </c>
      <c r="C335" s="535"/>
      <c r="D335" s="219" t="s">
        <v>212</v>
      </c>
      <c r="E335" s="229">
        <v>187.5</v>
      </c>
      <c r="F335" s="536">
        <v>24</v>
      </c>
      <c r="G335" s="536"/>
      <c r="H335" s="229">
        <v>245.5</v>
      </c>
      <c r="I335" s="536">
        <v>24</v>
      </c>
      <c r="J335" s="536"/>
      <c r="K335" s="229">
        <v>227.5</v>
      </c>
      <c r="L335" s="230">
        <v>24</v>
      </c>
      <c r="M335" s="229">
        <v>0</v>
      </c>
      <c r="N335" s="230">
        <v>0</v>
      </c>
      <c r="O335" s="231">
        <v>660.5</v>
      </c>
      <c r="P335" s="222" t="s">
        <v>212</v>
      </c>
      <c r="Q335" s="229">
        <v>0</v>
      </c>
      <c r="R335" s="230">
        <v>0</v>
      </c>
      <c r="S335" s="229">
        <v>0</v>
      </c>
      <c r="T335" s="536">
        <v>0</v>
      </c>
      <c r="U335" s="536"/>
      <c r="V335" s="229">
        <v>0</v>
      </c>
      <c r="W335" s="222" t="s">
        <v>212</v>
      </c>
      <c r="X335" s="530">
        <v>660.5</v>
      </c>
      <c r="Y335" s="530"/>
      <c r="Z335" s="222" t="s">
        <v>212</v>
      </c>
      <c r="AA335" s="232">
        <v>10577100</v>
      </c>
      <c r="AB335" s="233">
        <v>0</v>
      </c>
      <c r="AC335" s="215"/>
    </row>
    <row r="336" spans="1:29" ht="2.25" customHeight="1">
      <c r="A336" s="215"/>
      <c r="B336" s="529" t="s">
        <v>212</v>
      </c>
      <c r="C336" s="529"/>
      <c r="D336" s="219" t="s">
        <v>212</v>
      </c>
      <c r="E336" s="222" t="s">
        <v>212</v>
      </c>
      <c r="F336" s="531" t="s">
        <v>212</v>
      </c>
      <c r="G336" s="531"/>
      <c r="H336" s="222" t="s">
        <v>212</v>
      </c>
      <c r="I336" s="531" t="s">
        <v>212</v>
      </c>
      <c r="J336" s="531"/>
      <c r="K336" s="222" t="s">
        <v>212</v>
      </c>
      <c r="L336" s="222" t="s">
        <v>212</v>
      </c>
      <c r="M336" s="222" t="s">
        <v>212</v>
      </c>
      <c r="N336" s="222" t="s">
        <v>212</v>
      </c>
      <c r="O336" s="222" t="s">
        <v>212</v>
      </c>
      <c r="P336" s="222" t="s">
        <v>212</v>
      </c>
      <c r="Q336" s="222" t="s">
        <v>212</v>
      </c>
      <c r="R336" s="222" t="s">
        <v>212</v>
      </c>
      <c r="S336" s="222" t="s">
        <v>212</v>
      </c>
      <c r="T336" s="531" t="s">
        <v>212</v>
      </c>
      <c r="U336" s="531"/>
      <c r="V336" s="222" t="s">
        <v>212</v>
      </c>
      <c r="W336" s="222" t="s">
        <v>212</v>
      </c>
      <c r="X336" s="531" t="s">
        <v>212</v>
      </c>
      <c r="Y336" s="531"/>
      <c r="Z336" s="222" t="s">
        <v>212</v>
      </c>
      <c r="AA336" s="222" t="s">
        <v>212</v>
      </c>
      <c r="AB336" s="222" t="s">
        <v>212</v>
      </c>
      <c r="AC336" s="215"/>
    </row>
    <row r="337" spans="1:29" ht="13.5" customHeight="1">
      <c r="A337" s="215"/>
      <c r="B337" s="532">
        <v>39243</v>
      </c>
      <c r="C337" s="532"/>
      <c r="D337" s="219" t="s">
        <v>212</v>
      </c>
      <c r="E337" s="224">
        <v>69.7</v>
      </c>
      <c r="F337" s="533">
        <v>11</v>
      </c>
      <c r="G337" s="533"/>
      <c r="H337" s="224">
        <v>294.89999999999998</v>
      </c>
      <c r="I337" s="533">
        <v>24</v>
      </c>
      <c r="J337" s="533"/>
      <c r="K337" s="224">
        <v>276.10000000000002</v>
      </c>
      <c r="L337" s="225">
        <v>24</v>
      </c>
      <c r="M337" s="224">
        <v>0</v>
      </c>
      <c r="N337" s="225">
        <v>0</v>
      </c>
      <c r="O337" s="226">
        <v>640.70000000000005</v>
      </c>
      <c r="P337" s="222" t="s">
        <v>212</v>
      </c>
      <c r="Q337" s="224">
        <v>0</v>
      </c>
      <c r="R337" s="225">
        <v>0</v>
      </c>
      <c r="S337" s="224">
        <v>0</v>
      </c>
      <c r="T337" s="533">
        <v>0</v>
      </c>
      <c r="U337" s="533"/>
      <c r="V337" s="224">
        <v>0</v>
      </c>
      <c r="W337" s="222" t="s">
        <v>212</v>
      </c>
      <c r="X337" s="534">
        <v>640.70000000000005</v>
      </c>
      <c r="Y337" s="534"/>
      <c r="Z337" s="222" t="s">
        <v>212</v>
      </c>
      <c r="AA337" s="227">
        <v>9423800</v>
      </c>
      <c r="AB337" s="228">
        <v>0</v>
      </c>
      <c r="AC337" s="215"/>
    </row>
    <row r="338" spans="1:29" ht="2.25" customHeight="1">
      <c r="A338" s="215"/>
      <c r="B338" s="529" t="s">
        <v>212</v>
      </c>
      <c r="C338" s="529"/>
      <c r="D338" s="219" t="s">
        <v>212</v>
      </c>
      <c r="E338" s="222" t="s">
        <v>212</v>
      </c>
      <c r="F338" s="531" t="s">
        <v>212</v>
      </c>
      <c r="G338" s="531"/>
      <c r="H338" s="222" t="s">
        <v>212</v>
      </c>
      <c r="I338" s="531" t="s">
        <v>212</v>
      </c>
      <c r="J338" s="531"/>
      <c r="K338" s="222" t="s">
        <v>212</v>
      </c>
      <c r="L338" s="222" t="s">
        <v>212</v>
      </c>
      <c r="M338" s="222" t="s">
        <v>212</v>
      </c>
      <c r="N338" s="222" t="s">
        <v>212</v>
      </c>
      <c r="O338" s="222" t="s">
        <v>212</v>
      </c>
      <c r="P338" s="222" t="s">
        <v>212</v>
      </c>
      <c r="Q338" s="222" t="s">
        <v>212</v>
      </c>
      <c r="R338" s="222" t="s">
        <v>212</v>
      </c>
      <c r="S338" s="222" t="s">
        <v>212</v>
      </c>
      <c r="T338" s="531" t="s">
        <v>212</v>
      </c>
      <c r="U338" s="531"/>
      <c r="V338" s="222" t="s">
        <v>212</v>
      </c>
      <c r="W338" s="222" t="s">
        <v>212</v>
      </c>
      <c r="X338" s="531" t="s">
        <v>212</v>
      </c>
      <c r="Y338" s="531"/>
      <c r="Z338" s="222" t="s">
        <v>212</v>
      </c>
      <c r="AA338" s="222" t="s">
        <v>212</v>
      </c>
      <c r="AB338" s="222" t="s">
        <v>212</v>
      </c>
      <c r="AC338" s="215"/>
    </row>
    <row r="339" spans="1:29" ht="13.5" customHeight="1">
      <c r="A339" s="215"/>
      <c r="B339" s="535">
        <v>39244</v>
      </c>
      <c r="C339" s="535"/>
      <c r="D339" s="219" t="s">
        <v>212</v>
      </c>
      <c r="E339" s="229">
        <v>0</v>
      </c>
      <c r="F339" s="536">
        <v>0</v>
      </c>
      <c r="G339" s="536"/>
      <c r="H339" s="229">
        <v>316.39999999999998</v>
      </c>
      <c r="I339" s="536">
        <v>24</v>
      </c>
      <c r="J339" s="536"/>
      <c r="K339" s="229">
        <v>298.2</v>
      </c>
      <c r="L339" s="230">
        <v>24</v>
      </c>
      <c r="M339" s="229">
        <v>0</v>
      </c>
      <c r="N339" s="230">
        <v>0</v>
      </c>
      <c r="O339" s="231">
        <v>614.6</v>
      </c>
      <c r="P339" s="222" t="s">
        <v>212</v>
      </c>
      <c r="Q339" s="229">
        <v>0</v>
      </c>
      <c r="R339" s="230">
        <v>0</v>
      </c>
      <c r="S339" s="229">
        <v>0</v>
      </c>
      <c r="T339" s="536">
        <v>0</v>
      </c>
      <c r="U339" s="536"/>
      <c r="V339" s="229">
        <v>0</v>
      </c>
      <c r="W339" s="222" t="s">
        <v>212</v>
      </c>
      <c r="X339" s="530">
        <v>614.6</v>
      </c>
      <c r="Y339" s="530"/>
      <c r="Z339" s="222" t="s">
        <v>212</v>
      </c>
      <c r="AA339" s="232">
        <v>8258800</v>
      </c>
      <c r="AB339" s="233">
        <v>0</v>
      </c>
      <c r="AC339" s="215"/>
    </row>
    <row r="340" spans="1:29" ht="2.25" customHeight="1">
      <c r="A340" s="215"/>
      <c r="B340" s="529" t="s">
        <v>212</v>
      </c>
      <c r="C340" s="529"/>
      <c r="D340" s="219" t="s">
        <v>212</v>
      </c>
      <c r="E340" s="222" t="s">
        <v>212</v>
      </c>
      <c r="F340" s="531" t="s">
        <v>212</v>
      </c>
      <c r="G340" s="531"/>
      <c r="H340" s="222" t="s">
        <v>212</v>
      </c>
      <c r="I340" s="531" t="s">
        <v>212</v>
      </c>
      <c r="J340" s="531"/>
      <c r="K340" s="222" t="s">
        <v>212</v>
      </c>
      <c r="L340" s="222" t="s">
        <v>212</v>
      </c>
      <c r="M340" s="222" t="s">
        <v>212</v>
      </c>
      <c r="N340" s="222" t="s">
        <v>212</v>
      </c>
      <c r="O340" s="222" t="s">
        <v>212</v>
      </c>
      <c r="P340" s="222" t="s">
        <v>212</v>
      </c>
      <c r="Q340" s="222" t="s">
        <v>212</v>
      </c>
      <c r="R340" s="222" t="s">
        <v>212</v>
      </c>
      <c r="S340" s="222" t="s">
        <v>212</v>
      </c>
      <c r="T340" s="531" t="s">
        <v>212</v>
      </c>
      <c r="U340" s="531"/>
      <c r="V340" s="222" t="s">
        <v>212</v>
      </c>
      <c r="W340" s="222" t="s">
        <v>212</v>
      </c>
      <c r="X340" s="531" t="s">
        <v>212</v>
      </c>
      <c r="Y340" s="531"/>
      <c r="Z340" s="222" t="s">
        <v>212</v>
      </c>
      <c r="AA340" s="222" t="s">
        <v>212</v>
      </c>
      <c r="AB340" s="222" t="s">
        <v>212</v>
      </c>
      <c r="AC340" s="215"/>
    </row>
    <row r="341" spans="1:29" ht="13.5" customHeight="1">
      <c r="A341" s="215"/>
      <c r="B341" s="532">
        <v>39245</v>
      </c>
      <c r="C341" s="532"/>
      <c r="D341" s="219" t="s">
        <v>212</v>
      </c>
      <c r="E341" s="224">
        <v>0</v>
      </c>
      <c r="F341" s="533">
        <v>0</v>
      </c>
      <c r="G341" s="533"/>
      <c r="H341" s="224">
        <v>350.2</v>
      </c>
      <c r="I341" s="533">
        <v>24</v>
      </c>
      <c r="J341" s="533"/>
      <c r="K341" s="224">
        <v>310.7</v>
      </c>
      <c r="L341" s="225">
        <v>24</v>
      </c>
      <c r="M341" s="224">
        <v>0</v>
      </c>
      <c r="N341" s="225">
        <v>0</v>
      </c>
      <c r="O341" s="226">
        <v>660.9</v>
      </c>
      <c r="P341" s="222" t="s">
        <v>212</v>
      </c>
      <c r="Q341" s="224">
        <v>0</v>
      </c>
      <c r="R341" s="225">
        <v>0</v>
      </c>
      <c r="S341" s="224">
        <v>0</v>
      </c>
      <c r="T341" s="533">
        <v>0</v>
      </c>
      <c r="U341" s="533"/>
      <c r="V341" s="224">
        <v>0</v>
      </c>
      <c r="W341" s="222" t="s">
        <v>212</v>
      </c>
      <c r="X341" s="534">
        <v>660.9</v>
      </c>
      <c r="Y341" s="534"/>
      <c r="Z341" s="222" t="s">
        <v>212</v>
      </c>
      <c r="AA341" s="227">
        <v>8676000</v>
      </c>
      <c r="AB341" s="228">
        <v>0</v>
      </c>
      <c r="AC341" s="215"/>
    </row>
    <row r="342" spans="1:29" ht="2.25" customHeight="1">
      <c r="A342" s="215"/>
      <c r="B342" s="529" t="s">
        <v>212</v>
      </c>
      <c r="C342" s="529"/>
      <c r="D342" s="219" t="s">
        <v>212</v>
      </c>
      <c r="E342" s="222" t="s">
        <v>212</v>
      </c>
      <c r="F342" s="531" t="s">
        <v>212</v>
      </c>
      <c r="G342" s="531"/>
      <c r="H342" s="222" t="s">
        <v>212</v>
      </c>
      <c r="I342" s="531" t="s">
        <v>212</v>
      </c>
      <c r="J342" s="531"/>
      <c r="K342" s="222" t="s">
        <v>212</v>
      </c>
      <c r="L342" s="222" t="s">
        <v>212</v>
      </c>
      <c r="M342" s="222" t="s">
        <v>212</v>
      </c>
      <c r="N342" s="222" t="s">
        <v>212</v>
      </c>
      <c r="O342" s="222" t="s">
        <v>212</v>
      </c>
      <c r="P342" s="222" t="s">
        <v>212</v>
      </c>
      <c r="Q342" s="222" t="s">
        <v>212</v>
      </c>
      <c r="R342" s="222" t="s">
        <v>212</v>
      </c>
      <c r="S342" s="222" t="s">
        <v>212</v>
      </c>
      <c r="T342" s="531" t="s">
        <v>212</v>
      </c>
      <c r="U342" s="531"/>
      <c r="V342" s="222" t="s">
        <v>212</v>
      </c>
      <c r="W342" s="222" t="s">
        <v>212</v>
      </c>
      <c r="X342" s="531" t="s">
        <v>212</v>
      </c>
      <c r="Y342" s="531"/>
      <c r="Z342" s="222" t="s">
        <v>212</v>
      </c>
      <c r="AA342" s="222" t="s">
        <v>212</v>
      </c>
      <c r="AB342" s="222" t="s">
        <v>212</v>
      </c>
      <c r="AC342" s="215"/>
    </row>
    <row r="343" spans="1:29" ht="13.5" customHeight="1">
      <c r="A343" s="215"/>
      <c r="B343" s="535">
        <v>39246</v>
      </c>
      <c r="C343" s="535"/>
      <c r="D343" s="219" t="s">
        <v>212</v>
      </c>
      <c r="E343" s="229">
        <v>0</v>
      </c>
      <c r="F343" s="536">
        <v>0</v>
      </c>
      <c r="G343" s="536"/>
      <c r="H343" s="229">
        <v>334.5</v>
      </c>
      <c r="I343" s="536">
        <v>24</v>
      </c>
      <c r="J343" s="536"/>
      <c r="K343" s="229">
        <v>306.89999999999998</v>
      </c>
      <c r="L343" s="230">
        <v>24</v>
      </c>
      <c r="M343" s="229">
        <v>0</v>
      </c>
      <c r="N343" s="230">
        <v>0</v>
      </c>
      <c r="O343" s="231">
        <v>641.4</v>
      </c>
      <c r="P343" s="222" t="s">
        <v>212</v>
      </c>
      <c r="Q343" s="229">
        <v>0</v>
      </c>
      <c r="R343" s="230">
        <v>0</v>
      </c>
      <c r="S343" s="229">
        <v>32</v>
      </c>
      <c r="T343" s="536">
        <v>9</v>
      </c>
      <c r="U343" s="536"/>
      <c r="V343" s="229">
        <v>32</v>
      </c>
      <c r="W343" s="222" t="s">
        <v>212</v>
      </c>
      <c r="X343" s="530">
        <v>673.4</v>
      </c>
      <c r="Y343" s="530"/>
      <c r="Z343" s="222" t="s">
        <v>212</v>
      </c>
      <c r="AA343" s="232">
        <v>8398800</v>
      </c>
      <c r="AB343" s="233">
        <v>0</v>
      </c>
      <c r="AC343" s="215"/>
    </row>
    <row r="344" spans="1:29" ht="2.25" customHeight="1">
      <c r="A344" s="215"/>
      <c r="B344" s="529" t="s">
        <v>212</v>
      </c>
      <c r="C344" s="529"/>
      <c r="D344" s="219" t="s">
        <v>212</v>
      </c>
      <c r="E344" s="222" t="s">
        <v>212</v>
      </c>
      <c r="F344" s="531" t="s">
        <v>212</v>
      </c>
      <c r="G344" s="531"/>
      <c r="H344" s="222" t="s">
        <v>212</v>
      </c>
      <c r="I344" s="531" t="s">
        <v>212</v>
      </c>
      <c r="J344" s="531"/>
      <c r="K344" s="222" t="s">
        <v>212</v>
      </c>
      <c r="L344" s="222" t="s">
        <v>212</v>
      </c>
      <c r="M344" s="222" t="s">
        <v>212</v>
      </c>
      <c r="N344" s="222" t="s">
        <v>212</v>
      </c>
      <c r="O344" s="222" t="s">
        <v>212</v>
      </c>
      <c r="P344" s="222" t="s">
        <v>212</v>
      </c>
      <c r="Q344" s="222" t="s">
        <v>212</v>
      </c>
      <c r="R344" s="222" t="s">
        <v>212</v>
      </c>
      <c r="S344" s="222" t="s">
        <v>212</v>
      </c>
      <c r="T344" s="531" t="s">
        <v>212</v>
      </c>
      <c r="U344" s="531"/>
      <c r="V344" s="222" t="s">
        <v>212</v>
      </c>
      <c r="W344" s="222" t="s">
        <v>212</v>
      </c>
      <c r="X344" s="531" t="s">
        <v>212</v>
      </c>
      <c r="Y344" s="531"/>
      <c r="Z344" s="222" t="s">
        <v>212</v>
      </c>
      <c r="AA344" s="222" t="s">
        <v>212</v>
      </c>
      <c r="AB344" s="222" t="s">
        <v>212</v>
      </c>
      <c r="AC344" s="215"/>
    </row>
    <row r="345" spans="1:29" ht="13.5" customHeight="1">
      <c r="A345" s="215"/>
      <c r="B345" s="532">
        <v>39247</v>
      </c>
      <c r="C345" s="532"/>
      <c r="D345" s="219" t="s">
        <v>212</v>
      </c>
      <c r="E345" s="224">
        <v>0</v>
      </c>
      <c r="F345" s="533">
        <v>0</v>
      </c>
      <c r="G345" s="533"/>
      <c r="H345" s="224">
        <v>340.6</v>
      </c>
      <c r="I345" s="533">
        <v>24</v>
      </c>
      <c r="J345" s="533"/>
      <c r="K345" s="224">
        <v>307.3</v>
      </c>
      <c r="L345" s="225">
        <v>24</v>
      </c>
      <c r="M345" s="224">
        <v>0</v>
      </c>
      <c r="N345" s="225">
        <v>0</v>
      </c>
      <c r="O345" s="226">
        <v>647.9</v>
      </c>
      <c r="P345" s="222" t="s">
        <v>212</v>
      </c>
      <c r="Q345" s="224">
        <v>0</v>
      </c>
      <c r="R345" s="225">
        <v>0</v>
      </c>
      <c r="S345" s="224">
        <v>64</v>
      </c>
      <c r="T345" s="533">
        <v>19</v>
      </c>
      <c r="U345" s="533"/>
      <c r="V345" s="224">
        <v>64</v>
      </c>
      <c r="W345" s="222" t="s">
        <v>212</v>
      </c>
      <c r="X345" s="534">
        <v>711.9</v>
      </c>
      <c r="Y345" s="534"/>
      <c r="Z345" s="222" t="s">
        <v>212</v>
      </c>
      <c r="AA345" s="227">
        <v>8580100</v>
      </c>
      <c r="AB345" s="228">
        <v>0</v>
      </c>
      <c r="AC345" s="215"/>
    </row>
    <row r="346" spans="1:29" ht="2.25" customHeight="1">
      <c r="A346" s="215"/>
      <c r="B346" s="529" t="s">
        <v>212</v>
      </c>
      <c r="C346" s="529"/>
      <c r="D346" s="219" t="s">
        <v>212</v>
      </c>
      <c r="E346" s="222" t="s">
        <v>212</v>
      </c>
      <c r="F346" s="531" t="s">
        <v>212</v>
      </c>
      <c r="G346" s="531"/>
      <c r="H346" s="222" t="s">
        <v>212</v>
      </c>
      <c r="I346" s="531" t="s">
        <v>212</v>
      </c>
      <c r="J346" s="531"/>
      <c r="K346" s="222" t="s">
        <v>212</v>
      </c>
      <c r="L346" s="222" t="s">
        <v>212</v>
      </c>
      <c r="M346" s="222" t="s">
        <v>212</v>
      </c>
      <c r="N346" s="222" t="s">
        <v>212</v>
      </c>
      <c r="O346" s="222" t="s">
        <v>212</v>
      </c>
      <c r="P346" s="222" t="s">
        <v>212</v>
      </c>
      <c r="Q346" s="222" t="s">
        <v>212</v>
      </c>
      <c r="R346" s="222" t="s">
        <v>212</v>
      </c>
      <c r="S346" s="222" t="s">
        <v>212</v>
      </c>
      <c r="T346" s="531" t="s">
        <v>212</v>
      </c>
      <c r="U346" s="531"/>
      <c r="V346" s="222" t="s">
        <v>212</v>
      </c>
      <c r="W346" s="222" t="s">
        <v>212</v>
      </c>
      <c r="X346" s="531" t="s">
        <v>212</v>
      </c>
      <c r="Y346" s="531"/>
      <c r="Z346" s="222" t="s">
        <v>212</v>
      </c>
      <c r="AA346" s="222" t="s">
        <v>212</v>
      </c>
      <c r="AB346" s="222" t="s">
        <v>212</v>
      </c>
      <c r="AC346" s="215"/>
    </row>
    <row r="347" spans="1:29" ht="13.5" customHeight="1">
      <c r="A347" s="215"/>
      <c r="B347" s="535">
        <v>39248</v>
      </c>
      <c r="C347" s="535"/>
      <c r="D347" s="219" t="s">
        <v>212</v>
      </c>
      <c r="E347" s="229">
        <v>0</v>
      </c>
      <c r="F347" s="536">
        <v>0</v>
      </c>
      <c r="G347" s="536"/>
      <c r="H347" s="229">
        <v>327.9</v>
      </c>
      <c r="I347" s="536">
        <v>24</v>
      </c>
      <c r="J347" s="536"/>
      <c r="K347" s="229">
        <v>297.3</v>
      </c>
      <c r="L347" s="230">
        <v>24</v>
      </c>
      <c r="M347" s="229">
        <v>0</v>
      </c>
      <c r="N347" s="230">
        <v>0</v>
      </c>
      <c r="O347" s="231">
        <v>625.20000000000005</v>
      </c>
      <c r="P347" s="222" t="s">
        <v>212</v>
      </c>
      <c r="Q347" s="229">
        <v>0</v>
      </c>
      <c r="R347" s="230">
        <v>0</v>
      </c>
      <c r="S347" s="229">
        <v>76</v>
      </c>
      <c r="T347" s="536">
        <v>24</v>
      </c>
      <c r="U347" s="536"/>
      <c r="V347" s="229">
        <v>76</v>
      </c>
      <c r="W347" s="222" t="s">
        <v>212</v>
      </c>
      <c r="X347" s="530">
        <v>701.2</v>
      </c>
      <c r="Y347" s="530"/>
      <c r="Z347" s="222" t="s">
        <v>212</v>
      </c>
      <c r="AA347" s="232">
        <v>8375200</v>
      </c>
      <c r="AB347" s="233">
        <v>0</v>
      </c>
      <c r="AC347" s="215"/>
    </row>
    <row r="348" spans="1:29" ht="2.25" customHeight="1">
      <c r="A348" s="215"/>
      <c r="B348" s="529" t="s">
        <v>212</v>
      </c>
      <c r="C348" s="529"/>
      <c r="D348" s="219" t="s">
        <v>212</v>
      </c>
      <c r="E348" s="222" t="s">
        <v>212</v>
      </c>
      <c r="F348" s="531" t="s">
        <v>212</v>
      </c>
      <c r="G348" s="531"/>
      <c r="H348" s="222" t="s">
        <v>212</v>
      </c>
      <c r="I348" s="531" t="s">
        <v>212</v>
      </c>
      <c r="J348" s="531"/>
      <c r="K348" s="222" t="s">
        <v>212</v>
      </c>
      <c r="L348" s="222" t="s">
        <v>212</v>
      </c>
      <c r="M348" s="222" t="s">
        <v>212</v>
      </c>
      <c r="N348" s="222" t="s">
        <v>212</v>
      </c>
      <c r="O348" s="222" t="s">
        <v>212</v>
      </c>
      <c r="P348" s="222" t="s">
        <v>212</v>
      </c>
      <c r="Q348" s="222" t="s">
        <v>212</v>
      </c>
      <c r="R348" s="222" t="s">
        <v>212</v>
      </c>
      <c r="S348" s="222" t="s">
        <v>212</v>
      </c>
      <c r="T348" s="531" t="s">
        <v>212</v>
      </c>
      <c r="U348" s="531"/>
      <c r="V348" s="222" t="s">
        <v>212</v>
      </c>
      <c r="W348" s="222" t="s">
        <v>212</v>
      </c>
      <c r="X348" s="531" t="s">
        <v>212</v>
      </c>
      <c r="Y348" s="531"/>
      <c r="Z348" s="222" t="s">
        <v>212</v>
      </c>
      <c r="AA348" s="222" t="s">
        <v>212</v>
      </c>
      <c r="AB348" s="222" t="s">
        <v>212</v>
      </c>
      <c r="AC348" s="215"/>
    </row>
    <row r="349" spans="1:29" ht="13.5" customHeight="1">
      <c r="A349" s="215"/>
      <c r="B349" s="532">
        <v>39249</v>
      </c>
      <c r="C349" s="532"/>
      <c r="D349" s="219" t="s">
        <v>212</v>
      </c>
      <c r="E349" s="224">
        <v>90.8</v>
      </c>
      <c r="F349" s="533">
        <v>11</v>
      </c>
      <c r="G349" s="533"/>
      <c r="H349" s="224">
        <v>316.5</v>
      </c>
      <c r="I349" s="533">
        <v>24</v>
      </c>
      <c r="J349" s="533"/>
      <c r="K349" s="224">
        <v>282.5</v>
      </c>
      <c r="L349" s="225">
        <v>24</v>
      </c>
      <c r="M349" s="224">
        <v>0</v>
      </c>
      <c r="N349" s="225">
        <v>0</v>
      </c>
      <c r="O349" s="226">
        <v>689.8</v>
      </c>
      <c r="P349" s="222" t="s">
        <v>212</v>
      </c>
      <c r="Q349" s="224">
        <v>0</v>
      </c>
      <c r="R349" s="225">
        <v>0</v>
      </c>
      <c r="S349" s="224">
        <v>50</v>
      </c>
      <c r="T349" s="533">
        <v>14</v>
      </c>
      <c r="U349" s="533"/>
      <c r="V349" s="224">
        <v>50</v>
      </c>
      <c r="W349" s="222" t="s">
        <v>212</v>
      </c>
      <c r="X349" s="534">
        <v>739.8</v>
      </c>
      <c r="Y349" s="534"/>
      <c r="Z349" s="222" t="s">
        <v>212</v>
      </c>
      <c r="AA349" s="227">
        <v>9745800</v>
      </c>
      <c r="AB349" s="228">
        <v>2703</v>
      </c>
      <c r="AC349" s="215"/>
    </row>
    <row r="350" spans="1:29" ht="2.25" customHeight="1">
      <c r="A350" s="215"/>
      <c r="B350" s="529" t="s">
        <v>212</v>
      </c>
      <c r="C350" s="529"/>
      <c r="D350" s="219" t="s">
        <v>212</v>
      </c>
      <c r="E350" s="222" t="s">
        <v>212</v>
      </c>
      <c r="F350" s="531" t="s">
        <v>212</v>
      </c>
      <c r="G350" s="531"/>
      <c r="H350" s="222" t="s">
        <v>212</v>
      </c>
      <c r="I350" s="531" t="s">
        <v>212</v>
      </c>
      <c r="J350" s="531"/>
      <c r="K350" s="222" t="s">
        <v>212</v>
      </c>
      <c r="L350" s="222" t="s">
        <v>212</v>
      </c>
      <c r="M350" s="222" t="s">
        <v>212</v>
      </c>
      <c r="N350" s="222" t="s">
        <v>212</v>
      </c>
      <c r="O350" s="222" t="s">
        <v>212</v>
      </c>
      <c r="P350" s="222" t="s">
        <v>212</v>
      </c>
      <c r="Q350" s="222" t="s">
        <v>212</v>
      </c>
      <c r="R350" s="222" t="s">
        <v>212</v>
      </c>
      <c r="S350" s="222" t="s">
        <v>212</v>
      </c>
      <c r="T350" s="531" t="s">
        <v>212</v>
      </c>
      <c r="U350" s="531"/>
      <c r="V350" s="222" t="s">
        <v>212</v>
      </c>
      <c r="W350" s="222" t="s">
        <v>212</v>
      </c>
      <c r="X350" s="531" t="s">
        <v>212</v>
      </c>
      <c r="Y350" s="531"/>
      <c r="Z350" s="222" t="s">
        <v>212</v>
      </c>
      <c r="AA350" s="222" t="s">
        <v>212</v>
      </c>
      <c r="AB350" s="222" t="s">
        <v>212</v>
      </c>
      <c r="AC350" s="215"/>
    </row>
    <row r="351" spans="1:29" ht="13.5" customHeight="1">
      <c r="A351" s="215"/>
      <c r="B351" s="535">
        <v>39250</v>
      </c>
      <c r="C351" s="535"/>
      <c r="D351" s="219" t="s">
        <v>212</v>
      </c>
      <c r="E351" s="229">
        <v>161.1</v>
      </c>
      <c r="F351" s="536">
        <v>17</v>
      </c>
      <c r="G351" s="536"/>
      <c r="H351" s="229">
        <v>284.10000000000002</v>
      </c>
      <c r="I351" s="536">
        <v>24</v>
      </c>
      <c r="J351" s="536"/>
      <c r="K351" s="229">
        <v>231.2</v>
      </c>
      <c r="L351" s="230">
        <v>24</v>
      </c>
      <c r="M351" s="229">
        <v>0</v>
      </c>
      <c r="N351" s="230">
        <v>0</v>
      </c>
      <c r="O351" s="231">
        <v>676.4</v>
      </c>
      <c r="P351" s="222" t="s">
        <v>212</v>
      </c>
      <c r="Q351" s="229">
        <v>0</v>
      </c>
      <c r="R351" s="230">
        <v>0</v>
      </c>
      <c r="S351" s="229">
        <v>0</v>
      </c>
      <c r="T351" s="536">
        <v>0</v>
      </c>
      <c r="U351" s="536"/>
      <c r="V351" s="229">
        <v>0</v>
      </c>
      <c r="W351" s="222" t="s">
        <v>212</v>
      </c>
      <c r="X351" s="530">
        <v>676.4</v>
      </c>
      <c r="Y351" s="530"/>
      <c r="Z351" s="222" t="s">
        <v>212</v>
      </c>
      <c r="AA351" s="232">
        <v>10158900</v>
      </c>
      <c r="AB351" s="233">
        <v>0</v>
      </c>
      <c r="AC351" s="215"/>
    </row>
    <row r="352" spans="1:29" ht="2.25" customHeight="1">
      <c r="A352" s="215"/>
      <c r="B352" s="529" t="s">
        <v>212</v>
      </c>
      <c r="C352" s="529"/>
      <c r="D352" s="219" t="s">
        <v>212</v>
      </c>
      <c r="E352" s="222" t="s">
        <v>212</v>
      </c>
      <c r="F352" s="531" t="s">
        <v>212</v>
      </c>
      <c r="G352" s="531"/>
      <c r="H352" s="222" t="s">
        <v>212</v>
      </c>
      <c r="I352" s="531" t="s">
        <v>212</v>
      </c>
      <c r="J352" s="531"/>
      <c r="K352" s="222" t="s">
        <v>212</v>
      </c>
      <c r="L352" s="222" t="s">
        <v>212</v>
      </c>
      <c r="M352" s="222" t="s">
        <v>212</v>
      </c>
      <c r="N352" s="222" t="s">
        <v>212</v>
      </c>
      <c r="O352" s="222" t="s">
        <v>212</v>
      </c>
      <c r="P352" s="222" t="s">
        <v>212</v>
      </c>
      <c r="Q352" s="222" t="s">
        <v>212</v>
      </c>
      <c r="R352" s="222" t="s">
        <v>212</v>
      </c>
      <c r="S352" s="222" t="s">
        <v>212</v>
      </c>
      <c r="T352" s="531" t="s">
        <v>212</v>
      </c>
      <c r="U352" s="531"/>
      <c r="V352" s="222" t="s">
        <v>212</v>
      </c>
      <c r="W352" s="222" t="s">
        <v>212</v>
      </c>
      <c r="X352" s="531" t="s">
        <v>212</v>
      </c>
      <c r="Y352" s="531"/>
      <c r="Z352" s="222" t="s">
        <v>212</v>
      </c>
      <c r="AA352" s="222" t="s">
        <v>212</v>
      </c>
      <c r="AB352" s="222" t="s">
        <v>212</v>
      </c>
      <c r="AC352" s="215"/>
    </row>
    <row r="353" spans="1:29" ht="13.5" customHeight="1">
      <c r="A353" s="215"/>
      <c r="B353" s="532">
        <v>39251</v>
      </c>
      <c r="C353" s="532"/>
      <c r="D353" s="219" t="s">
        <v>212</v>
      </c>
      <c r="E353" s="224">
        <v>0</v>
      </c>
      <c r="F353" s="533">
        <v>0</v>
      </c>
      <c r="G353" s="533"/>
      <c r="H353" s="224">
        <v>384.5</v>
      </c>
      <c r="I353" s="533">
        <v>24</v>
      </c>
      <c r="J353" s="533"/>
      <c r="K353" s="224">
        <v>326.3</v>
      </c>
      <c r="L353" s="225">
        <v>24</v>
      </c>
      <c r="M353" s="224">
        <v>0</v>
      </c>
      <c r="N353" s="225">
        <v>0</v>
      </c>
      <c r="O353" s="226">
        <v>710.8</v>
      </c>
      <c r="P353" s="222" t="s">
        <v>212</v>
      </c>
      <c r="Q353" s="224">
        <v>0</v>
      </c>
      <c r="R353" s="225">
        <v>0</v>
      </c>
      <c r="S353" s="224">
        <v>65</v>
      </c>
      <c r="T353" s="533">
        <v>16</v>
      </c>
      <c r="U353" s="533"/>
      <c r="V353" s="224">
        <v>65</v>
      </c>
      <c r="W353" s="222" t="s">
        <v>212</v>
      </c>
      <c r="X353" s="534">
        <v>775.8</v>
      </c>
      <c r="Y353" s="534"/>
      <c r="Z353" s="222" t="s">
        <v>212</v>
      </c>
      <c r="AA353" s="227">
        <v>9156800</v>
      </c>
      <c r="AB353" s="228">
        <v>0</v>
      </c>
      <c r="AC353" s="215"/>
    </row>
    <row r="354" spans="1:29" ht="2.25" customHeight="1">
      <c r="A354" s="215"/>
      <c r="B354" s="529" t="s">
        <v>212</v>
      </c>
      <c r="C354" s="529"/>
      <c r="D354" s="219" t="s">
        <v>212</v>
      </c>
      <c r="E354" s="222" t="s">
        <v>212</v>
      </c>
      <c r="F354" s="531" t="s">
        <v>212</v>
      </c>
      <c r="G354" s="531"/>
      <c r="H354" s="222" t="s">
        <v>212</v>
      </c>
      <c r="I354" s="531" t="s">
        <v>212</v>
      </c>
      <c r="J354" s="531"/>
      <c r="K354" s="222" t="s">
        <v>212</v>
      </c>
      <c r="L354" s="222" t="s">
        <v>212</v>
      </c>
      <c r="M354" s="222" t="s">
        <v>212</v>
      </c>
      <c r="N354" s="222" t="s">
        <v>212</v>
      </c>
      <c r="O354" s="222" t="s">
        <v>212</v>
      </c>
      <c r="P354" s="222" t="s">
        <v>212</v>
      </c>
      <c r="Q354" s="222" t="s">
        <v>212</v>
      </c>
      <c r="R354" s="222" t="s">
        <v>212</v>
      </c>
      <c r="S354" s="222" t="s">
        <v>212</v>
      </c>
      <c r="T354" s="531" t="s">
        <v>212</v>
      </c>
      <c r="U354" s="531"/>
      <c r="V354" s="222" t="s">
        <v>212</v>
      </c>
      <c r="W354" s="222" t="s">
        <v>212</v>
      </c>
      <c r="X354" s="531" t="s">
        <v>212</v>
      </c>
      <c r="Y354" s="531"/>
      <c r="Z354" s="222" t="s">
        <v>212</v>
      </c>
      <c r="AA354" s="222" t="s">
        <v>212</v>
      </c>
      <c r="AB354" s="222" t="s">
        <v>212</v>
      </c>
      <c r="AC354" s="215"/>
    </row>
    <row r="355" spans="1:29" ht="13.5" customHeight="1">
      <c r="A355" s="215"/>
      <c r="B355" s="535">
        <v>39252</v>
      </c>
      <c r="C355" s="535"/>
      <c r="D355" s="219" t="s">
        <v>212</v>
      </c>
      <c r="E355" s="229">
        <v>0</v>
      </c>
      <c r="F355" s="536">
        <v>0</v>
      </c>
      <c r="G355" s="536"/>
      <c r="H355" s="229">
        <v>341.9</v>
      </c>
      <c r="I355" s="536">
        <v>24</v>
      </c>
      <c r="J355" s="536"/>
      <c r="K355" s="229">
        <v>299.5</v>
      </c>
      <c r="L355" s="230">
        <v>24</v>
      </c>
      <c r="M355" s="229">
        <v>0</v>
      </c>
      <c r="N355" s="230">
        <v>0</v>
      </c>
      <c r="O355" s="231">
        <v>641.4</v>
      </c>
      <c r="P355" s="222" t="s">
        <v>212</v>
      </c>
      <c r="Q355" s="229">
        <v>55</v>
      </c>
      <c r="R355" s="230">
        <v>24</v>
      </c>
      <c r="S355" s="229">
        <v>0</v>
      </c>
      <c r="T355" s="536">
        <v>0</v>
      </c>
      <c r="U355" s="536"/>
      <c r="V355" s="229">
        <v>55</v>
      </c>
      <c r="W355" s="222" t="s">
        <v>212</v>
      </c>
      <c r="X355" s="530">
        <v>696.4</v>
      </c>
      <c r="Y355" s="530"/>
      <c r="Z355" s="222" t="s">
        <v>212</v>
      </c>
      <c r="AA355" s="232">
        <v>8567100</v>
      </c>
      <c r="AB355" s="233">
        <v>0</v>
      </c>
      <c r="AC355" s="215"/>
    </row>
    <row r="356" spans="1:29" ht="2.25" customHeight="1">
      <c r="A356" s="215"/>
      <c r="B356" s="529" t="s">
        <v>212</v>
      </c>
      <c r="C356" s="529"/>
      <c r="D356" s="219" t="s">
        <v>212</v>
      </c>
      <c r="E356" s="222" t="s">
        <v>212</v>
      </c>
      <c r="F356" s="531" t="s">
        <v>212</v>
      </c>
      <c r="G356" s="531"/>
      <c r="H356" s="222" t="s">
        <v>212</v>
      </c>
      <c r="I356" s="531" t="s">
        <v>212</v>
      </c>
      <c r="J356" s="531"/>
      <c r="K356" s="222" t="s">
        <v>212</v>
      </c>
      <c r="L356" s="222" t="s">
        <v>212</v>
      </c>
      <c r="M356" s="222" t="s">
        <v>212</v>
      </c>
      <c r="N356" s="222" t="s">
        <v>212</v>
      </c>
      <c r="O356" s="222" t="s">
        <v>212</v>
      </c>
      <c r="P356" s="222" t="s">
        <v>212</v>
      </c>
      <c r="Q356" s="222" t="s">
        <v>212</v>
      </c>
      <c r="R356" s="222" t="s">
        <v>212</v>
      </c>
      <c r="S356" s="222" t="s">
        <v>212</v>
      </c>
      <c r="T356" s="531" t="s">
        <v>212</v>
      </c>
      <c r="U356" s="531"/>
      <c r="V356" s="222" t="s">
        <v>212</v>
      </c>
      <c r="W356" s="222" t="s">
        <v>212</v>
      </c>
      <c r="X356" s="531" t="s">
        <v>212</v>
      </c>
      <c r="Y356" s="531"/>
      <c r="Z356" s="222" t="s">
        <v>212</v>
      </c>
      <c r="AA356" s="222" t="s">
        <v>212</v>
      </c>
      <c r="AB356" s="222" t="s">
        <v>212</v>
      </c>
      <c r="AC356" s="215"/>
    </row>
    <row r="357" spans="1:29" ht="13.5" customHeight="1">
      <c r="A357" s="215"/>
      <c r="B357" s="532">
        <v>39253</v>
      </c>
      <c r="C357" s="532"/>
      <c r="D357" s="219" t="s">
        <v>212</v>
      </c>
      <c r="E357" s="224">
        <v>0</v>
      </c>
      <c r="F357" s="533">
        <v>0</v>
      </c>
      <c r="G357" s="533"/>
      <c r="H357" s="224">
        <v>304.8</v>
      </c>
      <c r="I357" s="533">
        <v>24</v>
      </c>
      <c r="J357" s="533"/>
      <c r="K357" s="224">
        <v>270.3</v>
      </c>
      <c r="L357" s="225">
        <v>24</v>
      </c>
      <c r="M357" s="224">
        <v>0</v>
      </c>
      <c r="N357" s="225">
        <v>0</v>
      </c>
      <c r="O357" s="226">
        <v>575.1</v>
      </c>
      <c r="P357" s="222" t="s">
        <v>212</v>
      </c>
      <c r="Q357" s="224">
        <v>1</v>
      </c>
      <c r="R357" s="225">
        <v>1</v>
      </c>
      <c r="S357" s="224">
        <v>0</v>
      </c>
      <c r="T357" s="533">
        <v>0</v>
      </c>
      <c r="U357" s="533"/>
      <c r="V357" s="224">
        <v>1</v>
      </c>
      <c r="W357" s="222" t="s">
        <v>212</v>
      </c>
      <c r="X357" s="534">
        <v>576.1</v>
      </c>
      <c r="Y357" s="534"/>
      <c r="Z357" s="222" t="s">
        <v>212</v>
      </c>
      <c r="AA357" s="227">
        <v>7997300</v>
      </c>
      <c r="AB357" s="228">
        <v>0</v>
      </c>
      <c r="AC357" s="215"/>
    </row>
    <row r="358" spans="1:29" ht="2.25" customHeight="1">
      <c r="A358" s="215"/>
      <c r="B358" s="529" t="s">
        <v>212</v>
      </c>
      <c r="C358" s="529"/>
      <c r="D358" s="219" t="s">
        <v>212</v>
      </c>
      <c r="E358" s="222" t="s">
        <v>212</v>
      </c>
      <c r="F358" s="531" t="s">
        <v>212</v>
      </c>
      <c r="G358" s="531"/>
      <c r="H358" s="222" t="s">
        <v>212</v>
      </c>
      <c r="I358" s="531" t="s">
        <v>212</v>
      </c>
      <c r="J358" s="531"/>
      <c r="K358" s="222" t="s">
        <v>212</v>
      </c>
      <c r="L358" s="222" t="s">
        <v>212</v>
      </c>
      <c r="M358" s="222" t="s">
        <v>212</v>
      </c>
      <c r="N358" s="222" t="s">
        <v>212</v>
      </c>
      <c r="O358" s="222" t="s">
        <v>212</v>
      </c>
      <c r="P358" s="222" t="s">
        <v>212</v>
      </c>
      <c r="Q358" s="222" t="s">
        <v>212</v>
      </c>
      <c r="R358" s="222" t="s">
        <v>212</v>
      </c>
      <c r="S358" s="222" t="s">
        <v>212</v>
      </c>
      <c r="T358" s="531" t="s">
        <v>212</v>
      </c>
      <c r="U358" s="531"/>
      <c r="V358" s="222" t="s">
        <v>212</v>
      </c>
      <c r="W358" s="222" t="s">
        <v>212</v>
      </c>
      <c r="X358" s="531" t="s">
        <v>212</v>
      </c>
      <c r="Y358" s="531"/>
      <c r="Z358" s="222" t="s">
        <v>212</v>
      </c>
      <c r="AA358" s="222" t="s">
        <v>212</v>
      </c>
      <c r="AB358" s="222" t="s">
        <v>212</v>
      </c>
      <c r="AC358" s="215"/>
    </row>
    <row r="359" spans="1:29" ht="13.5" customHeight="1">
      <c r="A359" s="215"/>
      <c r="B359" s="535">
        <v>39254</v>
      </c>
      <c r="C359" s="535"/>
      <c r="D359" s="219" t="s">
        <v>212</v>
      </c>
      <c r="E359" s="229">
        <v>0</v>
      </c>
      <c r="F359" s="536">
        <v>0</v>
      </c>
      <c r="G359" s="536"/>
      <c r="H359" s="229">
        <v>344.8</v>
      </c>
      <c r="I359" s="536">
        <v>24</v>
      </c>
      <c r="J359" s="536"/>
      <c r="K359" s="229">
        <v>317.2</v>
      </c>
      <c r="L359" s="230">
        <v>24</v>
      </c>
      <c r="M359" s="229">
        <v>0</v>
      </c>
      <c r="N359" s="230">
        <v>0</v>
      </c>
      <c r="O359" s="231">
        <v>662</v>
      </c>
      <c r="P359" s="222" t="s">
        <v>212</v>
      </c>
      <c r="Q359" s="229">
        <v>0</v>
      </c>
      <c r="R359" s="230">
        <v>0</v>
      </c>
      <c r="S359" s="229">
        <v>36</v>
      </c>
      <c r="T359" s="536">
        <v>14</v>
      </c>
      <c r="U359" s="536"/>
      <c r="V359" s="229">
        <v>36</v>
      </c>
      <c r="W359" s="222" t="s">
        <v>212</v>
      </c>
      <c r="X359" s="530">
        <v>698</v>
      </c>
      <c r="Y359" s="530"/>
      <c r="Z359" s="222" t="s">
        <v>212</v>
      </c>
      <c r="AA359" s="232">
        <v>8859500</v>
      </c>
      <c r="AB359" s="233">
        <v>0</v>
      </c>
      <c r="AC359" s="215"/>
    </row>
    <row r="360" spans="1:29" ht="2.25" customHeight="1">
      <c r="A360" s="215"/>
      <c r="B360" s="529" t="s">
        <v>212</v>
      </c>
      <c r="C360" s="529"/>
      <c r="D360" s="219" t="s">
        <v>212</v>
      </c>
      <c r="E360" s="222" t="s">
        <v>212</v>
      </c>
      <c r="F360" s="531" t="s">
        <v>212</v>
      </c>
      <c r="G360" s="531"/>
      <c r="H360" s="222" t="s">
        <v>212</v>
      </c>
      <c r="I360" s="531" t="s">
        <v>212</v>
      </c>
      <c r="J360" s="531"/>
      <c r="K360" s="222" t="s">
        <v>212</v>
      </c>
      <c r="L360" s="222" t="s">
        <v>212</v>
      </c>
      <c r="M360" s="222" t="s">
        <v>212</v>
      </c>
      <c r="N360" s="222" t="s">
        <v>212</v>
      </c>
      <c r="O360" s="222" t="s">
        <v>212</v>
      </c>
      <c r="P360" s="222" t="s">
        <v>212</v>
      </c>
      <c r="Q360" s="222" t="s">
        <v>212</v>
      </c>
      <c r="R360" s="222" t="s">
        <v>212</v>
      </c>
      <c r="S360" s="222" t="s">
        <v>212</v>
      </c>
      <c r="T360" s="531" t="s">
        <v>212</v>
      </c>
      <c r="U360" s="531"/>
      <c r="V360" s="222" t="s">
        <v>212</v>
      </c>
      <c r="W360" s="222" t="s">
        <v>212</v>
      </c>
      <c r="X360" s="531" t="s">
        <v>212</v>
      </c>
      <c r="Y360" s="531"/>
      <c r="Z360" s="222" t="s">
        <v>212</v>
      </c>
      <c r="AA360" s="222" t="s">
        <v>212</v>
      </c>
      <c r="AB360" s="222" t="s">
        <v>212</v>
      </c>
      <c r="AC360" s="215"/>
    </row>
    <row r="361" spans="1:29" ht="13.5" customHeight="1">
      <c r="A361" s="215"/>
      <c r="B361" s="532">
        <v>39255</v>
      </c>
      <c r="C361" s="532"/>
      <c r="D361" s="219" t="s">
        <v>212</v>
      </c>
      <c r="E361" s="224">
        <v>0</v>
      </c>
      <c r="F361" s="533">
        <v>0</v>
      </c>
      <c r="G361" s="533"/>
      <c r="H361" s="224">
        <v>324.89999999999998</v>
      </c>
      <c r="I361" s="533">
        <v>24</v>
      </c>
      <c r="J361" s="533"/>
      <c r="K361" s="224">
        <v>290</v>
      </c>
      <c r="L361" s="225">
        <v>24</v>
      </c>
      <c r="M361" s="224">
        <v>0</v>
      </c>
      <c r="N361" s="225">
        <v>0</v>
      </c>
      <c r="O361" s="226">
        <v>614.9</v>
      </c>
      <c r="P361" s="222" t="s">
        <v>212</v>
      </c>
      <c r="Q361" s="224">
        <v>0</v>
      </c>
      <c r="R361" s="225">
        <v>0</v>
      </c>
      <c r="S361" s="224">
        <v>87</v>
      </c>
      <c r="T361" s="533">
        <v>24</v>
      </c>
      <c r="U361" s="533"/>
      <c r="V361" s="224">
        <v>87</v>
      </c>
      <c r="W361" s="222" t="s">
        <v>212</v>
      </c>
      <c r="X361" s="534">
        <v>701.9</v>
      </c>
      <c r="Y361" s="534"/>
      <c r="Z361" s="222" t="s">
        <v>212</v>
      </c>
      <c r="AA361" s="227">
        <v>8386100</v>
      </c>
      <c r="AB361" s="228">
        <v>0</v>
      </c>
      <c r="AC361" s="215"/>
    </row>
    <row r="362" spans="1:29" ht="2.25" customHeight="1">
      <c r="A362" s="215"/>
      <c r="B362" s="529" t="s">
        <v>212</v>
      </c>
      <c r="C362" s="529"/>
      <c r="D362" s="219" t="s">
        <v>212</v>
      </c>
      <c r="E362" s="222" t="s">
        <v>212</v>
      </c>
      <c r="F362" s="531" t="s">
        <v>212</v>
      </c>
      <c r="G362" s="531"/>
      <c r="H362" s="222" t="s">
        <v>212</v>
      </c>
      <c r="I362" s="531" t="s">
        <v>212</v>
      </c>
      <c r="J362" s="531"/>
      <c r="K362" s="222" t="s">
        <v>212</v>
      </c>
      <c r="L362" s="222" t="s">
        <v>212</v>
      </c>
      <c r="M362" s="222" t="s">
        <v>212</v>
      </c>
      <c r="N362" s="222" t="s">
        <v>212</v>
      </c>
      <c r="O362" s="222" t="s">
        <v>212</v>
      </c>
      <c r="P362" s="222" t="s">
        <v>212</v>
      </c>
      <c r="Q362" s="222" t="s">
        <v>212</v>
      </c>
      <c r="R362" s="222" t="s">
        <v>212</v>
      </c>
      <c r="S362" s="222" t="s">
        <v>212</v>
      </c>
      <c r="T362" s="531" t="s">
        <v>212</v>
      </c>
      <c r="U362" s="531"/>
      <c r="V362" s="222" t="s">
        <v>212</v>
      </c>
      <c r="W362" s="222" t="s">
        <v>212</v>
      </c>
      <c r="X362" s="531" t="s">
        <v>212</v>
      </c>
      <c r="Y362" s="531"/>
      <c r="Z362" s="222" t="s">
        <v>212</v>
      </c>
      <c r="AA362" s="222" t="s">
        <v>212</v>
      </c>
      <c r="AB362" s="222" t="s">
        <v>212</v>
      </c>
      <c r="AC362" s="215"/>
    </row>
    <row r="363" spans="1:29" ht="13.5" customHeight="1">
      <c r="A363" s="215"/>
      <c r="B363" s="535">
        <v>39256</v>
      </c>
      <c r="C363" s="535"/>
      <c r="D363" s="219" t="s">
        <v>212</v>
      </c>
      <c r="E363" s="229">
        <v>0</v>
      </c>
      <c r="F363" s="536">
        <v>2</v>
      </c>
      <c r="G363" s="536"/>
      <c r="H363" s="229">
        <v>312.5</v>
      </c>
      <c r="I363" s="536">
        <v>24</v>
      </c>
      <c r="J363" s="536"/>
      <c r="K363" s="229">
        <v>280</v>
      </c>
      <c r="L363" s="230">
        <v>24</v>
      </c>
      <c r="M363" s="229">
        <v>0</v>
      </c>
      <c r="N363" s="230">
        <v>0</v>
      </c>
      <c r="O363" s="231">
        <v>592.5</v>
      </c>
      <c r="P363" s="222" t="s">
        <v>212</v>
      </c>
      <c r="Q363" s="229">
        <v>0</v>
      </c>
      <c r="R363" s="230">
        <v>0</v>
      </c>
      <c r="S363" s="229">
        <v>22</v>
      </c>
      <c r="T363" s="536">
        <v>6</v>
      </c>
      <c r="U363" s="536"/>
      <c r="V363" s="229">
        <v>22</v>
      </c>
      <c r="W363" s="222" t="s">
        <v>212</v>
      </c>
      <c r="X363" s="530">
        <v>614.5</v>
      </c>
      <c r="Y363" s="530"/>
      <c r="Z363" s="222" t="s">
        <v>212</v>
      </c>
      <c r="AA363" s="232">
        <v>8277100</v>
      </c>
      <c r="AB363" s="233">
        <v>314</v>
      </c>
      <c r="AC363" s="215"/>
    </row>
    <row r="364" spans="1:29" ht="2.25" customHeight="1">
      <c r="A364" s="215"/>
      <c r="B364" s="529" t="s">
        <v>212</v>
      </c>
      <c r="C364" s="529"/>
      <c r="D364" s="219" t="s">
        <v>212</v>
      </c>
      <c r="E364" s="222" t="s">
        <v>212</v>
      </c>
      <c r="F364" s="531" t="s">
        <v>212</v>
      </c>
      <c r="G364" s="531"/>
      <c r="H364" s="222" t="s">
        <v>212</v>
      </c>
      <c r="I364" s="531" t="s">
        <v>212</v>
      </c>
      <c r="J364" s="531"/>
      <c r="K364" s="222" t="s">
        <v>212</v>
      </c>
      <c r="L364" s="222" t="s">
        <v>212</v>
      </c>
      <c r="M364" s="222" t="s">
        <v>212</v>
      </c>
      <c r="N364" s="222" t="s">
        <v>212</v>
      </c>
      <c r="O364" s="222" t="s">
        <v>212</v>
      </c>
      <c r="P364" s="222" t="s">
        <v>212</v>
      </c>
      <c r="Q364" s="222" t="s">
        <v>212</v>
      </c>
      <c r="R364" s="222" t="s">
        <v>212</v>
      </c>
      <c r="S364" s="222" t="s">
        <v>212</v>
      </c>
      <c r="T364" s="531" t="s">
        <v>212</v>
      </c>
      <c r="U364" s="531"/>
      <c r="V364" s="222" t="s">
        <v>212</v>
      </c>
      <c r="W364" s="222" t="s">
        <v>212</v>
      </c>
      <c r="X364" s="531" t="s">
        <v>212</v>
      </c>
      <c r="Y364" s="531"/>
      <c r="Z364" s="222" t="s">
        <v>212</v>
      </c>
      <c r="AA364" s="222" t="s">
        <v>212</v>
      </c>
      <c r="AB364" s="222" t="s">
        <v>212</v>
      </c>
      <c r="AC364" s="215"/>
    </row>
    <row r="365" spans="1:29" ht="13.5" customHeight="1">
      <c r="A365" s="215"/>
      <c r="B365" s="532">
        <v>39257</v>
      </c>
      <c r="C365" s="532"/>
      <c r="D365" s="219" t="s">
        <v>212</v>
      </c>
      <c r="E365" s="224">
        <v>0</v>
      </c>
      <c r="F365" s="533">
        <v>0</v>
      </c>
      <c r="G365" s="533"/>
      <c r="H365" s="224">
        <v>341.3</v>
      </c>
      <c r="I365" s="533">
        <v>24</v>
      </c>
      <c r="J365" s="533"/>
      <c r="K365" s="224">
        <v>310.7</v>
      </c>
      <c r="L365" s="225">
        <v>24</v>
      </c>
      <c r="M365" s="224">
        <v>0</v>
      </c>
      <c r="N365" s="225">
        <v>0</v>
      </c>
      <c r="O365" s="226">
        <v>652</v>
      </c>
      <c r="P365" s="222" t="s">
        <v>212</v>
      </c>
      <c r="Q365" s="224">
        <v>0</v>
      </c>
      <c r="R365" s="225">
        <v>0</v>
      </c>
      <c r="S365" s="224">
        <v>0</v>
      </c>
      <c r="T365" s="533">
        <v>0</v>
      </c>
      <c r="U365" s="533"/>
      <c r="V365" s="224">
        <v>0</v>
      </c>
      <c r="W365" s="222" t="s">
        <v>212</v>
      </c>
      <c r="X365" s="534">
        <v>652</v>
      </c>
      <c r="Y365" s="534"/>
      <c r="Z365" s="222" t="s">
        <v>212</v>
      </c>
      <c r="AA365" s="227">
        <v>8538900</v>
      </c>
      <c r="AB365" s="228">
        <v>479</v>
      </c>
      <c r="AC365" s="215"/>
    </row>
    <row r="366" spans="1:29" ht="2.25" customHeight="1">
      <c r="A366" s="215"/>
      <c r="B366" s="529" t="s">
        <v>212</v>
      </c>
      <c r="C366" s="529"/>
      <c r="D366" s="219" t="s">
        <v>212</v>
      </c>
      <c r="E366" s="222" t="s">
        <v>212</v>
      </c>
      <c r="F366" s="531" t="s">
        <v>212</v>
      </c>
      <c r="G366" s="531"/>
      <c r="H366" s="222" t="s">
        <v>212</v>
      </c>
      <c r="I366" s="531" t="s">
        <v>212</v>
      </c>
      <c r="J366" s="531"/>
      <c r="K366" s="222" t="s">
        <v>212</v>
      </c>
      <c r="L366" s="222" t="s">
        <v>212</v>
      </c>
      <c r="M366" s="222" t="s">
        <v>212</v>
      </c>
      <c r="N366" s="222" t="s">
        <v>212</v>
      </c>
      <c r="O366" s="222" t="s">
        <v>212</v>
      </c>
      <c r="P366" s="222" t="s">
        <v>212</v>
      </c>
      <c r="Q366" s="222" t="s">
        <v>212</v>
      </c>
      <c r="R366" s="222" t="s">
        <v>212</v>
      </c>
      <c r="S366" s="222" t="s">
        <v>212</v>
      </c>
      <c r="T366" s="531" t="s">
        <v>212</v>
      </c>
      <c r="U366" s="531"/>
      <c r="V366" s="222" t="s">
        <v>212</v>
      </c>
      <c r="W366" s="222" t="s">
        <v>212</v>
      </c>
      <c r="X366" s="531" t="s">
        <v>212</v>
      </c>
      <c r="Y366" s="531"/>
      <c r="Z366" s="222" t="s">
        <v>212</v>
      </c>
      <c r="AA366" s="222" t="s">
        <v>212</v>
      </c>
      <c r="AB366" s="222" t="s">
        <v>212</v>
      </c>
      <c r="AC366" s="215"/>
    </row>
    <row r="367" spans="1:29" ht="13.5" customHeight="1">
      <c r="A367" s="215"/>
      <c r="B367" s="535">
        <v>39258</v>
      </c>
      <c r="C367" s="535"/>
      <c r="D367" s="219" t="s">
        <v>212</v>
      </c>
      <c r="E367" s="229">
        <v>0</v>
      </c>
      <c r="F367" s="536">
        <v>0</v>
      </c>
      <c r="G367" s="536"/>
      <c r="H367" s="229">
        <v>315.8</v>
      </c>
      <c r="I367" s="536">
        <v>24</v>
      </c>
      <c r="J367" s="536"/>
      <c r="K367" s="229">
        <v>295</v>
      </c>
      <c r="L367" s="230">
        <v>24</v>
      </c>
      <c r="M367" s="229">
        <v>0</v>
      </c>
      <c r="N367" s="230">
        <v>0</v>
      </c>
      <c r="O367" s="231">
        <v>610.79999999999995</v>
      </c>
      <c r="P367" s="222" t="s">
        <v>212</v>
      </c>
      <c r="Q367" s="229">
        <v>0</v>
      </c>
      <c r="R367" s="230">
        <v>0</v>
      </c>
      <c r="S367" s="229">
        <v>0</v>
      </c>
      <c r="T367" s="536">
        <v>0</v>
      </c>
      <c r="U367" s="536"/>
      <c r="V367" s="229">
        <v>0</v>
      </c>
      <c r="W367" s="222" t="s">
        <v>212</v>
      </c>
      <c r="X367" s="530">
        <v>610.79999999999995</v>
      </c>
      <c r="Y367" s="530"/>
      <c r="Z367" s="222" t="s">
        <v>212</v>
      </c>
      <c r="AA367" s="232">
        <v>8151500</v>
      </c>
      <c r="AB367" s="233">
        <v>0</v>
      </c>
      <c r="AC367" s="215"/>
    </row>
    <row r="368" spans="1:29" ht="2.25" customHeight="1">
      <c r="A368" s="215"/>
      <c r="B368" s="529" t="s">
        <v>212</v>
      </c>
      <c r="C368" s="529"/>
      <c r="D368" s="219" t="s">
        <v>212</v>
      </c>
      <c r="E368" s="222" t="s">
        <v>212</v>
      </c>
      <c r="F368" s="531" t="s">
        <v>212</v>
      </c>
      <c r="G368" s="531"/>
      <c r="H368" s="222" t="s">
        <v>212</v>
      </c>
      <c r="I368" s="531" t="s">
        <v>212</v>
      </c>
      <c r="J368" s="531"/>
      <c r="K368" s="222" t="s">
        <v>212</v>
      </c>
      <c r="L368" s="222" t="s">
        <v>212</v>
      </c>
      <c r="M368" s="222" t="s">
        <v>212</v>
      </c>
      <c r="N368" s="222" t="s">
        <v>212</v>
      </c>
      <c r="O368" s="222" t="s">
        <v>212</v>
      </c>
      <c r="P368" s="222" t="s">
        <v>212</v>
      </c>
      <c r="Q368" s="222" t="s">
        <v>212</v>
      </c>
      <c r="R368" s="222" t="s">
        <v>212</v>
      </c>
      <c r="S368" s="222" t="s">
        <v>212</v>
      </c>
      <c r="T368" s="531" t="s">
        <v>212</v>
      </c>
      <c r="U368" s="531"/>
      <c r="V368" s="222" t="s">
        <v>212</v>
      </c>
      <c r="W368" s="222" t="s">
        <v>212</v>
      </c>
      <c r="X368" s="531" t="s">
        <v>212</v>
      </c>
      <c r="Y368" s="531"/>
      <c r="Z368" s="222" t="s">
        <v>212</v>
      </c>
      <c r="AA368" s="222" t="s">
        <v>212</v>
      </c>
      <c r="AB368" s="222" t="s">
        <v>212</v>
      </c>
      <c r="AC368" s="215"/>
    </row>
    <row r="369" spans="1:29" ht="13.5" customHeight="1">
      <c r="A369" s="215"/>
      <c r="B369" s="532">
        <v>39259</v>
      </c>
      <c r="C369" s="532"/>
      <c r="D369" s="219" t="s">
        <v>212</v>
      </c>
      <c r="E369" s="224">
        <v>0</v>
      </c>
      <c r="F369" s="533">
        <v>1</v>
      </c>
      <c r="G369" s="533"/>
      <c r="H369" s="224">
        <v>334.1</v>
      </c>
      <c r="I369" s="533">
        <v>24</v>
      </c>
      <c r="J369" s="533"/>
      <c r="K369" s="224">
        <v>292.8</v>
      </c>
      <c r="L369" s="225">
        <v>24</v>
      </c>
      <c r="M369" s="224">
        <v>0</v>
      </c>
      <c r="N369" s="225">
        <v>0</v>
      </c>
      <c r="O369" s="226">
        <v>626.9</v>
      </c>
      <c r="P369" s="222" t="s">
        <v>212</v>
      </c>
      <c r="Q369" s="224">
        <v>0</v>
      </c>
      <c r="R369" s="225">
        <v>0</v>
      </c>
      <c r="S369" s="224">
        <v>9</v>
      </c>
      <c r="T369" s="533">
        <v>5</v>
      </c>
      <c r="U369" s="533"/>
      <c r="V369" s="224">
        <v>9</v>
      </c>
      <c r="W369" s="222" t="s">
        <v>212</v>
      </c>
      <c r="X369" s="534">
        <v>635.9</v>
      </c>
      <c r="Y369" s="534"/>
      <c r="Z369" s="222" t="s">
        <v>212</v>
      </c>
      <c r="AA369" s="227">
        <v>8325200</v>
      </c>
      <c r="AB369" s="228">
        <v>917</v>
      </c>
      <c r="AC369" s="215"/>
    </row>
    <row r="370" spans="1:29" ht="2.25" customHeight="1">
      <c r="A370" s="215"/>
      <c r="B370" s="529" t="s">
        <v>212</v>
      </c>
      <c r="C370" s="529"/>
      <c r="D370" s="219" t="s">
        <v>212</v>
      </c>
      <c r="E370" s="222" t="s">
        <v>212</v>
      </c>
      <c r="F370" s="531" t="s">
        <v>212</v>
      </c>
      <c r="G370" s="531"/>
      <c r="H370" s="222" t="s">
        <v>212</v>
      </c>
      <c r="I370" s="531" t="s">
        <v>212</v>
      </c>
      <c r="J370" s="531"/>
      <c r="K370" s="222" t="s">
        <v>212</v>
      </c>
      <c r="L370" s="222" t="s">
        <v>212</v>
      </c>
      <c r="M370" s="222" t="s">
        <v>212</v>
      </c>
      <c r="N370" s="222" t="s">
        <v>212</v>
      </c>
      <c r="O370" s="222" t="s">
        <v>212</v>
      </c>
      <c r="P370" s="222" t="s">
        <v>212</v>
      </c>
      <c r="Q370" s="222" t="s">
        <v>212</v>
      </c>
      <c r="R370" s="222" t="s">
        <v>212</v>
      </c>
      <c r="S370" s="222" t="s">
        <v>212</v>
      </c>
      <c r="T370" s="531" t="s">
        <v>212</v>
      </c>
      <c r="U370" s="531"/>
      <c r="V370" s="222" t="s">
        <v>212</v>
      </c>
      <c r="W370" s="222" t="s">
        <v>212</v>
      </c>
      <c r="X370" s="531" t="s">
        <v>212</v>
      </c>
      <c r="Y370" s="531"/>
      <c r="Z370" s="222" t="s">
        <v>212</v>
      </c>
      <c r="AA370" s="222" t="s">
        <v>212</v>
      </c>
      <c r="AB370" s="222" t="s">
        <v>212</v>
      </c>
      <c r="AC370" s="215"/>
    </row>
    <row r="371" spans="1:29" ht="13.5" customHeight="1">
      <c r="A371" s="215"/>
      <c r="B371" s="535">
        <v>39260</v>
      </c>
      <c r="C371" s="535"/>
      <c r="D371" s="219" t="s">
        <v>212</v>
      </c>
      <c r="E371" s="229">
        <v>0</v>
      </c>
      <c r="F371" s="536">
        <v>0</v>
      </c>
      <c r="G371" s="536"/>
      <c r="H371" s="229">
        <v>312.7</v>
      </c>
      <c r="I371" s="536">
        <v>24</v>
      </c>
      <c r="J371" s="536"/>
      <c r="K371" s="229">
        <v>295.8</v>
      </c>
      <c r="L371" s="230">
        <v>24</v>
      </c>
      <c r="M371" s="229">
        <v>0</v>
      </c>
      <c r="N371" s="230">
        <v>0</v>
      </c>
      <c r="O371" s="231">
        <v>608.5</v>
      </c>
      <c r="P371" s="222" t="s">
        <v>212</v>
      </c>
      <c r="Q371" s="229">
        <v>0</v>
      </c>
      <c r="R371" s="230">
        <v>0</v>
      </c>
      <c r="S371" s="229">
        <v>133</v>
      </c>
      <c r="T371" s="536">
        <v>24</v>
      </c>
      <c r="U371" s="536"/>
      <c r="V371" s="229">
        <v>133</v>
      </c>
      <c r="W371" s="222" t="s">
        <v>212</v>
      </c>
      <c r="X371" s="530">
        <v>741.5</v>
      </c>
      <c r="Y371" s="530"/>
      <c r="Z371" s="222" t="s">
        <v>212</v>
      </c>
      <c r="AA371" s="232">
        <v>8136300</v>
      </c>
      <c r="AB371" s="233">
        <v>0</v>
      </c>
      <c r="AC371" s="215"/>
    </row>
    <row r="372" spans="1:29" ht="2.25" customHeight="1">
      <c r="A372" s="215"/>
      <c r="B372" s="529" t="s">
        <v>212</v>
      </c>
      <c r="C372" s="529"/>
      <c r="D372" s="219" t="s">
        <v>212</v>
      </c>
      <c r="E372" s="222" t="s">
        <v>212</v>
      </c>
      <c r="F372" s="531" t="s">
        <v>212</v>
      </c>
      <c r="G372" s="531"/>
      <c r="H372" s="222" t="s">
        <v>212</v>
      </c>
      <c r="I372" s="531" t="s">
        <v>212</v>
      </c>
      <c r="J372" s="531"/>
      <c r="K372" s="222" t="s">
        <v>212</v>
      </c>
      <c r="L372" s="222" t="s">
        <v>212</v>
      </c>
      <c r="M372" s="222" t="s">
        <v>212</v>
      </c>
      <c r="N372" s="222" t="s">
        <v>212</v>
      </c>
      <c r="O372" s="222" t="s">
        <v>212</v>
      </c>
      <c r="P372" s="222" t="s">
        <v>212</v>
      </c>
      <c r="Q372" s="222" t="s">
        <v>212</v>
      </c>
      <c r="R372" s="222" t="s">
        <v>212</v>
      </c>
      <c r="S372" s="222" t="s">
        <v>212</v>
      </c>
      <c r="T372" s="531" t="s">
        <v>212</v>
      </c>
      <c r="U372" s="531"/>
      <c r="V372" s="222" t="s">
        <v>212</v>
      </c>
      <c r="W372" s="222" t="s">
        <v>212</v>
      </c>
      <c r="X372" s="531" t="s">
        <v>212</v>
      </c>
      <c r="Y372" s="531"/>
      <c r="Z372" s="222" t="s">
        <v>212</v>
      </c>
      <c r="AA372" s="222" t="s">
        <v>212</v>
      </c>
      <c r="AB372" s="222" t="s">
        <v>212</v>
      </c>
      <c r="AC372" s="215"/>
    </row>
    <row r="373" spans="1:29" ht="13.5" customHeight="1">
      <c r="A373" s="215"/>
      <c r="B373" s="532">
        <v>39261</v>
      </c>
      <c r="C373" s="532"/>
      <c r="D373" s="219" t="s">
        <v>212</v>
      </c>
      <c r="E373" s="224">
        <v>10.1</v>
      </c>
      <c r="F373" s="533">
        <v>1</v>
      </c>
      <c r="G373" s="533"/>
      <c r="H373" s="224">
        <v>305.60000000000002</v>
      </c>
      <c r="I373" s="533">
        <v>24</v>
      </c>
      <c r="J373" s="533"/>
      <c r="K373" s="224">
        <v>281.89999999999998</v>
      </c>
      <c r="L373" s="225">
        <v>24</v>
      </c>
      <c r="M373" s="224">
        <v>0</v>
      </c>
      <c r="N373" s="225">
        <v>0</v>
      </c>
      <c r="O373" s="226">
        <v>597.6</v>
      </c>
      <c r="P373" s="222" t="s">
        <v>212</v>
      </c>
      <c r="Q373" s="224">
        <v>0</v>
      </c>
      <c r="R373" s="225">
        <v>0</v>
      </c>
      <c r="S373" s="224">
        <v>91</v>
      </c>
      <c r="T373" s="533">
        <v>19</v>
      </c>
      <c r="U373" s="533"/>
      <c r="V373" s="224">
        <v>91</v>
      </c>
      <c r="W373" s="222" t="s">
        <v>212</v>
      </c>
      <c r="X373" s="534">
        <v>688.6</v>
      </c>
      <c r="Y373" s="534"/>
      <c r="Z373" s="222" t="s">
        <v>212</v>
      </c>
      <c r="AA373" s="227">
        <v>8082225</v>
      </c>
      <c r="AB373" s="228">
        <v>1636</v>
      </c>
      <c r="AC373" s="215"/>
    </row>
    <row r="374" spans="1:29" ht="2.25" customHeight="1">
      <c r="A374" s="215"/>
      <c r="B374" s="529" t="s">
        <v>212</v>
      </c>
      <c r="C374" s="529"/>
      <c r="D374" s="219" t="s">
        <v>212</v>
      </c>
      <c r="E374" s="222" t="s">
        <v>212</v>
      </c>
      <c r="F374" s="531" t="s">
        <v>212</v>
      </c>
      <c r="G374" s="531"/>
      <c r="H374" s="222" t="s">
        <v>212</v>
      </c>
      <c r="I374" s="531" t="s">
        <v>212</v>
      </c>
      <c r="J374" s="531"/>
      <c r="K374" s="222" t="s">
        <v>212</v>
      </c>
      <c r="L374" s="222" t="s">
        <v>212</v>
      </c>
      <c r="M374" s="222" t="s">
        <v>212</v>
      </c>
      <c r="N374" s="222" t="s">
        <v>212</v>
      </c>
      <c r="O374" s="222" t="s">
        <v>212</v>
      </c>
      <c r="P374" s="222" t="s">
        <v>212</v>
      </c>
      <c r="Q374" s="222" t="s">
        <v>212</v>
      </c>
      <c r="R374" s="222" t="s">
        <v>212</v>
      </c>
      <c r="S374" s="222" t="s">
        <v>212</v>
      </c>
      <c r="T374" s="531" t="s">
        <v>212</v>
      </c>
      <c r="U374" s="531"/>
      <c r="V374" s="222" t="s">
        <v>212</v>
      </c>
      <c r="W374" s="222" t="s">
        <v>212</v>
      </c>
      <c r="X374" s="531" t="s">
        <v>212</v>
      </c>
      <c r="Y374" s="531"/>
      <c r="Z374" s="222" t="s">
        <v>212</v>
      </c>
      <c r="AA374" s="222" t="s">
        <v>212</v>
      </c>
      <c r="AB374" s="222" t="s">
        <v>212</v>
      </c>
      <c r="AC374" s="215"/>
    </row>
    <row r="375" spans="1:29" ht="13.5" customHeight="1">
      <c r="A375" s="215"/>
      <c r="B375" s="535">
        <v>39262</v>
      </c>
      <c r="C375" s="535"/>
      <c r="D375" s="219" t="s">
        <v>212</v>
      </c>
      <c r="E375" s="229">
        <v>0</v>
      </c>
      <c r="F375" s="536">
        <v>0</v>
      </c>
      <c r="G375" s="536"/>
      <c r="H375" s="229">
        <v>306</v>
      </c>
      <c r="I375" s="536">
        <v>24</v>
      </c>
      <c r="J375" s="536"/>
      <c r="K375" s="229">
        <v>288.8</v>
      </c>
      <c r="L375" s="230">
        <v>24</v>
      </c>
      <c r="M375" s="229">
        <v>0</v>
      </c>
      <c r="N375" s="230">
        <v>0</v>
      </c>
      <c r="O375" s="231">
        <v>594.79999999999995</v>
      </c>
      <c r="P375" s="222" t="s">
        <v>212</v>
      </c>
      <c r="Q375" s="229">
        <v>0</v>
      </c>
      <c r="R375" s="230">
        <v>0</v>
      </c>
      <c r="S375" s="229">
        <v>0</v>
      </c>
      <c r="T375" s="536">
        <v>0</v>
      </c>
      <c r="U375" s="536"/>
      <c r="V375" s="229">
        <v>0</v>
      </c>
      <c r="W375" s="222" t="s">
        <v>212</v>
      </c>
      <c r="X375" s="530">
        <v>594.79999999999995</v>
      </c>
      <c r="Y375" s="530"/>
      <c r="Z375" s="222" t="s">
        <v>212</v>
      </c>
      <c r="AA375" s="232">
        <v>8055300</v>
      </c>
      <c r="AB375" s="233">
        <v>0</v>
      </c>
      <c r="AC375" s="215"/>
    </row>
    <row r="376" spans="1:29" ht="2.25" customHeight="1">
      <c r="A376" s="215"/>
      <c r="B376" s="529" t="s">
        <v>212</v>
      </c>
      <c r="C376" s="529"/>
      <c r="D376" s="219" t="s">
        <v>212</v>
      </c>
      <c r="E376" s="222" t="s">
        <v>212</v>
      </c>
      <c r="F376" s="531" t="s">
        <v>212</v>
      </c>
      <c r="G376" s="531"/>
      <c r="H376" s="222" t="s">
        <v>212</v>
      </c>
      <c r="I376" s="531" t="s">
        <v>212</v>
      </c>
      <c r="J376" s="531"/>
      <c r="K376" s="222" t="s">
        <v>212</v>
      </c>
      <c r="L376" s="222" t="s">
        <v>212</v>
      </c>
      <c r="M376" s="222" t="s">
        <v>212</v>
      </c>
      <c r="N376" s="222" t="s">
        <v>212</v>
      </c>
      <c r="O376" s="222" t="s">
        <v>212</v>
      </c>
      <c r="P376" s="222" t="s">
        <v>212</v>
      </c>
      <c r="Q376" s="222" t="s">
        <v>212</v>
      </c>
      <c r="R376" s="222" t="s">
        <v>212</v>
      </c>
      <c r="S376" s="222" t="s">
        <v>212</v>
      </c>
      <c r="T376" s="531" t="s">
        <v>212</v>
      </c>
      <c r="U376" s="531"/>
      <c r="V376" s="222" t="s">
        <v>212</v>
      </c>
      <c r="W376" s="222" t="s">
        <v>212</v>
      </c>
      <c r="X376" s="531" t="s">
        <v>212</v>
      </c>
      <c r="Y376" s="531"/>
      <c r="Z376" s="222" t="s">
        <v>212</v>
      </c>
      <c r="AA376" s="222" t="s">
        <v>212</v>
      </c>
      <c r="AB376" s="222" t="s">
        <v>212</v>
      </c>
      <c r="AC376" s="215"/>
    </row>
    <row r="377" spans="1:29" ht="13.5" customHeight="1">
      <c r="A377" s="215"/>
      <c r="B377" s="532">
        <v>39263</v>
      </c>
      <c r="C377" s="532"/>
      <c r="D377" s="219" t="s">
        <v>212</v>
      </c>
      <c r="E377" s="224">
        <v>145.80000000000001</v>
      </c>
      <c r="F377" s="533">
        <v>13</v>
      </c>
      <c r="G377" s="533"/>
      <c r="H377" s="224">
        <v>311</v>
      </c>
      <c r="I377" s="533">
        <v>24</v>
      </c>
      <c r="J377" s="533"/>
      <c r="K377" s="224">
        <v>268.5</v>
      </c>
      <c r="L377" s="225">
        <v>24</v>
      </c>
      <c r="M377" s="224">
        <v>0</v>
      </c>
      <c r="N377" s="225">
        <v>0</v>
      </c>
      <c r="O377" s="226">
        <v>725.3</v>
      </c>
      <c r="P377" s="222" t="s">
        <v>212</v>
      </c>
      <c r="Q377" s="224">
        <v>0</v>
      </c>
      <c r="R377" s="225">
        <v>0</v>
      </c>
      <c r="S377" s="224">
        <v>0</v>
      </c>
      <c r="T377" s="533">
        <v>0</v>
      </c>
      <c r="U377" s="533"/>
      <c r="V377" s="224">
        <v>0</v>
      </c>
      <c r="W377" s="222" t="s">
        <v>212</v>
      </c>
      <c r="X377" s="534">
        <v>725.3</v>
      </c>
      <c r="Y377" s="534"/>
      <c r="Z377" s="222" t="s">
        <v>212</v>
      </c>
      <c r="AA377" s="227">
        <v>9775902</v>
      </c>
      <c r="AB377" s="228">
        <v>494</v>
      </c>
      <c r="AC377" s="215"/>
    </row>
    <row r="378" spans="1:29" ht="2.25" customHeight="1">
      <c r="A378" s="215"/>
      <c r="B378" s="529" t="s">
        <v>212</v>
      </c>
      <c r="C378" s="529"/>
      <c r="D378" s="219" t="s">
        <v>212</v>
      </c>
      <c r="E378" s="222" t="s">
        <v>212</v>
      </c>
      <c r="F378" s="531" t="s">
        <v>212</v>
      </c>
      <c r="G378" s="531"/>
      <c r="H378" s="222" t="s">
        <v>212</v>
      </c>
      <c r="I378" s="531" t="s">
        <v>212</v>
      </c>
      <c r="J378" s="531"/>
      <c r="K378" s="222" t="s">
        <v>212</v>
      </c>
      <c r="L378" s="222" t="s">
        <v>212</v>
      </c>
      <c r="M378" s="222" t="s">
        <v>212</v>
      </c>
      <c r="N378" s="222" t="s">
        <v>212</v>
      </c>
      <c r="O378" s="222" t="s">
        <v>212</v>
      </c>
      <c r="P378" s="222" t="s">
        <v>212</v>
      </c>
      <c r="Q378" s="222" t="s">
        <v>212</v>
      </c>
      <c r="R378" s="222" t="s">
        <v>212</v>
      </c>
      <c r="S378" s="222" t="s">
        <v>212</v>
      </c>
      <c r="T378" s="531" t="s">
        <v>212</v>
      </c>
      <c r="U378" s="531"/>
      <c r="V378" s="222" t="s">
        <v>212</v>
      </c>
      <c r="W378" s="222" t="s">
        <v>212</v>
      </c>
      <c r="X378" s="531" t="s">
        <v>212</v>
      </c>
      <c r="Y378" s="531"/>
      <c r="Z378" s="222" t="s">
        <v>212</v>
      </c>
      <c r="AA378" s="222" t="s">
        <v>212</v>
      </c>
      <c r="AB378" s="222" t="s">
        <v>212</v>
      </c>
      <c r="AC378" s="215"/>
    </row>
    <row r="379" spans="1:29" ht="13.5" customHeight="1">
      <c r="A379" s="215"/>
      <c r="B379" s="535">
        <v>39264</v>
      </c>
      <c r="C379" s="535"/>
      <c r="D379" s="219" t="s">
        <v>212</v>
      </c>
      <c r="E379" s="229">
        <v>226.1</v>
      </c>
      <c r="F379" s="536">
        <v>24</v>
      </c>
      <c r="G379" s="536"/>
      <c r="H379" s="229">
        <v>263</v>
      </c>
      <c r="I379" s="536">
        <v>24</v>
      </c>
      <c r="J379" s="536"/>
      <c r="K379" s="229">
        <v>196.4</v>
      </c>
      <c r="L379" s="230">
        <v>22</v>
      </c>
      <c r="M379" s="229">
        <v>0</v>
      </c>
      <c r="N379" s="230">
        <v>0</v>
      </c>
      <c r="O379" s="231">
        <v>685.5</v>
      </c>
      <c r="P379" s="222" t="s">
        <v>212</v>
      </c>
      <c r="Q379" s="229">
        <v>0</v>
      </c>
      <c r="R379" s="230">
        <v>0</v>
      </c>
      <c r="S379" s="229">
        <v>0</v>
      </c>
      <c r="T379" s="536">
        <v>0</v>
      </c>
      <c r="U379" s="536"/>
      <c r="V379" s="229">
        <v>0</v>
      </c>
      <c r="W379" s="222" t="s">
        <v>212</v>
      </c>
      <c r="X379" s="530">
        <v>685.5</v>
      </c>
      <c r="Y379" s="530"/>
      <c r="Z379" s="222" t="s">
        <v>212</v>
      </c>
      <c r="AA379" s="232">
        <v>9632200</v>
      </c>
      <c r="AB379" s="233">
        <v>0</v>
      </c>
      <c r="AC379" s="215"/>
    </row>
    <row r="380" spans="1:29" ht="2.25" customHeight="1">
      <c r="A380" s="215"/>
      <c r="B380" s="529" t="s">
        <v>212</v>
      </c>
      <c r="C380" s="529"/>
      <c r="D380" s="219" t="s">
        <v>212</v>
      </c>
      <c r="E380" s="222" t="s">
        <v>212</v>
      </c>
      <c r="F380" s="531" t="s">
        <v>212</v>
      </c>
      <c r="G380" s="531"/>
      <c r="H380" s="222" t="s">
        <v>212</v>
      </c>
      <c r="I380" s="531" t="s">
        <v>212</v>
      </c>
      <c r="J380" s="531"/>
      <c r="K380" s="222" t="s">
        <v>212</v>
      </c>
      <c r="L380" s="222" t="s">
        <v>212</v>
      </c>
      <c r="M380" s="222" t="s">
        <v>212</v>
      </c>
      <c r="N380" s="222" t="s">
        <v>212</v>
      </c>
      <c r="O380" s="222" t="s">
        <v>212</v>
      </c>
      <c r="P380" s="222" t="s">
        <v>212</v>
      </c>
      <c r="Q380" s="222" t="s">
        <v>212</v>
      </c>
      <c r="R380" s="222" t="s">
        <v>212</v>
      </c>
      <c r="S380" s="222" t="s">
        <v>212</v>
      </c>
      <c r="T380" s="531" t="s">
        <v>212</v>
      </c>
      <c r="U380" s="531"/>
      <c r="V380" s="222" t="s">
        <v>212</v>
      </c>
      <c r="W380" s="222" t="s">
        <v>212</v>
      </c>
      <c r="X380" s="531" t="s">
        <v>212</v>
      </c>
      <c r="Y380" s="531"/>
      <c r="Z380" s="222" t="s">
        <v>212</v>
      </c>
      <c r="AA380" s="222" t="s">
        <v>212</v>
      </c>
      <c r="AB380" s="222" t="s">
        <v>212</v>
      </c>
      <c r="AC380" s="215"/>
    </row>
    <row r="381" spans="1:29" ht="13.5" customHeight="1">
      <c r="A381" s="215"/>
      <c r="B381" s="532">
        <v>39265</v>
      </c>
      <c r="C381" s="532"/>
      <c r="D381" s="219" t="s">
        <v>212</v>
      </c>
      <c r="E381" s="224">
        <v>144.9</v>
      </c>
      <c r="F381" s="533">
        <v>12</v>
      </c>
      <c r="G381" s="533"/>
      <c r="H381" s="224">
        <v>346</v>
      </c>
      <c r="I381" s="533">
        <v>24</v>
      </c>
      <c r="J381" s="533"/>
      <c r="K381" s="224">
        <v>135.80000000000001</v>
      </c>
      <c r="L381" s="225">
        <v>12</v>
      </c>
      <c r="M381" s="224">
        <v>0</v>
      </c>
      <c r="N381" s="225">
        <v>0</v>
      </c>
      <c r="O381" s="226">
        <v>626.70000000000005</v>
      </c>
      <c r="P381" s="222" t="s">
        <v>212</v>
      </c>
      <c r="Q381" s="224">
        <v>0</v>
      </c>
      <c r="R381" s="225">
        <v>0</v>
      </c>
      <c r="S381" s="224">
        <v>10</v>
      </c>
      <c r="T381" s="533">
        <v>3</v>
      </c>
      <c r="U381" s="533"/>
      <c r="V381" s="224">
        <v>10</v>
      </c>
      <c r="W381" s="222" t="s">
        <v>212</v>
      </c>
      <c r="X381" s="534">
        <v>636.70000000000005</v>
      </c>
      <c r="Y381" s="534"/>
      <c r="Z381" s="222" t="s">
        <v>212</v>
      </c>
      <c r="AA381" s="227">
        <v>8547800</v>
      </c>
      <c r="AB381" s="228">
        <v>0</v>
      </c>
      <c r="AC381" s="215"/>
    </row>
    <row r="382" spans="1:29" ht="2.25" customHeight="1">
      <c r="A382" s="215"/>
      <c r="B382" s="529" t="s">
        <v>212</v>
      </c>
      <c r="C382" s="529"/>
      <c r="D382" s="219" t="s">
        <v>212</v>
      </c>
      <c r="E382" s="222" t="s">
        <v>212</v>
      </c>
      <c r="F382" s="531" t="s">
        <v>212</v>
      </c>
      <c r="G382" s="531"/>
      <c r="H382" s="222" t="s">
        <v>212</v>
      </c>
      <c r="I382" s="531" t="s">
        <v>212</v>
      </c>
      <c r="J382" s="531"/>
      <c r="K382" s="222" t="s">
        <v>212</v>
      </c>
      <c r="L382" s="222" t="s">
        <v>212</v>
      </c>
      <c r="M382" s="222" t="s">
        <v>212</v>
      </c>
      <c r="N382" s="222" t="s">
        <v>212</v>
      </c>
      <c r="O382" s="222" t="s">
        <v>212</v>
      </c>
      <c r="P382" s="222" t="s">
        <v>212</v>
      </c>
      <c r="Q382" s="222" t="s">
        <v>212</v>
      </c>
      <c r="R382" s="222" t="s">
        <v>212</v>
      </c>
      <c r="S382" s="222" t="s">
        <v>212</v>
      </c>
      <c r="T382" s="531" t="s">
        <v>212</v>
      </c>
      <c r="U382" s="531"/>
      <c r="V382" s="222" t="s">
        <v>212</v>
      </c>
      <c r="W382" s="222" t="s">
        <v>212</v>
      </c>
      <c r="X382" s="531" t="s">
        <v>212</v>
      </c>
      <c r="Y382" s="531"/>
      <c r="Z382" s="222" t="s">
        <v>212</v>
      </c>
      <c r="AA382" s="222" t="s">
        <v>212</v>
      </c>
      <c r="AB382" s="222" t="s">
        <v>212</v>
      </c>
      <c r="AC382" s="215"/>
    </row>
    <row r="383" spans="1:29" ht="13.5" customHeight="1">
      <c r="A383" s="215"/>
      <c r="B383" s="535">
        <v>39266</v>
      </c>
      <c r="C383" s="535"/>
      <c r="D383" s="219" t="s">
        <v>212</v>
      </c>
      <c r="E383" s="229">
        <v>0</v>
      </c>
      <c r="F383" s="536">
        <v>0</v>
      </c>
      <c r="G383" s="536"/>
      <c r="H383" s="229">
        <v>361.5</v>
      </c>
      <c r="I383" s="536">
        <v>24</v>
      </c>
      <c r="J383" s="536"/>
      <c r="K383" s="229">
        <v>325.8</v>
      </c>
      <c r="L383" s="230">
        <v>24</v>
      </c>
      <c r="M383" s="229">
        <v>0</v>
      </c>
      <c r="N383" s="230">
        <v>0</v>
      </c>
      <c r="O383" s="231">
        <v>687.3</v>
      </c>
      <c r="P383" s="222" t="s">
        <v>212</v>
      </c>
      <c r="Q383" s="229">
        <v>0</v>
      </c>
      <c r="R383" s="230">
        <v>0</v>
      </c>
      <c r="S383" s="229">
        <v>28</v>
      </c>
      <c r="T383" s="536">
        <v>6</v>
      </c>
      <c r="U383" s="536"/>
      <c r="V383" s="229">
        <v>28</v>
      </c>
      <c r="W383" s="222" t="s">
        <v>212</v>
      </c>
      <c r="X383" s="530">
        <v>715.3</v>
      </c>
      <c r="Y383" s="530"/>
      <c r="Z383" s="222" t="s">
        <v>212</v>
      </c>
      <c r="AA383" s="232">
        <v>8805400</v>
      </c>
      <c r="AB383" s="233">
        <v>0</v>
      </c>
      <c r="AC383" s="215"/>
    </row>
    <row r="384" spans="1:29" ht="2.25" customHeight="1">
      <c r="A384" s="215"/>
      <c r="B384" s="529" t="s">
        <v>212</v>
      </c>
      <c r="C384" s="529"/>
      <c r="D384" s="219" t="s">
        <v>212</v>
      </c>
      <c r="E384" s="222" t="s">
        <v>212</v>
      </c>
      <c r="F384" s="531" t="s">
        <v>212</v>
      </c>
      <c r="G384" s="531"/>
      <c r="H384" s="222" t="s">
        <v>212</v>
      </c>
      <c r="I384" s="531" t="s">
        <v>212</v>
      </c>
      <c r="J384" s="531"/>
      <c r="K384" s="222" t="s">
        <v>212</v>
      </c>
      <c r="L384" s="222" t="s">
        <v>212</v>
      </c>
      <c r="M384" s="222" t="s">
        <v>212</v>
      </c>
      <c r="N384" s="222" t="s">
        <v>212</v>
      </c>
      <c r="O384" s="222" t="s">
        <v>212</v>
      </c>
      <c r="P384" s="222" t="s">
        <v>212</v>
      </c>
      <c r="Q384" s="222" t="s">
        <v>212</v>
      </c>
      <c r="R384" s="222" t="s">
        <v>212</v>
      </c>
      <c r="S384" s="222" t="s">
        <v>212</v>
      </c>
      <c r="T384" s="531" t="s">
        <v>212</v>
      </c>
      <c r="U384" s="531"/>
      <c r="V384" s="222" t="s">
        <v>212</v>
      </c>
      <c r="W384" s="222" t="s">
        <v>212</v>
      </c>
      <c r="X384" s="531" t="s">
        <v>212</v>
      </c>
      <c r="Y384" s="531"/>
      <c r="Z384" s="222" t="s">
        <v>212</v>
      </c>
      <c r="AA384" s="222" t="s">
        <v>212</v>
      </c>
      <c r="AB384" s="222" t="s">
        <v>212</v>
      </c>
      <c r="AC384" s="215"/>
    </row>
    <row r="385" spans="1:29" ht="13.5" customHeight="1">
      <c r="A385" s="215"/>
      <c r="B385" s="532">
        <v>39267</v>
      </c>
      <c r="C385" s="532"/>
      <c r="D385" s="219" t="s">
        <v>212</v>
      </c>
      <c r="E385" s="224">
        <v>146.19999999999999</v>
      </c>
      <c r="F385" s="533">
        <v>12</v>
      </c>
      <c r="G385" s="533"/>
      <c r="H385" s="224">
        <v>321.3</v>
      </c>
      <c r="I385" s="533">
        <v>24</v>
      </c>
      <c r="J385" s="533"/>
      <c r="K385" s="224">
        <v>313.3</v>
      </c>
      <c r="L385" s="225">
        <v>24</v>
      </c>
      <c r="M385" s="224">
        <v>0</v>
      </c>
      <c r="N385" s="225">
        <v>0</v>
      </c>
      <c r="O385" s="226">
        <v>780.8</v>
      </c>
      <c r="P385" s="222" t="s">
        <v>212</v>
      </c>
      <c r="Q385" s="224">
        <v>0</v>
      </c>
      <c r="R385" s="225">
        <v>0</v>
      </c>
      <c r="S385" s="224">
        <v>6</v>
      </c>
      <c r="T385" s="533">
        <v>2</v>
      </c>
      <c r="U385" s="533"/>
      <c r="V385" s="224">
        <v>6</v>
      </c>
      <c r="W385" s="222" t="s">
        <v>212</v>
      </c>
      <c r="X385" s="534">
        <v>786.8</v>
      </c>
      <c r="Y385" s="534"/>
      <c r="Z385" s="222" t="s">
        <v>212</v>
      </c>
      <c r="AA385" s="227">
        <v>10564700</v>
      </c>
      <c r="AB385" s="228">
        <v>0</v>
      </c>
      <c r="AC385" s="215"/>
    </row>
    <row r="386" spans="1:29" ht="2.25" customHeight="1">
      <c r="A386" s="215"/>
      <c r="B386" s="529" t="s">
        <v>212</v>
      </c>
      <c r="C386" s="529"/>
      <c r="D386" s="219" t="s">
        <v>212</v>
      </c>
      <c r="E386" s="222" t="s">
        <v>212</v>
      </c>
      <c r="F386" s="531" t="s">
        <v>212</v>
      </c>
      <c r="G386" s="531"/>
      <c r="H386" s="222" t="s">
        <v>212</v>
      </c>
      <c r="I386" s="531" t="s">
        <v>212</v>
      </c>
      <c r="J386" s="531"/>
      <c r="K386" s="222" t="s">
        <v>212</v>
      </c>
      <c r="L386" s="222" t="s">
        <v>212</v>
      </c>
      <c r="M386" s="222" t="s">
        <v>212</v>
      </c>
      <c r="N386" s="222" t="s">
        <v>212</v>
      </c>
      <c r="O386" s="222" t="s">
        <v>212</v>
      </c>
      <c r="P386" s="222" t="s">
        <v>212</v>
      </c>
      <c r="Q386" s="222" t="s">
        <v>212</v>
      </c>
      <c r="R386" s="222" t="s">
        <v>212</v>
      </c>
      <c r="S386" s="222" t="s">
        <v>212</v>
      </c>
      <c r="T386" s="531" t="s">
        <v>212</v>
      </c>
      <c r="U386" s="531"/>
      <c r="V386" s="222" t="s">
        <v>212</v>
      </c>
      <c r="W386" s="222" t="s">
        <v>212</v>
      </c>
      <c r="X386" s="531" t="s">
        <v>212</v>
      </c>
      <c r="Y386" s="531"/>
      <c r="Z386" s="222" t="s">
        <v>212</v>
      </c>
      <c r="AA386" s="222" t="s">
        <v>212</v>
      </c>
      <c r="AB386" s="222" t="s">
        <v>212</v>
      </c>
      <c r="AC386" s="215"/>
    </row>
    <row r="387" spans="1:29" ht="13.5" customHeight="1">
      <c r="A387" s="215"/>
      <c r="B387" s="535">
        <v>39268</v>
      </c>
      <c r="C387" s="535"/>
      <c r="D387" s="219" t="s">
        <v>212</v>
      </c>
      <c r="E387" s="229">
        <v>285.3</v>
      </c>
      <c r="F387" s="536">
        <v>24</v>
      </c>
      <c r="G387" s="536"/>
      <c r="H387" s="229">
        <v>289.5</v>
      </c>
      <c r="I387" s="536">
        <v>24</v>
      </c>
      <c r="J387" s="536"/>
      <c r="K387" s="229">
        <v>92.6</v>
      </c>
      <c r="L387" s="230">
        <v>8</v>
      </c>
      <c r="M387" s="229">
        <v>0</v>
      </c>
      <c r="N387" s="230">
        <v>0</v>
      </c>
      <c r="O387" s="231">
        <v>667.4</v>
      </c>
      <c r="P387" s="222" t="s">
        <v>212</v>
      </c>
      <c r="Q387" s="229">
        <v>0</v>
      </c>
      <c r="R387" s="230">
        <v>0</v>
      </c>
      <c r="S387" s="229">
        <v>106</v>
      </c>
      <c r="T387" s="536">
        <v>14</v>
      </c>
      <c r="U387" s="536"/>
      <c r="V387" s="229">
        <v>106</v>
      </c>
      <c r="W387" s="222" t="s">
        <v>212</v>
      </c>
      <c r="X387" s="530">
        <v>773.4</v>
      </c>
      <c r="Y387" s="530"/>
      <c r="Z387" s="222" t="s">
        <v>212</v>
      </c>
      <c r="AA387" s="232">
        <v>9356200</v>
      </c>
      <c r="AB387" s="233">
        <v>0</v>
      </c>
      <c r="AC387" s="215"/>
    </row>
    <row r="388" spans="1:29" ht="2.25" customHeight="1">
      <c r="A388" s="215"/>
      <c r="B388" s="529" t="s">
        <v>212</v>
      </c>
      <c r="C388" s="529"/>
      <c r="D388" s="219" t="s">
        <v>212</v>
      </c>
      <c r="E388" s="222" t="s">
        <v>212</v>
      </c>
      <c r="F388" s="531" t="s">
        <v>212</v>
      </c>
      <c r="G388" s="531"/>
      <c r="H388" s="222" t="s">
        <v>212</v>
      </c>
      <c r="I388" s="531" t="s">
        <v>212</v>
      </c>
      <c r="J388" s="531"/>
      <c r="K388" s="222" t="s">
        <v>212</v>
      </c>
      <c r="L388" s="222" t="s">
        <v>212</v>
      </c>
      <c r="M388" s="222" t="s">
        <v>212</v>
      </c>
      <c r="N388" s="222" t="s">
        <v>212</v>
      </c>
      <c r="O388" s="222" t="s">
        <v>212</v>
      </c>
      <c r="P388" s="222" t="s">
        <v>212</v>
      </c>
      <c r="Q388" s="222" t="s">
        <v>212</v>
      </c>
      <c r="R388" s="222" t="s">
        <v>212</v>
      </c>
      <c r="S388" s="222" t="s">
        <v>212</v>
      </c>
      <c r="T388" s="531" t="s">
        <v>212</v>
      </c>
      <c r="U388" s="531"/>
      <c r="V388" s="222" t="s">
        <v>212</v>
      </c>
      <c r="W388" s="222" t="s">
        <v>212</v>
      </c>
      <c r="X388" s="531" t="s">
        <v>212</v>
      </c>
      <c r="Y388" s="531"/>
      <c r="Z388" s="222" t="s">
        <v>212</v>
      </c>
      <c r="AA388" s="222" t="s">
        <v>212</v>
      </c>
      <c r="AB388" s="222" t="s">
        <v>212</v>
      </c>
      <c r="AC388" s="215"/>
    </row>
    <row r="389" spans="1:29" ht="13.5" customHeight="1">
      <c r="A389" s="215"/>
      <c r="B389" s="532">
        <v>39269</v>
      </c>
      <c r="C389" s="532"/>
      <c r="D389" s="219" t="s">
        <v>212</v>
      </c>
      <c r="E389" s="224">
        <v>282.5</v>
      </c>
      <c r="F389" s="533">
        <v>24</v>
      </c>
      <c r="G389" s="533"/>
      <c r="H389" s="224">
        <v>299.7</v>
      </c>
      <c r="I389" s="533">
        <v>24</v>
      </c>
      <c r="J389" s="533"/>
      <c r="K389" s="224">
        <v>0</v>
      </c>
      <c r="L389" s="225">
        <v>0</v>
      </c>
      <c r="M389" s="224">
        <v>0</v>
      </c>
      <c r="N389" s="225">
        <v>0</v>
      </c>
      <c r="O389" s="226">
        <v>582.20000000000005</v>
      </c>
      <c r="P389" s="222" t="s">
        <v>212</v>
      </c>
      <c r="Q389" s="224">
        <v>0</v>
      </c>
      <c r="R389" s="225">
        <v>0</v>
      </c>
      <c r="S389" s="224">
        <v>82</v>
      </c>
      <c r="T389" s="533">
        <v>18</v>
      </c>
      <c r="U389" s="533"/>
      <c r="V389" s="224">
        <v>82</v>
      </c>
      <c r="W389" s="222" t="s">
        <v>212</v>
      </c>
      <c r="X389" s="534">
        <v>664.2</v>
      </c>
      <c r="Y389" s="534"/>
      <c r="Z389" s="222" t="s">
        <v>212</v>
      </c>
      <c r="AA389" s="227">
        <v>8344100</v>
      </c>
      <c r="AB389" s="228">
        <v>0</v>
      </c>
      <c r="AC389" s="215"/>
    </row>
    <row r="390" spans="1:29" ht="2.25" customHeight="1">
      <c r="A390" s="215"/>
      <c r="B390" s="529" t="s">
        <v>212</v>
      </c>
      <c r="C390" s="529"/>
      <c r="D390" s="219" t="s">
        <v>212</v>
      </c>
      <c r="E390" s="222" t="s">
        <v>212</v>
      </c>
      <c r="F390" s="531" t="s">
        <v>212</v>
      </c>
      <c r="G390" s="531"/>
      <c r="H390" s="222" t="s">
        <v>212</v>
      </c>
      <c r="I390" s="531" t="s">
        <v>212</v>
      </c>
      <c r="J390" s="531"/>
      <c r="K390" s="222" t="s">
        <v>212</v>
      </c>
      <c r="L390" s="222" t="s">
        <v>212</v>
      </c>
      <c r="M390" s="222" t="s">
        <v>212</v>
      </c>
      <c r="N390" s="222" t="s">
        <v>212</v>
      </c>
      <c r="O390" s="222" t="s">
        <v>212</v>
      </c>
      <c r="P390" s="222" t="s">
        <v>212</v>
      </c>
      <c r="Q390" s="222" t="s">
        <v>212</v>
      </c>
      <c r="R390" s="222" t="s">
        <v>212</v>
      </c>
      <c r="S390" s="222" t="s">
        <v>212</v>
      </c>
      <c r="T390" s="531" t="s">
        <v>212</v>
      </c>
      <c r="U390" s="531"/>
      <c r="V390" s="222" t="s">
        <v>212</v>
      </c>
      <c r="W390" s="222" t="s">
        <v>212</v>
      </c>
      <c r="X390" s="531" t="s">
        <v>212</v>
      </c>
      <c r="Y390" s="531"/>
      <c r="Z390" s="222" t="s">
        <v>212</v>
      </c>
      <c r="AA390" s="222" t="s">
        <v>212</v>
      </c>
      <c r="AB390" s="222" t="s">
        <v>212</v>
      </c>
      <c r="AC390" s="215"/>
    </row>
    <row r="391" spans="1:29" ht="13.5" customHeight="1">
      <c r="A391" s="215"/>
      <c r="B391" s="535">
        <v>39270</v>
      </c>
      <c r="C391" s="535"/>
      <c r="D391" s="219" t="s">
        <v>212</v>
      </c>
      <c r="E391" s="229">
        <v>283.10000000000002</v>
      </c>
      <c r="F391" s="536">
        <v>24</v>
      </c>
      <c r="G391" s="536"/>
      <c r="H391" s="229">
        <v>301.8</v>
      </c>
      <c r="I391" s="536">
        <v>24</v>
      </c>
      <c r="J391" s="536"/>
      <c r="K391" s="229">
        <v>0</v>
      </c>
      <c r="L391" s="230">
        <v>2</v>
      </c>
      <c r="M391" s="229">
        <v>0</v>
      </c>
      <c r="N391" s="230">
        <v>0</v>
      </c>
      <c r="O391" s="231">
        <v>584.9</v>
      </c>
      <c r="P391" s="222" t="s">
        <v>212</v>
      </c>
      <c r="Q391" s="229">
        <v>0</v>
      </c>
      <c r="R391" s="230">
        <v>0</v>
      </c>
      <c r="S391" s="229">
        <v>0</v>
      </c>
      <c r="T391" s="536">
        <v>0</v>
      </c>
      <c r="U391" s="536"/>
      <c r="V391" s="229">
        <v>0</v>
      </c>
      <c r="W391" s="222" t="s">
        <v>212</v>
      </c>
      <c r="X391" s="530">
        <v>584.9</v>
      </c>
      <c r="Y391" s="530"/>
      <c r="Z391" s="222" t="s">
        <v>212</v>
      </c>
      <c r="AA391" s="232">
        <v>8152000</v>
      </c>
      <c r="AB391" s="233">
        <v>416</v>
      </c>
      <c r="AC391" s="215"/>
    </row>
    <row r="392" spans="1:29" ht="2.25" customHeight="1">
      <c r="A392" s="215"/>
      <c r="B392" s="529" t="s">
        <v>212</v>
      </c>
      <c r="C392" s="529"/>
      <c r="D392" s="219" t="s">
        <v>212</v>
      </c>
      <c r="E392" s="222" t="s">
        <v>212</v>
      </c>
      <c r="F392" s="531" t="s">
        <v>212</v>
      </c>
      <c r="G392" s="531"/>
      <c r="H392" s="222" t="s">
        <v>212</v>
      </c>
      <c r="I392" s="531" t="s">
        <v>212</v>
      </c>
      <c r="J392" s="531"/>
      <c r="K392" s="222" t="s">
        <v>212</v>
      </c>
      <c r="L392" s="222" t="s">
        <v>212</v>
      </c>
      <c r="M392" s="222" t="s">
        <v>212</v>
      </c>
      <c r="N392" s="222" t="s">
        <v>212</v>
      </c>
      <c r="O392" s="222" t="s">
        <v>212</v>
      </c>
      <c r="P392" s="222" t="s">
        <v>212</v>
      </c>
      <c r="Q392" s="222" t="s">
        <v>212</v>
      </c>
      <c r="R392" s="222" t="s">
        <v>212</v>
      </c>
      <c r="S392" s="222" t="s">
        <v>212</v>
      </c>
      <c r="T392" s="531" t="s">
        <v>212</v>
      </c>
      <c r="U392" s="531"/>
      <c r="V392" s="222" t="s">
        <v>212</v>
      </c>
      <c r="W392" s="222" t="s">
        <v>212</v>
      </c>
      <c r="X392" s="531" t="s">
        <v>212</v>
      </c>
      <c r="Y392" s="531"/>
      <c r="Z392" s="222" t="s">
        <v>212</v>
      </c>
      <c r="AA392" s="222" t="s">
        <v>212</v>
      </c>
      <c r="AB392" s="222" t="s">
        <v>212</v>
      </c>
      <c r="AC392" s="215"/>
    </row>
    <row r="393" spans="1:29" ht="13.5" customHeight="1">
      <c r="A393" s="215"/>
      <c r="B393" s="532">
        <v>39271</v>
      </c>
      <c r="C393" s="532"/>
      <c r="D393" s="219" t="s">
        <v>212</v>
      </c>
      <c r="E393" s="224">
        <v>267.39999999999998</v>
      </c>
      <c r="F393" s="533">
        <v>24</v>
      </c>
      <c r="G393" s="533"/>
      <c r="H393" s="224">
        <v>281.60000000000002</v>
      </c>
      <c r="I393" s="533">
        <v>24</v>
      </c>
      <c r="J393" s="533"/>
      <c r="K393" s="224">
        <v>0</v>
      </c>
      <c r="L393" s="225">
        <v>0</v>
      </c>
      <c r="M393" s="224">
        <v>0</v>
      </c>
      <c r="N393" s="225">
        <v>0</v>
      </c>
      <c r="O393" s="226">
        <v>549</v>
      </c>
      <c r="P393" s="222" t="s">
        <v>212</v>
      </c>
      <c r="Q393" s="224">
        <v>0</v>
      </c>
      <c r="R393" s="225">
        <v>0</v>
      </c>
      <c r="S393" s="224">
        <v>0</v>
      </c>
      <c r="T393" s="533">
        <v>0</v>
      </c>
      <c r="U393" s="533"/>
      <c r="V393" s="224">
        <v>0</v>
      </c>
      <c r="W393" s="222" t="s">
        <v>212</v>
      </c>
      <c r="X393" s="534">
        <v>549</v>
      </c>
      <c r="Y393" s="534"/>
      <c r="Z393" s="222" t="s">
        <v>212</v>
      </c>
      <c r="AA393" s="227">
        <v>7729100</v>
      </c>
      <c r="AB393" s="228">
        <v>0</v>
      </c>
      <c r="AC393" s="215"/>
    </row>
    <row r="394" spans="1:29" ht="2.25" customHeight="1">
      <c r="A394" s="215"/>
      <c r="B394" s="529" t="s">
        <v>212</v>
      </c>
      <c r="C394" s="529"/>
      <c r="D394" s="219" t="s">
        <v>212</v>
      </c>
      <c r="E394" s="222" t="s">
        <v>212</v>
      </c>
      <c r="F394" s="531" t="s">
        <v>212</v>
      </c>
      <c r="G394" s="531"/>
      <c r="H394" s="222" t="s">
        <v>212</v>
      </c>
      <c r="I394" s="531" t="s">
        <v>212</v>
      </c>
      <c r="J394" s="531"/>
      <c r="K394" s="222" t="s">
        <v>212</v>
      </c>
      <c r="L394" s="222" t="s">
        <v>212</v>
      </c>
      <c r="M394" s="222" t="s">
        <v>212</v>
      </c>
      <c r="N394" s="222" t="s">
        <v>212</v>
      </c>
      <c r="O394" s="222" t="s">
        <v>212</v>
      </c>
      <c r="P394" s="222" t="s">
        <v>212</v>
      </c>
      <c r="Q394" s="222" t="s">
        <v>212</v>
      </c>
      <c r="R394" s="222" t="s">
        <v>212</v>
      </c>
      <c r="S394" s="222" t="s">
        <v>212</v>
      </c>
      <c r="T394" s="531" t="s">
        <v>212</v>
      </c>
      <c r="U394" s="531"/>
      <c r="V394" s="222" t="s">
        <v>212</v>
      </c>
      <c r="W394" s="222" t="s">
        <v>212</v>
      </c>
      <c r="X394" s="531" t="s">
        <v>212</v>
      </c>
      <c r="Y394" s="531"/>
      <c r="Z394" s="222" t="s">
        <v>212</v>
      </c>
      <c r="AA394" s="222" t="s">
        <v>212</v>
      </c>
      <c r="AB394" s="222" t="s">
        <v>212</v>
      </c>
      <c r="AC394" s="215"/>
    </row>
    <row r="395" spans="1:29" ht="13.5" customHeight="1">
      <c r="A395" s="215"/>
      <c r="B395" s="535">
        <v>39272</v>
      </c>
      <c r="C395" s="535"/>
      <c r="D395" s="219" t="s">
        <v>212</v>
      </c>
      <c r="E395" s="229">
        <v>286.39999999999998</v>
      </c>
      <c r="F395" s="536">
        <v>24</v>
      </c>
      <c r="G395" s="536"/>
      <c r="H395" s="229">
        <v>309.60000000000002</v>
      </c>
      <c r="I395" s="536">
        <v>24</v>
      </c>
      <c r="J395" s="536"/>
      <c r="K395" s="229">
        <v>0</v>
      </c>
      <c r="L395" s="230">
        <v>0</v>
      </c>
      <c r="M395" s="229">
        <v>0</v>
      </c>
      <c r="N395" s="230">
        <v>0</v>
      </c>
      <c r="O395" s="231">
        <v>596</v>
      </c>
      <c r="P395" s="222" t="s">
        <v>212</v>
      </c>
      <c r="Q395" s="229">
        <v>0</v>
      </c>
      <c r="R395" s="230">
        <v>0</v>
      </c>
      <c r="S395" s="229">
        <v>0</v>
      </c>
      <c r="T395" s="536">
        <v>0</v>
      </c>
      <c r="U395" s="536"/>
      <c r="V395" s="229">
        <v>0</v>
      </c>
      <c r="W395" s="222" t="s">
        <v>212</v>
      </c>
      <c r="X395" s="530">
        <v>596</v>
      </c>
      <c r="Y395" s="530"/>
      <c r="Z395" s="222" t="s">
        <v>212</v>
      </c>
      <c r="AA395" s="232">
        <v>8087000</v>
      </c>
      <c r="AB395" s="233">
        <v>0</v>
      </c>
      <c r="AC395" s="215"/>
    </row>
    <row r="396" spans="1:29" ht="2.25" customHeight="1">
      <c r="A396" s="215"/>
      <c r="B396" s="529" t="s">
        <v>212</v>
      </c>
      <c r="C396" s="529"/>
      <c r="D396" s="219" t="s">
        <v>212</v>
      </c>
      <c r="E396" s="222" t="s">
        <v>212</v>
      </c>
      <c r="F396" s="531" t="s">
        <v>212</v>
      </c>
      <c r="G396" s="531"/>
      <c r="H396" s="222" t="s">
        <v>212</v>
      </c>
      <c r="I396" s="531" t="s">
        <v>212</v>
      </c>
      <c r="J396" s="531"/>
      <c r="K396" s="222" t="s">
        <v>212</v>
      </c>
      <c r="L396" s="222" t="s">
        <v>212</v>
      </c>
      <c r="M396" s="222" t="s">
        <v>212</v>
      </c>
      <c r="N396" s="222" t="s">
        <v>212</v>
      </c>
      <c r="O396" s="222" t="s">
        <v>212</v>
      </c>
      <c r="P396" s="222" t="s">
        <v>212</v>
      </c>
      <c r="Q396" s="222" t="s">
        <v>212</v>
      </c>
      <c r="R396" s="222" t="s">
        <v>212</v>
      </c>
      <c r="S396" s="222" t="s">
        <v>212</v>
      </c>
      <c r="T396" s="531" t="s">
        <v>212</v>
      </c>
      <c r="U396" s="531"/>
      <c r="V396" s="222" t="s">
        <v>212</v>
      </c>
      <c r="W396" s="222" t="s">
        <v>212</v>
      </c>
      <c r="X396" s="531" t="s">
        <v>212</v>
      </c>
      <c r="Y396" s="531"/>
      <c r="Z396" s="222" t="s">
        <v>212</v>
      </c>
      <c r="AA396" s="222" t="s">
        <v>212</v>
      </c>
      <c r="AB396" s="222" t="s">
        <v>212</v>
      </c>
      <c r="AC396" s="215"/>
    </row>
    <row r="397" spans="1:29" ht="13.5" customHeight="1">
      <c r="A397" s="215"/>
      <c r="B397" s="532">
        <v>39273</v>
      </c>
      <c r="C397" s="532"/>
      <c r="D397" s="219" t="s">
        <v>212</v>
      </c>
      <c r="E397" s="224">
        <v>319.10000000000002</v>
      </c>
      <c r="F397" s="533">
        <v>24</v>
      </c>
      <c r="G397" s="533"/>
      <c r="H397" s="224">
        <v>340.5</v>
      </c>
      <c r="I397" s="533">
        <v>24</v>
      </c>
      <c r="J397" s="533"/>
      <c r="K397" s="224">
        <v>0</v>
      </c>
      <c r="L397" s="225">
        <v>0</v>
      </c>
      <c r="M397" s="224">
        <v>0</v>
      </c>
      <c r="N397" s="225">
        <v>0</v>
      </c>
      <c r="O397" s="226">
        <v>659.6</v>
      </c>
      <c r="P397" s="222" t="s">
        <v>212</v>
      </c>
      <c r="Q397" s="224">
        <v>0</v>
      </c>
      <c r="R397" s="225">
        <v>0</v>
      </c>
      <c r="S397" s="224">
        <v>24</v>
      </c>
      <c r="T397" s="533">
        <v>10</v>
      </c>
      <c r="U397" s="533"/>
      <c r="V397" s="224">
        <v>24</v>
      </c>
      <c r="W397" s="222" t="s">
        <v>212</v>
      </c>
      <c r="X397" s="534">
        <v>683.6</v>
      </c>
      <c r="Y397" s="534"/>
      <c r="Z397" s="222" t="s">
        <v>212</v>
      </c>
      <c r="AA397" s="227">
        <v>8654700</v>
      </c>
      <c r="AB397" s="228">
        <v>0</v>
      </c>
      <c r="AC397" s="215"/>
    </row>
    <row r="398" spans="1:29" ht="2.25" customHeight="1">
      <c r="A398" s="215"/>
      <c r="B398" s="529" t="s">
        <v>212</v>
      </c>
      <c r="C398" s="529"/>
      <c r="D398" s="219" t="s">
        <v>212</v>
      </c>
      <c r="E398" s="222" t="s">
        <v>212</v>
      </c>
      <c r="F398" s="531" t="s">
        <v>212</v>
      </c>
      <c r="G398" s="531"/>
      <c r="H398" s="222" t="s">
        <v>212</v>
      </c>
      <c r="I398" s="531" t="s">
        <v>212</v>
      </c>
      <c r="J398" s="531"/>
      <c r="K398" s="222" t="s">
        <v>212</v>
      </c>
      <c r="L398" s="222" t="s">
        <v>212</v>
      </c>
      <c r="M398" s="222" t="s">
        <v>212</v>
      </c>
      <c r="N398" s="222" t="s">
        <v>212</v>
      </c>
      <c r="O398" s="222" t="s">
        <v>212</v>
      </c>
      <c r="P398" s="222" t="s">
        <v>212</v>
      </c>
      <c r="Q398" s="222" t="s">
        <v>212</v>
      </c>
      <c r="R398" s="222" t="s">
        <v>212</v>
      </c>
      <c r="S398" s="222" t="s">
        <v>212</v>
      </c>
      <c r="T398" s="531" t="s">
        <v>212</v>
      </c>
      <c r="U398" s="531"/>
      <c r="V398" s="222" t="s">
        <v>212</v>
      </c>
      <c r="W398" s="222" t="s">
        <v>212</v>
      </c>
      <c r="X398" s="531" t="s">
        <v>212</v>
      </c>
      <c r="Y398" s="531"/>
      <c r="Z398" s="222" t="s">
        <v>212</v>
      </c>
      <c r="AA398" s="222" t="s">
        <v>212</v>
      </c>
      <c r="AB398" s="222" t="s">
        <v>212</v>
      </c>
      <c r="AC398" s="215"/>
    </row>
    <row r="399" spans="1:29" ht="13.5" customHeight="1">
      <c r="A399" s="215"/>
      <c r="B399" s="535">
        <v>39274</v>
      </c>
      <c r="C399" s="535"/>
      <c r="D399" s="219" t="s">
        <v>212</v>
      </c>
      <c r="E399" s="229">
        <v>322.60000000000002</v>
      </c>
      <c r="F399" s="536">
        <v>24</v>
      </c>
      <c r="G399" s="536"/>
      <c r="H399" s="229">
        <v>337.9</v>
      </c>
      <c r="I399" s="536">
        <v>24</v>
      </c>
      <c r="J399" s="536"/>
      <c r="K399" s="229">
        <v>0</v>
      </c>
      <c r="L399" s="230">
        <v>0</v>
      </c>
      <c r="M399" s="229">
        <v>0</v>
      </c>
      <c r="N399" s="230">
        <v>0</v>
      </c>
      <c r="O399" s="231">
        <v>660.5</v>
      </c>
      <c r="P399" s="222" t="s">
        <v>212</v>
      </c>
      <c r="Q399" s="229">
        <v>0</v>
      </c>
      <c r="R399" s="230">
        <v>0</v>
      </c>
      <c r="S399" s="229">
        <v>0</v>
      </c>
      <c r="T399" s="536">
        <v>0</v>
      </c>
      <c r="U399" s="536"/>
      <c r="V399" s="229">
        <v>0</v>
      </c>
      <c r="W399" s="222" t="s">
        <v>212</v>
      </c>
      <c r="X399" s="530">
        <v>660.5</v>
      </c>
      <c r="Y399" s="530"/>
      <c r="Z399" s="222" t="s">
        <v>212</v>
      </c>
      <c r="AA399" s="232">
        <v>8620300</v>
      </c>
      <c r="AB399" s="233">
        <v>0</v>
      </c>
      <c r="AC399" s="215"/>
    </row>
    <row r="400" spans="1:29" ht="2.25" customHeight="1">
      <c r="A400" s="215"/>
      <c r="B400" s="529" t="s">
        <v>212</v>
      </c>
      <c r="C400" s="529"/>
      <c r="D400" s="219" t="s">
        <v>212</v>
      </c>
      <c r="E400" s="222" t="s">
        <v>212</v>
      </c>
      <c r="F400" s="531" t="s">
        <v>212</v>
      </c>
      <c r="G400" s="531"/>
      <c r="H400" s="222" t="s">
        <v>212</v>
      </c>
      <c r="I400" s="531" t="s">
        <v>212</v>
      </c>
      <c r="J400" s="531"/>
      <c r="K400" s="222" t="s">
        <v>212</v>
      </c>
      <c r="L400" s="222" t="s">
        <v>212</v>
      </c>
      <c r="M400" s="222" t="s">
        <v>212</v>
      </c>
      <c r="N400" s="222" t="s">
        <v>212</v>
      </c>
      <c r="O400" s="222" t="s">
        <v>212</v>
      </c>
      <c r="P400" s="222" t="s">
        <v>212</v>
      </c>
      <c r="Q400" s="222" t="s">
        <v>212</v>
      </c>
      <c r="R400" s="222" t="s">
        <v>212</v>
      </c>
      <c r="S400" s="222" t="s">
        <v>212</v>
      </c>
      <c r="T400" s="531" t="s">
        <v>212</v>
      </c>
      <c r="U400" s="531"/>
      <c r="V400" s="222" t="s">
        <v>212</v>
      </c>
      <c r="W400" s="222" t="s">
        <v>212</v>
      </c>
      <c r="X400" s="531" t="s">
        <v>212</v>
      </c>
      <c r="Y400" s="531"/>
      <c r="Z400" s="222" t="s">
        <v>212</v>
      </c>
      <c r="AA400" s="222" t="s">
        <v>212</v>
      </c>
      <c r="AB400" s="222" t="s">
        <v>212</v>
      </c>
      <c r="AC400" s="215"/>
    </row>
    <row r="401" spans="1:29" ht="13.5" customHeight="1">
      <c r="A401" s="215"/>
      <c r="B401" s="532">
        <v>39275</v>
      </c>
      <c r="C401" s="532"/>
      <c r="D401" s="219" t="s">
        <v>212</v>
      </c>
      <c r="E401" s="224">
        <v>302.8</v>
      </c>
      <c r="F401" s="533">
        <v>24</v>
      </c>
      <c r="G401" s="533"/>
      <c r="H401" s="224">
        <v>331.7</v>
      </c>
      <c r="I401" s="533">
        <v>24</v>
      </c>
      <c r="J401" s="533"/>
      <c r="K401" s="224">
        <v>0</v>
      </c>
      <c r="L401" s="225">
        <v>0</v>
      </c>
      <c r="M401" s="224">
        <v>0</v>
      </c>
      <c r="N401" s="225">
        <v>0</v>
      </c>
      <c r="O401" s="226">
        <v>634.5</v>
      </c>
      <c r="P401" s="222" t="s">
        <v>212</v>
      </c>
      <c r="Q401" s="224">
        <v>0</v>
      </c>
      <c r="R401" s="225">
        <v>0</v>
      </c>
      <c r="S401" s="224">
        <v>14</v>
      </c>
      <c r="T401" s="533">
        <v>5</v>
      </c>
      <c r="U401" s="533"/>
      <c r="V401" s="224">
        <v>14</v>
      </c>
      <c r="W401" s="222" t="s">
        <v>212</v>
      </c>
      <c r="X401" s="534">
        <v>648.5</v>
      </c>
      <c r="Y401" s="534"/>
      <c r="Z401" s="222" t="s">
        <v>212</v>
      </c>
      <c r="AA401" s="227">
        <v>8401900</v>
      </c>
      <c r="AB401" s="228">
        <v>0</v>
      </c>
      <c r="AC401" s="215"/>
    </row>
    <row r="402" spans="1:29" ht="2.25" customHeight="1">
      <c r="A402" s="215"/>
      <c r="B402" s="529" t="s">
        <v>212</v>
      </c>
      <c r="C402" s="529"/>
      <c r="D402" s="219" t="s">
        <v>212</v>
      </c>
      <c r="E402" s="222" t="s">
        <v>212</v>
      </c>
      <c r="F402" s="531" t="s">
        <v>212</v>
      </c>
      <c r="G402" s="531"/>
      <c r="H402" s="222" t="s">
        <v>212</v>
      </c>
      <c r="I402" s="531" t="s">
        <v>212</v>
      </c>
      <c r="J402" s="531"/>
      <c r="K402" s="222" t="s">
        <v>212</v>
      </c>
      <c r="L402" s="222" t="s">
        <v>212</v>
      </c>
      <c r="M402" s="222" t="s">
        <v>212</v>
      </c>
      <c r="N402" s="222" t="s">
        <v>212</v>
      </c>
      <c r="O402" s="222" t="s">
        <v>212</v>
      </c>
      <c r="P402" s="222" t="s">
        <v>212</v>
      </c>
      <c r="Q402" s="222" t="s">
        <v>212</v>
      </c>
      <c r="R402" s="222" t="s">
        <v>212</v>
      </c>
      <c r="S402" s="222" t="s">
        <v>212</v>
      </c>
      <c r="T402" s="531" t="s">
        <v>212</v>
      </c>
      <c r="U402" s="531"/>
      <c r="V402" s="222" t="s">
        <v>212</v>
      </c>
      <c r="W402" s="222" t="s">
        <v>212</v>
      </c>
      <c r="X402" s="531" t="s">
        <v>212</v>
      </c>
      <c r="Y402" s="531"/>
      <c r="Z402" s="222" t="s">
        <v>212</v>
      </c>
      <c r="AA402" s="222" t="s">
        <v>212</v>
      </c>
      <c r="AB402" s="222" t="s">
        <v>212</v>
      </c>
      <c r="AC402" s="215"/>
    </row>
    <row r="403" spans="1:29" ht="13.5" customHeight="1">
      <c r="A403" s="215"/>
      <c r="B403" s="535">
        <v>39276</v>
      </c>
      <c r="C403" s="535"/>
      <c r="D403" s="219" t="s">
        <v>212</v>
      </c>
      <c r="E403" s="229">
        <v>250.1</v>
      </c>
      <c r="F403" s="536">
        <v>24</v>
      </c>
      <c r="G403" s="536"/>
      <c r="H403" s="229">
        <v>282.89999999999998</v>
      </c>
      <c r="I403" s="536">
        <v>24</v>
      </c>
      <c r="J403" s="536"/>
      <c r="K403" s="229">
        <v>89.1</v>
      </c>
      <c r="L403" s="230">
        <v>9</v>
      </c>
      <c r="M403" s="229">
        <v>0</v>
      </c>
      <c r="N403" s="230">
        <v>0</v>
      </c>
      <c r="O403" s="231">
        <v>622.1</v>
      </c>
      <c r="P403" s="222" t="s">
        <v>212</v>
      </c>
      <c r="Q403" s="229">
        <v>0</v>
      </c>
      <c r="R403" s="230">
        <v>0</v>
      </c>
      <c r="S403" s="229">
        <v>0</v>
      </c>
      <c r="T403" s="536">
        <v>0</v>
      </c>
      <c r="U403" s="536"/>
      <c r="V403" s="229">
        <v>0</v>
      </c>
      <c r="W403" s="222" t="s">
        <v>212</v>
      </c>
      <c r="X403" s="530">
        <v>622.1</v>
      </c>
      <c r="Y403" s="530"/>
      <c r="Z403" s="222" t="s">
        <v>212</v>
      </c>
      <c r="AA403" s="232">
        <v>9035600</v>
      </c>
      <c r="AB403" s="233">
        <v>373</v>
      </c>
      <c r="AC403" s="215"/>
    </row>
    <row r="404" spans="1:29" ht="2.25" customHeight="1">
      <c r="A404" s="215"/>
      <c r="B404" s="529" t="s">
        <v>212</v>
      </c>
      <c r="C404" s="529"/>
      <c r="D404" s="219" t="s">
        <v>212</v>
      </c>
      <c r="E404" s="222" t="s">
        <v>212</v>
      </c>
      <c r="F404" s="531" t="s">
        <v>212</v>
      </c>
      <c r="G404" s="531"/>
      <c r="H404" s="222" t="s">
        <v>212</v>
      </c>
      <c r="I404" s="531" t="s">
        <v>212</v>
      </c>
      <c r="J404" s="531"/>
      <c r="K404" s="222" t="s">
        <v>212</v>
      </c>
      <c r="L404" s="222" t="s">
        <v>212</v>
      </c>
      <c r="M404" s="222" t="s">
        <v>212</v>
      </c>
      <c r="N404" s="222" t="s">
        <v>212</v>
      </c>
      <c r="O404" s="222" t="s">
        <v>212</v>
      </c>
      <c r="P404" s="222" t="s">
        <v>212</v>
      </c>
      <c r="Q404" s="222" t="s">
        <v>212</v>
      </c>
      <c r="R404" s="222" t="s">
        <v>212</v>
      </c>
      <c r="S404" s="222" t="s">
        <v>212</v>
      </c>
      <c r="T404" s="531" t="s">
        <v>212</v>
      </c>
      <c r="U404" s="531"/>
      <c r="V404" s="222" t="s">
        <v>212</v>
      </c>
      <c r="W404" s="222" t="s">
        <v>212</v>
      </c>
      <c r="X404" s="531" t="s">
        <v>212</v>
      </c>
      <c r="Y404" s="531"/>
      <c r="Z404" s="222" t="s">
        <v>212</v>
      </c>
      <c r="AA404" s="222" t="s">
        <v>212</v>
      </c>
      <c r="AB404" s="222" t="s">
        <v>212</v>
      </c>
      <c r="AC404" s="215"/>
    </row>
    <row r="405" spans="1:29" ht="13.5" customHeight="1">
      <c r="A405" s="215"/>
      <c r="B405" s="532">
        <v>39277</v>
      </c>
      <c r="C405" s="532"/>
      <c r="D405" s="219" t="s">
        <v>212</v>
      </c>
      <c r="E405" s="224">
        <v>0</v>
      </c>
      <c r="F405" s="533">
        <v>0</v>
      </c>
      <c r="G405" s="533"/>
      <c r="H405" s="224">
        <v>307.39999999999998</v>
      </c>
      <c r="I405" s="533">
        <v>24</v>
      </c>
      <c r="J405" s="533"/>
      <c r="K405" s="224">
        <v>296.7</v>
      </c>
      <c r="L405" s="225">
        <v>24</v>
      </c>
      <c r="M405" s="224">
        <v>0</v>
      </c>
      <c r="N405" s="225">
        <v>0</v>
      </c>
      <c r="O405" s="226">
        <v>604.1</v>
      </c>
      <c r="P405" s="222" t="s">
        <v>212</v>
      </c>
      <c r="Q405" s="224">
        <v>0</v>
      </c>
      <c r="R405" s="225">
        <v>0</v>
      </c>
      <c r="S405" s="224">
        <v>0</v>
      </c>
      <c r="T405" s="533">
        <v>0</v>
      </c>
      <c r="U405" s="533"/>
      <c r="V405" s="224">
        <v>0</v>
      </c>
      <c r="W405" s="222" t="s">
        <v>212</v>
      </c>
      <c r="X405" s="534">
        <v>604.1</v>
      </c>
      <c r="Y405" s="534"/>
      <c r="Z405" s="222" t="s">
        <v>212</v>
      </c>
      <c r="AA405" s="227">
        <v>8098100</v>
      </c>
      <c r="AB405" s="228">
        <v>0</v>
      </c>
      <c r="AC405" s="215"/>
    </row>
    <row r="406" spans="1:29" ht="2.25" customHeight="1">
      <c r="A406" s="215"/>
      <c r="B406" s="529" t="s">
        <v>212</v>
      </c>
      <c r="C406" s="529"/>
      <c r="D406" s="219" t="s">
        <v>212</v>
      </c>
      <c r="E406" s="222" t="s">
        <v>212</v>
      </c>
      <c r="F406" s="531" t="s">
        <v>212</v>
      </c>
      <c r="G406" s="531"/>
      <c r="H406" s="222" t="s">
        <v>212</v>
      </c>
      <c r="I406" s="531" t="s">
        <v>212</v>
      </c>
      <c r="J406" s="531"/>
      <c r="K406" s="222" t="s">
        <v>212</v>
      </c>
      <c r="L406" s="222" t="s">
        <v>212</v>
      </c>
      <c r="M406" s="222" t="s">
        <v>212</v>
      </c>
      <c r="N406" s="222" t="s">
        <v>212</v>
      </c>
      <c r="O406" s="222" t="s">
        <v>212</v>
      </c>
      <c r="P406" s="222" t="s">
        <v>212</v>
      </c>
      <c r="Q406" s="222" t="s">
        <v>212</v>
      </c>
      <c r="R406" s="222" t="s">
        <v>212</v>
      </c>
      <c r="S406" s="222" t="s">
        <v>212</v>
      </c>
      <c r="T406" s="531" t="s">
        <v>212</v>
      </c>
      <c r="U406" s="531"/>
      <c r="V406" s="222" t="s">
        <v>212</v>
      </c>
      <c r="W406" s="222" t="s">
        <v>212</v>
      </c>
      <c r="X406" s="531" t="s">
        <v>212</v>
      </c>
      <c r="Y406" s="531"/>
      <c r="Z406" s="222" t="s">
        <v>212</v>
      </c>
      <c r="AA406" s="222" t="s">
        <v>212</v>
      </c>
      <c r="AB406" s="222" t="s">
        <v>212</v>
      </c>
      <c r="AC406" s="215"/>
    </row>
    <row r="407" spans="1:29" ht="13.5" customHeight="1">
      <c r="A407" s="215"/>
      <c r="B407" s="535">
        <v>39278</v>
      </c>
      <c r="C407" s="535"/>
      <c r="D407" s="219" t="s">
        <v>212</v>
      </c>
      <c r="E407" s="229">
        <v>0</v>
      </c>
      <c r="F407" s="536">
        <v>0</v>
      </c>
      <c r="G407" s="536"/>
      <c r="H407" s="229">
        <v>295.39999999999998</v>
      </c>
      <c r="I407" s="536">
        <v>24</v>
      </c>
      <c r="J407" s="536"/>
      <c r="K407" s="229">
        <v>287</v>
      </c>
      <c r="L407" s="230">
        <v>24</v>
      </c>
      <c r="M407" s="229">
        <v>0</v>
      </c>
      <c r="N407" s="230">
        <v>0</v>
      </c>
      <c r="O407" s="231">
        <v>582.4</v>
      </c>
      <c r="P407" s="222" t="s">
        <v>212</v>
      </c>
      <c r="Q407" s="229">
        <v>0</v>
      </c>
      <c r="R407" s="230">
        <v>0</v>
      </c>
      <c r="S407" s="229">
        <v>0</v>
      </c>
      <c r="T407" s="536">
        <v>0</v>
      </c>
      <c r="U407" s="536"/>
      <c r="V407" s="229">
        <v>0</v>
      </c>
      <c r="W407" s="222" t="s">
        <v>212</v>
      </c>
      <c r="X407" s="530">
        <v>582.4</v>
      </c>
      <c r="Y407" s="530"/>
      <c r="Z407" s="222" t="s">
        <v>212</v>
      </c>
      <c r="AA407" s="232">
        <v>7995300</v>
      </c>
      <c r="AB407" s="233">
        <v>0</v>
      </c>
      <c r="AC407" s="215"/>
    </row>
    <row r="408" spans="1:29" ht="2.25" customHeight="1">
      <c r="A408" s="215"/>
      <c r="B408" s="529" t="s">
        <v>212</v>
      </c>
      <c r="C408" s="529"/>
      <c r="D408" s="219" t="s">
        <v>212</v>
      </c>
      <c r="E408" s="222" t="s">
        <v>212</v>
      </c>
      <c r="F408" s="531" t="s">
        <v>212</v>
      </c>
      <c r="G408" s="531"/>
      <c r="H408" s="222" t="s">
        <v>212</v>
      </c>
      <c r="I408" s="531" t="s">
        <v>212</v>
      </c>
      <c r="J408" s="531"/>
      <c r="K408" s="222" t="s">
        <v>212</v>
      </c>
      <c r="L408" s="222" t="s">
        <v>212</v>
      </c>
      <c r="M408" s="222" t="s">
        <v>212</v>
      </c>
      <c r="N408" s="222" t="s">
        <v>212</v>
      </c>
      <c r="O408" s="222" t="s">
        <v>212</v>
      </c>
      <c r="P408" s="222" t="s">
        <v>212</v>
      </c>
      <c r="Q408" s="222" t="s">
        <v>212</v>
      </c>
      <c r="R408" s="222" t="s">
        <v>212</v>
      </c>
      <c r="S408" s="222" t="s">
        <v>212</v>
      </c>
      <c r="T408" s="531" t="s">
        <v>212</v>
      </c>
      <c r="U408" s="531"/>
      <c r="V408" s="222" t="s">
        <v>212</v>
      </c>
      <c r="W408" s="222" t="s">
        <v>212</v>
      </c>
      <c r="X408" s="531" t="s">
        <v>212</v>
      </c>
      <c r="Y408" s="531"/>
      <c r="Z408" s="222" t="s">
        <v>212</v>
      </c>
      <c r="AA408" s="222" t="s">
        <v>212</v>
      </c>
      <c r="AB408" s="222" t="s">
        <v>212</v>
      </c>
      <c r="AC408" s="215"/>
    </row>
    <row r="409" spans="1:29" ht="13.5" customHeight="1">
      <c r="A409" s="215"/>
      <c r="B409" s="532">
        <v>39279</v>
      </c>
      <c r="C409" s="532"/>
      <c r="D409" s="219" t="s">
        <v>212</v>
      </c>
      <c r="E409" s="224">
        <v>0</v>
      </c>
      <c r="F409" s="533">
        <v>0</v>
      </c>
      <c r="G409" s="533"/>
      <c r="H409" s="224">
        <v>350.7</v>
      </c>
      <c r="I409" s="533">
        <v>24</v>
      </c>
      <c r="J409" s="533"/>
      <c r="K409" s="224">
        <v>329.3</v>
      </c>
      <c r="L409" s="225">
        <v>24</v>
      </c>
      <c r="M409" s="224">
        <v>0</v>
      </c>
      <c r="N409" s="225">
        <v>0</v>
      </c>
      <c r="O409" s="226">
        <v>680</v>
      </c>
      <c r="P409" s="222" t="s">
        <v>212</v>
      </c>
      <c r="Q409" s="224">
        <v>0</v>
      </c>
      <c r="R409" s="225">
        <v>0</v>
      </c>
      <c r="S409" s="224">
        <v>9</v>
      </c>
      <c r="T409" s="533">
        <v>4</v>
      </c>
      <c r="U409" s="533"/>
      <c r="V409" s="224">
        <v>9</v>
      </c>
      <c r="W409" s="222" t="s">
        <v>212</v>
      </c>
      <c r="X409" s="534">
        <v>689</v>
      </c>
      <c r="Y409" s="534"/>
      <c r="Z409" s="222" t="s">
        <v>212</v>
      </c>
      <c r="AA409" s="227">
        <v>8754400</v>
      </c>
      <c r="AB409" s="228">
        <v>0</v>
      </c>
      <c r="AC409" s="215"/>
    </row>
    <row r="410" spans="1:29" ht="2.25" customHeight="1">
      <c r="A410" s="215"/>
      <c r="B410" s="529" t="s">
        <v>212</v>
      </c>
      <c r="C410" s="529"/>
      <c r="D410" s="219" t="s">
        <v>212</v>
      </c>
      <c r="E410" s="222" t="s">
        <v>212</v>
      </c>
      <c r="F410" s="531" t="s">
        <v>212</v>
      </c>
      <c r="G410" s="531"/>
      <c r="H410" s="222" t="s">
        <v>212</v>
      </c>
      <c r="I410" s="531" t="s">
        <v>212</v>
      </c>
      <c r="J410" s="531"/>
      <c r="K410" s="222" t="s">
        <v>212</v>
      </c>
      <c r="L410" s="222" t="s">
        <v>212</v>
      </c>
      <c r="M410" s="222" t="s">
        <v>212</v>
      </c>
      <c r="N410" s="222" t="s">
        <v>212</v>
      </c>
      <c r="O410" s="222" t="s">
        <v>212</v>
      </c>
      <c r="P410" s="222" t="s">
        <v>212</v>
      </c>
      <c r="Q410" s="222" t="s">
        <v>212</v>
      </c>
      <c r="R410" s="222" t="s">
        <v>212</v>
      </c>
      <c r="S410" s="222" t="s">
        <v>212</v>
      </c>
      <c r="T410" s="531" t="s">
        <v>212</v>
      </c>
      <c r="U410" s="531"/>
      <c r="V410" s="222" t="s">
        <v>212</v>
      </c>
      <c r="W410" s="222" t="s">
        <v>212</v>
      </c>
      <c r="X410" s="531" t="s">
        <v>212</v>
      </c>
      <c r="Y410" s="531"/>
      <c r="Z410" s="222" t="s">
        <v>212</v>
      </c>
      <c r="AA410" s="222" t="s">
        <v>212</v>
      </c>
      <c r="AB410" s="222" t="s">
        <v>212</v>
      </c>
      <c r="AC410" s="215"/>
    </row>
    <row r="411" spans="1:29" ht="13.5" customHeight="1">
      <c r="A411" s="215"/>
      <c r="B411" s="535">
        <v>39280</v>
      </c>
      <c r="C411" s="535"/>
      <c r="D411" s="219" t="s">
        <v>212</v>
      </c>
      <c r="E411" s="229">
        <v>0</v>
      </c>
      <c r="F411" s="536">
        <v>0</v>
      </c>
      <c r="G411" s="536"/>
      <c r="H411" s="229">
        <v>318.89999999999998</v>
      </c>
      <c r="I411" s="536">
        <v>24</v>
      </c>
      <c r="J411" s="536"/>
      <c r="K411" s="229">
        <v>306.8</v>
      </c>
      <c r="L411" s="230">
        <v>24</v>
      </c>
      <c r="M411" s="229">
        <v>0</v>
      </c>
      <c r="N411" s="230">
        <v>0</v>
      </c>
      <c r="O411" s="231">
        <v>625.70000000000005</v>
      </c>
      <c r="P411" s="222" t="s">
        <v>212</v>
      </c>
      <c r="Q411" s="229">
        <v>0</v>
      </c>
      <c r="R411" s="230">
        <v>0</v>
      </c>
      <c r="S411" s="229">
        <v>0</v>
      </c>
      <c r="T411" s="536">
        <v>0</v>
      </c>
      <c r="U411" s="536"/>
      <c r="V411" s="229">
        <v>0</v>
      </c>
      <c r="W411" s="222" t="s">
        <v>212</v>
      </c>
      <c r="X411" s="530">
        <v>625.70000000000005</v>
      </c>
      <c r="Y411" s="530"/>
      <c r="Z411" s="222" t="s">
        <v>212</v>
      </c>
      <c r="AA411" s="232">
        <v>8273100</v>
      </c>
      <c r="AB411" s="233">
        <v>0</v>
      </c>
      <c r="AC411" s="215"/>
    </row>
    <row r="412" spans="1:29" ht="2.25" customHeight="1">
      <c r="A412" s="215"/>
      <c r="B412" s="529" t="s">
        <v>212</v>
      </c>
      <c r="C412" s="529"/>
      <c r="D412" s="219" t="s">
        <v>212</v>
      </c>
      <c r="E412" s="222" t="s">
        <v>212</v>
      </c>
      <c r="F412" s="531" t="s">
        <v>212</v>
      </c>
      <c r="G412" s="531"/>
      <c r="H412" s="222" t="s">
        <v>212</v>
      </c>
      <c r="I412" s="531" t="s">
        <v>212</v>
      </c>
      <c r="J412" s="531"/>
      <c r="K412" s="222" t="s">
        <v>212</v>
      </c>
      <c r="L412" s="222" t="s">
        <v>212</v>
      </c>
      <c r="M412" s="222" t="s">
        <v>212</v>
      </c>
      <c r="N412" s="222" t="s">
        <v>212</v>
      </c>
      <c r="O412" s="222" t="s">
        <v>212</v>
      </c>
      <c r="P412" s="222" t="s">
        <v>212</v>
      </c>
      <c r="Q412" s="222" t="s">
        <v>212</v>
      </c>
      <c r="R412" s="222" t="s">
        <v>212</v>
      </c>
      <c r="S412" s="222" t="s">
        <v>212</v>
      </c>
      <c r="T412" s="531" t="s">
        <v>212</v>
      </c>
      <c r="U412" s="531"/>
      <c r="V412" s="222" t="s">
        <v>212</v>
      </c>
      <c r="W412" s="222" t="s">
        <v>212</v>
      </c>
      <c r="X412" s="531" t="s">
        <v>212</v>
      </c>
      <c r="Y412" s="531"/>
      <c r="Z412" s="222" t="s">
        <v>212</v>
      </c>
      <c r="AA412" s="222" t="s">
        <v>212</v>
      </c>
      <c r="AB412" s="222" t="s">
        <v>212</v>
      </c>
      <c r="AC412" s="215"/>
    </row>
    <row r="413" spans="1:29" ht="13.5" customHeight="1">
      <c r="A413" s="215"/>
      <c r="B413" s="532">
        <v>39281</v>
      </c>
      <c r="C413" s="532"/>
      <c r="D413" s="219" t="s">
        <v>212</v>
      </c>
      <c r="E413" s="224">
        <v>0</v>
      </c>
      <c r="F413" s="533">
        <v>0</v>
      </c>
      <c r="G413" s="533"/>
      <c r="H413" s="224">
        <v>302.7</v>
      </c>
      <c r="I413" s="533">
        <v>24</v>
      </c>
      <c r="J413" s="533"/>
      <c r="K413" s="224">
        <v>292</v>
      </c>
      <c r="L413" s="225">
        <v>24</v>
      </c>
      <c r="M413" s="224">
        <v>0</v>
      </c>
      <c r="N413" s="225">
        <v>0</v>
      </c>
      <c r="O413" s="226">
        <v>594.70000000000005</v>
      </c>
      <c r="P413" s="222" t="s">
        <v>212</v>
      </c>
      <c r="Q413" s="224">
        <v>0</v>
      </c>
      <c r="R413" s="225">
        <v>0</v>
      </c>
      <c r="S413" s="224">
        <v>0</v>
      </c>
      <c r="T413" s="533">
        <v>0</v>
      </c>
      <c r="U413" s="533"/>
      <c r="V413" s="224">
        <v>0</v>
      </c>
      <c r="W413" s="222" t="s">
        <v>212</v>
      </c>
      <c r="X413" s="534">
        <v>594.70000000000005</v>
      </c>
      <c r="Y413" s="534"/>
      <c r="Z413" s="222" t="s">
        <v>212</v>
      </c>
      <c r="AA413" s="227">
        <v>8069500</v>
      </c>
      <c r="AB413" s="228">
        <v>0</v>
      </c>
      <c r="AC413" s="215"/>
    </row>
    <row r="414" spans="1:29" ht="2.25" customHeight="1">
      <c r="A414" s="215"/>
      <c r="B414" s="529" t="s">
        <v>212</v>
      </c>
      <c r="C414" s="529"/>
      <c r="D414" s="219" t="s">
        <v>212</v>
      </c>
      <c r="E414" s="222" t="s">
        <v>212</v>
      </c>
      <c r="F414" s="531" t="s">
        <v>212</v>
      </c>
      <c r="G414" s="531"/>
      <c r="H414" s="222" t="s">
        <v>212</v>
      </c>
      <c r="I414" s="531" t="s">
        <v>212</v>
      </c>
      <c r="J414" s="531"/>
      <c r="K414" s="222" t="s">
        <v>212</v>
      </c>
      <c r="L414" s="222" t="s">
        <v>212</v>
      </c>
      <c r="M414" s="222" t="s">
        <v>212</v>
      </c>
      <c r="N414" s="222" t="s">
        <v>212</v>
      </c>
      <c r="O414" s="222" t="s">
        <v>212</v>
      </c>
      <c r="P414" s="222" t="s">
        <v>212</v>
      </c>
      <c r="Q414" s="222" t="s">
        <v>212</v>
      </c>
      <c r="R414" s="222" t="s">
        <v>212</v>
      </c>
      <c r="S414" s="222" t="s">
        <v>212</v>
      </c>
      <c r="T414" s="531" t="s">
        <v>212</v>
      </c>
      <c r="U414" s="531"/>
      <c r="V414" s="222" t="s">
        <v>212</v>
      </c>
      <c r="W414" s="222" t="s">
        <v>212</v>
      </c>
      <c r="X414" s="531" t="s">
        <v>212</v>
      </c>
      <c r="Y414" s="531"/>
      <c r="Z414" s="222" t="s">
        <v>212</v>
      </c>
      <c r="AA414" s="222" t="s">
        <v>212</v>
      </c>
      <c r="AB414" s="222" t="s">
        <v>212</v>
      </c>
      <c r="AC414" s="215"/>
    </row>
    <row r="415" spans="1:29" ht="13.5" customHeight="1">
      <c r="A415" s="215"/>
      <c r="B415" s="535">
        <v>39282</v>
      </c>
      <c r="C415" s="535"/>
      <c r="D415" s="219" t="s">
        <v>212</v>
      </c>
      <c r="E415" s="229">
        <v>16.3</v>
      </c>
      <c r="F415" s="536">
        <v>2</v>
      </c>
      <c r="G415" s="536"/>
      <c r="H415" s="229">
        <v>309.89999999999998</v>
      </c>
      <c r="I415" s="536">
        <v>24</v>
      </c>
      <c r="J415" s="536"/>
      <c r="K415" s="229">
        <v>291.7</v>
      </c>
      <c r="L415" s="230">
        <v>24</v>
      </c>
      <c r="M415" s="229">
        <v>0</v>
      </c>
      <c r="N415" s="230">
        <v>0</v>
      </c>
      <c r="O415" s="231">
        <v>617.9</v>
      </c>
      <c r="P415" s="222" t="s">
        <v>212</v>
      </c>
      <c r="Q415" s="229">
        <v>0</v>
      </c>
      <c r="R415" s="230">
        <v>0</v>
      </c>
      <c r="S415" s="229">
        <v>0</v>
      </c>
      <c r="T415" s="536">
        <v>0</v>
      </c>
      <c r="U415" s="536"/>
      <c r="V415" s="229">
        <v>0</v>
      </c>
      <c r="W415" s="222" t="s">
        <v>212</v>
      </c>
      <c r="X415" s="530">
        <v>617.9</v>
      </c>
      <c r="Y415" s="530"/>
      <c r="Z415" s="222" t="s">
        <v>212</v>
      </c>
      <c r="AA415" s="232">
        <v>8406500</v>
      </c>
      <c r="AB415" s="233">
        <v>0</v>
      </c>
      <c r="AC415" s="215"/>
    </row>
    <row r="416" spans="1:29" ht="2.25" customHeight="1">
      <c r="A416" s="215"/>
      <c r="B416" s="529" t="s">
        <v>212</v>
      </c>
      <c r="C416" s="529"/>
      <c r="D416" s="219" t="s">
        <v>212</v>
      </c>
      <c r="E416" s="222" t="s">
        <v>212</v>
      </c>
      <c r="F416" s="531" t="s">
        <v>212</v>
      </c>
      <c r="G416" s="531"/>
      <c r="H416" s="222" t="s">
        <v>212</v>
      </c>
      <c r="I416" s="531" t="s">
        <v>212</v>
      </c>
      <c r="J416" s="531"/>
      <c r="K416" s="222" t="s">
        <v>212</v>
      </c>
      <c r="L416" s="222" t="s">
        <v>212</v>
      </c>
      <c r="M416" s="222" t="s">
        <v>212</v>
      </c>
      <c r="N416" s="222" t="s">
        <v>212</v>
      </c>
      <c r="O416" s="222" t="s">
        <v>212</v>
      </c>
      <c r="P416" s="222" t="s">
        <v>212</v>
      </c>
      <c r="Q416" s="222" t="s">
        <v>212</v>
      </c>
      <c r="R416" s="222" t="s">
        <v>212</v>
      </c>
      <c r="S416" s="222" t="s">
        <v>212</v>
      </c>
      <c r="T416" s="531" t="s">
        <v>212</v>
      </c>
      <c r="U416" s="531"/>
      <c r="V416" s="222" t="s">
        <v>212</v>
      </c>
      <c r="W416" s="222" t="s">
        <v>212</v>
      </c>
      <c r="X416" s="531" t="s">
        <v>212</v>
      </c>
      <c r="Y416" s="531"/>
      <c r="Z416" s="222" t="s">
        <v>212</v>
      </c>
      <c r="AA416" s="222" t="s">
        <v>212</v>
      </c>
      <c r="AB416" s="222" t="s">
        <v>212</v>
      </c>
      <c r="AC416" s="215"/>
    </row>
    <row r="417" spans="1:29" ht="13.5" customHeight="1">
      <c r="A417" s="215"/>
      <c r="B417" s="532">
        <v>39283</v>
      </c>
      <c r="C417" s="532"/>
      <c r="D417" s="219" t="s">
        <v>212</v>
      </c>
      <c r="E417" s="224">
        <v>0</v>
      </c>
      <c r="F417" s="533">
        <v>0</v>
      </c>
      <c r="G417" s="533"/>
      <c r="H417" s="224">
        <v>347.5</v>
      </c>
      <c r="I417" s="533">
        <v>24</v>
      </c>
      <c r="J417" s="533"/>
      <c r="K417" s="224">
        <v>326.5</v>
      </c>
      <c r="L417" s="225">
        <v>24</v>
      </c>
      <c r="M417" s="224">
        <v>0</v>
      </c>
      <c r="N417" s="225">
        <v>0</v>
      </c>
      <c r="O417" s="226">
        <v>674</v>
      </c>
      <c r="P417" s="222" t="s">
        <v>212</v>
      </c>
      <c r="Q417" s="224">
        <v>0</v>
      </c>
      <c r="R417" s="225">
        <v>0</v>
      </c>
      <c r="S417" s="224">
        <v>0</v>
      </c>
      <c r="T417" s="533">
        <v>0</v>
      </c>
      <c r="U417" s="533"/>
      <c r="V417" s="224">
        <v>0</v>
      </c>
      <c r="W417" s="222" t="s">
        <v>212</v>
      </c>
      <c r="X417" s="534">
        <v>674</v>
      </c>
      <c r="Y417" s="534"/>
      <c r="Z417" s="222" t="s">
        <v>212</v>
      </c>
      <c r="AA417" s="227">
        <v>8697200</v>
      </c>
      <c r="AB417" s="228">
        <v>0</v>
      </c>
      <c r="AC417" s="215"/>
    </row>
    <row r="418" spans="1:29" ht="2.25" customHeight="1">
      <c r="A418" s="215"/>
      <c r="B418" s="529" t="s">
        <v>212</v>
      </c>
      <c r="C418" s="529"/>
      <c r="D418" s="219" t="s">
        <v>212</v>
      </c>
      <c r="E418" s="222" t="s">
        <v>212</v>
      </c>
      <c r="F418" s="531" t="s">
        <v>212</v>
      </c>
      <c r="G418" s="531"/>
      <c r="H418" s="222" t="s">
        <v>212</v>
      </c>
      <c r="I418" s="531" t="s">
        <v>212</v>
      </c>
      <c r="J418" s="531"/>
      <c r="K418" s="222" t="s">
        <v>212</v>
      </c>
      <c r="L418" s="222" t="s">
        <v>212</v>
      </c>
      <c r="M418" s="222" t="s">
        <v>212</v>
      </c>
      <c r="N418" s="222" t="s">
        <v>212</v>
      </c>
      <c r="O418" s="222" t="s">
        <v>212</v>
      </c>
      <c r="P418" s="222" t="s">
        <v>212</v>
      </c>
      <c r="Q418" s="222" t="s">
        <v>212</v>
      </c>
      <c r="R418" s="222" t="s">
        <v>212</v>
      </c>
      <c r="S418" s="222" t="s">
        <v>212</v>
      </c>
      <c r="T418" s="531" t="s">
        <v>212</v>
      </c>
      <c r="U418" s="531"/>
      <c r="V418" s="222" t="s">
        <v>212</v>
      </c>
      <c r="W418" s="222" t="s">
        <v>212</v>
      </c>
      <c r="X418" s="531" t="s">
        <v>212</v>
      </c>
      <c r="Y418" s="531"/>
      <c r="Z418" s="222" t="s">
        <v>212</v>
      </c>
      <c r="AA418" s="222" t="s">
        <v>212</v>
      </c>
      <c r="AB418" s="222" t="s">
        <v>212</v>
      </c>
      <c r="AC418" s="215"/>
    </row>
    <row r="419" spans="1:29" ht="13.5" customHeight="1">
      <c r="A419" s="215"/>
      <c r="B419" s="535">
        <v>39284</v>
      </c>
      <c r="C419" s="535"/>
      <c r="D419" s="219" t="s">
        <v>212</v>
      </c>
      <c r="E419" s="229">
        <v>90.8</v>
      </c>
      <c r="F419" s="536">
        <v>10</v>
      </c>
      <c r="G419" s="536"/>
      <c r="H419" s="229">
        <v>313</v>
      </c>
      <c r="I419" s="536">
        <v>24</v>
      </c>
      <c r="J419" s="536"/>
      <c r="K419" s="229">
        <v>285.60000000000002</v>
      </c>
      <c r="L419" s="230">
        <v>24</v>
      </c>
      <c r="M419" s="229">
        <v>0</v>
      </c>
      <c r="N419" s="230">
        <v>0</v>
      </c>
      <c r="O419" s="231">
        <v>689.4</v>
      </c>
      <c r="P419" s="222" t="s">
        <v>212</v>
      </c>
      <c r="Q419" s="229">
        <v>0</v>
      </c>
      <c r="R419" s="230">
        <v>0</v>
      </c>
      <c r="S419" s="229">
        <v>0</v>
      </c>
      <c r="T419" s="536">
        <v>0</v>
      </c>
      <c r="U419" s="536"/>
      <c r="V419" s="229">
        <v>0</v>
      </c>
      <c r="W419" s="222" t="s">
        <v>212</v>
      </c>
      <c r="X419" s="530">
        <v>689.4</v>
      </c>
      <c r="Y419" s="530"/>
      <c r="Z419" s="222" t="s">
        <v>212</v>
      </c>
      <c r="AA419" s="232">
        <v>9552600</v>
      </c>
      <c r="AB419" s="233">
        <v>0</v>
      </c>
      <c r="AC419" s="215"/>
    </row>
    <row r="420" spans="1:29" ht="2.25" customHeight="1">
      <c r="A420" s="215"/>
      <c r="B420" s="529" t="s">
        <v>212</v>
      </c>
      <c r="C420" s="529"/>
      <c r="D420" s="219" t="s">
        <v>212</v>
      </c>
      <c r="E420" s="222" t="s">
        <v>212</v>
      </c>
      <c r="F420" s="531" t="s">
        <v>212</v>
      </c>
      <c r="G420" s="531"/>
      <c r="H420" s="222" t="s">
        <v>212</v>
      </c>
      <c r="I420" s="531" t="s">
        <v>212</v>
      </c>
      <c r="J420" s="531"/>
      <c r="K420" s="222" t="s">
        <v>212</v>
      </c>
      <c r="L420" s="222" t="s">
        <v>212</v>
      </c>
      <c r="M420" s="222" t="s">
        <v>212</v>
      </c>
      <c r="N420" s="222" t="s">
        <v>212</v>
      </c>
      <c r="O420" s="222" t="s">
        <v>212</v>
      </c>
      <c r="P420" s="222" t="s">
        <v>212</v>
      </c>
      <c r="Q420" s="222" t="s">
        <v>212</v>
      </c>
      <c r="R420" s="222" t="s">
        <v>212</v>
      </c>
      <c r="S420" s="222" t="s">
        <v>212</v>
      </c>
      <c r="T420" s="531" t="s">
        <v>212</v>
      </c>
      <c r="U420" s="531"/>
      <c r="V420" s="222" t="s">
        <v>212</v>
      </c>
      <c r="W420" s="222" t="s">
        <v>212</v>
      </c>
      <c r="X420" s="531" t="s">
        <v>212</v>
      </c>
      <c r="Y420" s="531"/>
      <c r="Z420" s="222" t="s">
        <v>212</v>
      </c>
      <c r="AA420" s="222" t="s">
        <v>212</v>
      </c>
      <c r="AB420" s="222" t="s">
        <v>212</v>
      </c>
      <c r="AC420" s="215"/>
    </row>
    <row r="421" spans="1:29" ht="13.5" customHeight="1">
      <c r="A421" s="215"/>
      <c r="B421" s="532">
        <v>39285</v>
      </c>
      <c r="C421" s="532"/>
      <c r="D421" s="219" t="s">
        <v>212</v>
      </c>
      <c r="E421" s="224">
        <v>202.9</v>
      </c>
      <c r="F421" s="533">
        <v>24</v>
      </c>
      <c r="G421" s="533"/>
      <c r="H421" s="224">
        <v>231.4</v>
      </c>
      <c r="I421" s="533">
        <v>24</v>
      </c>
      <c r="J421" s="533"/>
      <c r="K421" s="224">
        <v>213.1</v>
      </c>
      <c r="L421" s="225">
        <v>24</v>
      </c>
      <c r="M421" s="224">
        <v>0</v>
      </c>
      <c r="N421" s="225">
        <v>0</v>
      </c>
      <c r="O421" s="226">
        <v>647.4</v>
      </c>
      <c r="P421" s="222" t="s">
        <v>212</v>
      </c>
      <c r="Q421" s="224">
        <v>0</v>
      </c>
      <c r="R421" s="225">
        <v>0</v>
      </c>
      <c r="S421" s="224">
        <v>0</v>
      </c>
      <c r="T421" s="533">
        <v>0</v>
      </c>
      <c r="U421" s="533"/>
      <c r="V421" s="224">
        <v>0</v>
      </c>
      <c r="W421" s="222" t="s">
        <v>212</v>
      </c>
      <c r="X421" s="534">
        <v>647.4</v>
      </c>
      <c r="Y421" s="534"/>
      <c r="Z421" s="222" t="s">
        <v>212</v>
      </c>
      <c r="AA421" s="227">
        <v>10290600</v>
      </c>
      <c r="AB421" s="228">
        <v>0</v>
      </c>
      <c r="AC421" s="215"/>
    </row>
    <row r="422" spans="1:29" ht="2.25" customHeight="1">
      <c r="A422" s="215"/>
      <c r="B422" s="529" t="s">
        <v>212</v>
      </c>
      <c r="C422" s="529"/>
      <c r="D422" s="219" t="s">
        <v>212</v>
      </c>
      <c r="E422" s="222" t="s">
        <v>212</v>
      </c>
      <c r="F422" s="531" t="s">
        <v>212</v>
      </c>
      <c r="G422" s="531"/>
      <c r="H422" s="222" t="s">
        <v>212</v>
      </c>
      <c r="I422" s="531" t="s">
        <v>212</v>
      </c>
      <c r="J422" s="531"/>
      <c r="K422" s="222" t="s">
        <v>212</v>
      </c>
      <c r="L422" s="222" t="s">
        <v>212</v>
      </c>
      <c r="M422" s="222" t="s">
        <v>212</v>
      </c>
      <c r="N422" s="222" t="s">
        <v>212</v>
      </c>
      <c r="O422" s="222" t="s">
        <v>212</v>
      </c>
      <c r="P422" s="222" t="s">
        <v>212</v>
      </c>
      <c r="Q422" s="222" t="s">
        <v>212</v>
      </c>
      <c r="R422" s="222" t="s">
        <v>212</v>
      </c>
      <c r="S422" s="222" t="s">
        <v>212</v>
      </c>
      <c r="T422" s="531" t="s">
        <v>212</v>
      </c>
      <c r="U422" s="531"/>
      <c r="V422" s="222" t="s">
        <v>212</v>
      </c>
      <c r="W422" s="222" t="s">
        <v>212</v>
      </c>
      <c r="X422" s="531" t="s">
        <v>212</v>
      </c>
      <c r="Y422" s="531"/>
      <c r="Z422" s="222" t="s">
        <v>212</v>
      </c>
      <c r="AA422" s="222" t="s">
        <v>212</v>
      </c>
      <c r="AB422" s="222" t="s">
        <v>212</v>
      </c>
      <c r="AC422" s="215"/>
    </row>
    <row r="423" spans="1:29" ht="13.5" customHeight="1">
      <c r="A423" s="215"/>
      <c r="B423" s="535">
        <v>39286</v>
      </c>
      <c r="C423" s="535"/>
      <c r="D423" s="219" t="s">
        <v>212</v>
      </c>
      <c r="E423" s="229">
        <v>243</v>
      </c>
      <c r="F423" s="536">
        <v>24</v>
      </c>
      <c r="G423" s="536"/>
      <c r="H423" s="229">
        <v>144.80000000000001</v>
      </c>
      <c r="I423" s="536">
        <v>16</v>
      </c>
      <c r="J423" s="536"/>
      <c r="K423" s="229">
        <v>252.3</v>
      </c>
      <c r="L423" s="230">
        <v>24</v>
      </c>
      <c r="M423" s="229">
        <v>0</v>
      </c>
      <c r="N423" s="230">
        <v>0</v>
      </c>
      <c r="O423" s="231">
        <v>640.1</v>
      </c>
      <c r="P423" s="222" t="s">
        <v>212</v>
      </c>
      <c r="Q423" s="229">
        <v>0</v>
      </c>
      <c r="R423" s="230">
        <v>0</v>
      </c>
      <c r="S423" s="229">
        <v>28</v>
      </c>
      <c r="T423" s="536">
        <v>9</v>
      </c>
      <c r="U423" s="536"/>
      <c r="V423" s="229">
        <v>28</v>
      </c>
      <c r="W423" s="222" t="s">
        <v>212</v>
      </c>
      <c r="X423" s="530">
        <v>668.1</v>
      </c>
      <c r="Y423" s="530"/>
      <c r="Z423" s="222" t="s">
        <v>212</v>
      </c>
      <c r="AA423" s="232">
        <v>9811400</v>
      </c>
      <c r="AB423" s="233">
        <v>0</v>
      </c>
      <c r="AC423" s="215"/>
    </row>
    <row r="424" spans="1:29" ht="2.25" customHeight="1">
      <c r="A424" s="215"/>
      <c r="B424" s="529" t="s">
        <v>212</v>
      </c>
      <c r="C424" s="529"/>
      <c r="D424" s="219" t="s">
        <v>212</v>
      </c>
      <c r="E424" s="222" t="s">
        <v>212</v>
      </c>
      <c r="F424" s="531" t="s">
        <v>212</v>
      </c>
      <c r="G424" s="531"/>
      <c r="H424" s="222" t="s">
        <v>212</v>
      </c>
      <c r="I424" s="531" t="s">
        <v>212</v>
      </c>
      <c r="J424" s="531"/>
      <c r="K424" s="222" t="s">
        <v>212</v>
      </c>
      <c r="L424" s="222" t="s">
        <v>212</v>
      </c>
      <c r="M424" s="222" t="s">
        <v>212</v>
      </c>
      <c r="N424" s="222" t="s">
        <v>212</v>
      </c>
      <c r="O424" s="222" t="s">
        <v>212</v>
      </c>
      <c r="P424" s="222" t="s">
        <v>212</v>
      </c>
      <c r="Q424" s="222" t="s">
        <v>212</v>
      </c>
      <c r="R424" s="222" t="s">
        <v>212</v>
      </c>
      <c r="S424" s="222" t="s">
        <v>212</v>
      </c>
      <c r="T424" s="531" t="s">
        <v>212</v>
      </c>
      <c r="U424" s="531"/>
      <c r="V424" s="222" t="s">
        <v>212</v>
      </c>
      <c r="W424" s="222" t="s">
        <v>212</v>
      </c>
      <c r="X424" s="531" t="s">
        <v>212</v>
      </c>
      <c r="Y424" s="531"/>
      <c r="Z424" s="222" t="s">
        <v>212</v>
      </c>
      <c r="AA424" s="222" t="s">
        <v>212</v>
      </c>
      <c r="AB424" s="222" t="s">
        <v>212</v>
      </c>
      <c r="AC424" s="215"/>
    </row>
    <row r="425" spans="1:29" ht="13.5" customHeight="1">
      <c r="A425" s="215"/>
      <c r="B425" s="532">
        <v>39287</v>
      </c>
      <c r="C425" s="532"/>
      <c r="D425" s="219" t="s">
        <v>212</v>
      </c>
      <c r="E425" s="224">
        <v>304</v>
      </c>
      <c r="F425" s="533">
        <v>24</v>
      </c>
      <c r="G425" s="533"/>
      <c r="H425" s="224">
        <v>0</v>
      </c>
      <c r="I425" s="533">
        <v>0</v>
      </c>
      <c r="J425" s="533"/>
      <c r="K425" s="224">
        <v>306</v>
      </c>
      <c r="L425" s="225">
        <v>24</v>
      </c>
      <c r="M425" s="224">
        <v>0</v>
      </c>
      <c r="N425" s="225">
        <v>0</v>
      </c>
      <c r="O425" s="226">
        <v>610</v>
      </c>
      <c r="P425" s="222" t="s">
        <v>212</v>
      </c>
      <c r="Q425" s="224">
        <v>0</v>
      </c>
      <c r="R425" s="225">
        <v>0</v>
      </c>
      <c r="S425" s="224">
        <v>62</v>
      </c>
      <c r="T425" s="533">
        <v>19</v>
      </c>
      <c r="U425" s="533"/>
      <c r="V425" s="224">
        <v>62</v>
      </c>
      <c r="W425" s="222" t="s">
        <v>212</v>
      </c>
      <c r="X425" s="534">
        <v>672</v>
      </c>
      <c r="Y425" s="534"/>
      <c r="Z425" s="222" t="s">
        <v>212</v>
      </c>
      <c r="AA425" s="227">
        <v>8349000</v>
      </c>
      <c r="AB425" s="228">
        <v>0</v>
      </c>
      <c r="AC425" s="215"/>
    </row>
    <row r="426" spans="1:29" ht="2.25" customHeight="1">
      <c r="A426" s="215"/>
      <c r="B426" s="529" t="s">
        <v>212</v>
      </c>
      <c r="C426" s="529"/>
      <c r="D426" s="219" t="s">
        <v>212</v>
      </c>
      <c r="E426" s="222" t="s">
        <v>212</v>
      </c>
      <c r="F426" s="531" t="s">
        <v>212</v>
      </c>
      <c r="G426" s="531"/>
      <c r="H426" s="222" t="s">
        <v>212</v>
      </c>
      <c r="I426" s="531" t="s">
        <v>212</v>
      </c>
      <c r="J426" s="531"/>
      <c r="K426" s="222" t="s">
        <v>212</v>
      </c>
      <c r="L426" s="222" t="s">
        <v>212</v>
      </c>
      <c r="M426" s="222" t="s">
        <v>212</v>
      </c>
      <c r="N426" s="222" t="s">
        <v>212</v>
      </c>
      <c r="O426" s="222" t="s">
        <v>212</v>
      </c>
      <c r="P426" s="222" t="s">
        <v>212</v>
      </c>
      <c r="Q426" s="222" t="s">
        <v>212</v>
      </c>
      <c r="R426" s="222" t="s">
        <v>212</v>
      </c>
      <c r="S426" s="222" t="s">
        <v>212</v>
      </c>
      <c r="T426" s="531" t="s">
        <v>212</v>
      </c>
      <c r="U426" s="531"/>
      <c r="V426" s="222" t="s">
        <v>212</v>
      </c>
      <c r="W426" s="222" t="s">
        <v>212</v>
      </c>
      <c r="X426" s="531" t="s">
        <v>212</v>
      </c>
      <c r="Y426" s="531"/>
      <c r="Z426" s="222" t="s">
        <v>212</v>
      </c>
      <c r="AA426" s="222" t="s">
        <v>212</v>
      </c>
      <c r="AB426" s="222" t="s">
        <v>212</v>
      </c>
      <c r="AC426" s="215"/>
    </row>
    <row r="427" spans="1:29" ht="13.5" customHeight="1">
      <c r="A427" s="215"/>
      <c r="B427" s="535">
        <v>39288</v>
      </c>
      <c r="C427" s="535"/>
      <c r="D427" s="219" t="s">
        <v>212</v>
      </c>
      <c r="E427" s="229">
        <v>272.8</v>
      </c>
      <c r="F427" s="536">
        <v>24</v>
      </c>
      <c r="G427" s="536"/>
      <c r="H427" s="229">
        <v>0</v>
      </c>
      <c r="I427" s="536">
        <v>0</v>
      </c>
      <c r="J427" s="536"/>
      <c r="K427" s="229">
        <v>267.2</v>
      </c>
      <c r="L427" s="230">
        <v>22</v>
      </c>
      <c r="M427" s="229">
        <v>0</v>
      </c>
      <c r="N427" s="230">
        <v>0</v>
      </c>
      <c r="O427" s="231">
        <v>540</v>
      </c>
      <c r="P427" s="222" t="s">
        <v>212</v>
      </c>
      <c r="Q427" s="229">
        <v>0</v>
      </c>
      <c r="R427" s="230">
        <v>0</v>
      </c>
      <c r="S427" s="229">
        <v>52</v>
      </c>
      <c r="T427" s="536">
        <v>10</v>
      </c>
      <c r="U427" s="536"/>
      <c r="V427" s="229">
        <v>52</v>
      </c>
      <c r="W427" s="222" t="s">
        <v>212</v>
      </c>
      <c r="X427" s="530">
        <v>592</v>
      </c>
      <c r="Y427" s="530"/>
      <c r="Z427" s="222" t="s">
        <v>212</v>
      </c>
      <c r="AA427" s="232">
        <v>7093400</v>
      </c>
      <c r="AB427" s="233">
        <v>0</v>
      </c>
      <c r="AC427" s="215"/>
    </row>
    <row r="428" spans="1:29" ht="2.25" customHeight="1">
      <c r="A428" s="215"/>
      <c r="B428" s="529" t="s">
        <v>212</v>
      </c>
      <c r="C428" s="529"/>
      <c r="D428" s="219" t="s">
        <v>212</v>
      </c>
      <c r="E428" s="222" t="s">
        <v>212</v>
      </c>
      <c r="F428" s="531" t="s">
        <v>212</v>
      </c>
      <c r="G428" s="531"/>
      <c r="H428" s="222" t="s">
        <v>212</v>
      </c>
      <c r="I428" s="531" t="s">
        <v>212</v>
      </c>
      <c r="J428" s="531"/>
      <c r="K428" s="222" t="s">
        <v>212</v>
      </c>
      <c r="L428" s="222" t="s">
        <v>212</v>
      </c>
      <c r="M428" s="222" t="s">
        <v>212</v>
      </c>
      <c r="N428" s="222" t="s">
        <v>212</v>
      </c>
      <c r="O428" s="222" t="s">
        <v>212</v>
      </c>
      <c r="P428" s="222" t="s">
        <v>212</v>
      </c>
      <c r="Q428" s="222" t="s">
        <v>212</v>
      </c>
      <c r="R428" s="222" t="s">
        <v>212</v>
      </c>
      <c r="S428" s="222" t="s">
        <v>212</v>
      </c>
      <c r="T428" s="531" t="s">
        <v>212</v>
      </c>
      <c r="U428" s="531"/>
      <c r="V428" s="222" t="s">
        <v>212</v>
      </c>
      <c r="W428" s="222" t="s">
        <v>212</v>
      </c>
      <c r="X428" s="531" t="s">
        <v>212</v>
      </c>
      <c r="Y428" s="531"/>
      <c r="Z428" s="222" t="s">
        <v>212</v>
      </c>
      <c r="AA428" s="222" t="s">
        <v>212</v>
      </c>
      <c r="AB428" s="222" t="s">
        <v>212</v>
      </c>
      <c r="AC428" s="215"/>
    </row>
    <row r="429" spans="1:29" ht="13.5" customHeight="1">
      <c r="A429" s="215"/>
      <c r="B429" s="532">
        <v>39289</v>
      </c>
      <c r="C429" s="532"/>
      <c r="D429" s="219" t="s">
        <v>212</v>
      </c>
      <c r="E429" s="224">
        <v>236.7</v>
      </c>
      <c r="F429" s="533">
        <v>24</v>
      </c>
      <c r="G429" s="533"/>
      <c r="H429" s="224">
        <v>16.3</v>
      </c>
      <c r="I429" s="533">
        <v>9</v>
      </c>
      <c r="J429" s="533"/>
      <c r="K429" s="224">
        <v>36.799999999999997</v>
      </c>
      <c r="L429" s="225">
        <v>9</v>
      </c>
      <c r="M429" s="224">
        <v>0</v>
      </c>
      <c r="N429" s="225">
        <v>0</v>
      </c>
      <c r="O429" s="226">
        <v>289.8</v>
      </c>
      <c r="P429" s="222" t="s">
        <v>212</v>
      </c>
      <c r="Q429" s="224">
        <v>0</v>
      </c>
      <c r="R429" s="225">
        <v>0</v>
      </c>
      <c r="S429" s="224">
        <v>336</v>
      </c>
      <c r="T429" s="533">
        <v>23</v>
      </c>
      <c r="U429" s="533"/>
      <c r="V429" s="224">
        <v>336</v>
      </c>
      <c r="W429" s="222" t="s">
        <v>212</v>
      </c>
      <c r="X429" s="534">
        <v>625.79999999999995</v>
      </c>
      <c r="Y429" s="534"/>
      <c r="Z429" s="222" t="s">
        <v>212</v>
      </c>
      <c r="AA429" s="227">
        <v>5132900</v>
      </c>
      <c r="AB429" s="228">
        <v>0</v>
      </c>
      <c r="AC429" s="215"/>
    </row>
    <row r="430" spans="1:29" ht="2.25" customHeight="1">
      <c r="A430" s="215"/>
      <c r="B430" s="529" t="s">
        <v>212</v>
      </c>
      <c r="C430" s="529"/>
      <c r="D430" s="219" t="s">
        <v>212</v>
      </c>
      <c r="E430" s="222" t="s">
        <v>212</v>
      </c>
      <c r="F430" s="531" t="s">
        <v>212</v>
      </c>
      <c r="G430" s="531"/>
      <c r="H430" s="222" t="s">
        <v>212</v>
      </c>
      <c r="I430" s="531" t="s">
        <v>212</v>
      </c>
      <c r="J430" s="531"/>
      <c r="K430" s="222" t="s">
        <v>212</v>
      </c>
      <c r="L430" s="222" t="s">
        <v>212</v>
      </c>
      <c r="M430" s="222" t="s">
        <v>212</v>
      </c>
      <c r="N430" s="222" t="s">
        <v>212</v>
      </c>
      <c r="O430" s="222" t="s">
        <v>212</v>
      </c>
      <c r="P430" s="222" t="s">
        <v>212</v>
      </c>
      <c r="Q430" s="222" t="s">
        <v>212</v>
      </c>
      <c r="R430" s="222" t="s">
        <v>212</v>
      </c>
      <c r="S430" s="222" t="s">
        <v>212</v>
      </c>
      <c r="T430" s="531" t="s">
        <v>212</v>
      </c>
      <c r="U430" s="531"/>
      <c r="V430" s="222" t="s">
        <v>212</v>
      </c>
      <c r="W430" s="222" t="s">
        <v>212</v>
      </c>
      <c r="X430" s="531" t="s">
        <v>212</v>
      </c>
      <c r="Y430" s="531"/>
      <c r="Z430" s="222" t="s">
        <v>212</v>
      </c>
      <c r="AA430" s="222" t="s">
        <v>212</v>
      </c>
      <c r="AB430" s="222" t="s">
        <v>212</v>
      </c>
      <c r="AC430" s="215"/>
    </row>
    <row r="431" spans="1:29" ht="13.5" customHeight="1">
      <c r="A431" s="215"/>
      <c r="B431" s="535">
        <v>39290</v>
      </c>
      <c r="C431" s="535"/>
      <c r="D431" s="219" t="s">
        <v>212</v>
      </c>
      <c r="E431" s="229">
        <v>200</v>
      </c>
      <c r="F431" s="536">
        <v>24</v>
      </c>
      <c r="G431" s="536"/>
      <c r="H431" s="229">
        <v>0</v>
      </c>
      <c r="I431" s="536">
        <v>1</v>
      </c>
      <c r="J431" s="536"/>
      <c r="K431" s="229">
        <v>249.5</v>
      </c>
      <c r="L431" s="230">
        <v>24</v>
      </c>
      <c r="M431" s="229">
        <v>0</v>
      </c>
      <c r="N431" s="230">
        <v>0</v>
      </c>
      <c r="O431" s="231">
        <v>449.5</v>
      </c>
      <c r="P431" s="222" t="s">
        <v>212</v>
      </c>
      <c r="Q431" s="229">
        <v>0</v>
      </c>
      <c r="R431" s="230">
        <v>0</v>
      </c>
      <c r="S431" s="229">
        <v>238</v>
      </c>
      <c r="T431" s="536">
        <v>24</v>
      </c>
      <c r="U431" s="536"/>
      <c r="V431" s="229">
        <v>238</v>
      </c>
      <c r="W431" s="222" t="s">
        <v>212</v>
      </c>
      <c r="X431" s="530">
        <v>687.5</v>
      </c>
      <c r="Y431" s="530"/>
      <c r="Z431" s="222" t="s">
        <v>212</v>
      </c>
      <c r="AA431" s="232">
        <v>7195700</v>
      </c>
      <c r="AB431" s="233">
        <v>0</v>
      </c>
      <c r="AC431" s="215"/>
    </row>
    <row r="432" spans="1:29" ht="2.25" customHeight="1">
      <c r="A432" s="215"/>
      <c r="B432" s="529" t="s">
        <v>212</v>
      </c>
      <c r="C432" s="529"/>
      <c r="D432" s="219" t="s">
        <v>212</v>
      </c>
      <c r="E432" s="222" t="s">
        <v>212</v>
      </c>
      <c r="F432" s="531" t="s">
        <v>212</v>
      </c>
      <c r="G432" s="531"/>
      <c r="H432" s="222" t="s">
        <v>212</v>
      </c>
      <c r="I432" s="531" t="s">
        <v>212</v>
      </c>
      <c r="J432" s="531"/>
      <c r="K432" s="222" t="s">
        <v>212</v>
      </c>
      <c r="L432" s="222" t="s">
        <v>212</v>
      </c>
      <c r="M432" s="222" t="s">
        <v>212</v>
      </c>
      <c r="N432" s="222" t="s">
        <v>212</v>
      </c>
      <c r="O432" s="222" t="s">
        <v>212</v>
      </c>
      <c r="P432" s="222" t="s">
        <v>212</v>
      </c>
      <c r="Q432" s="222" t="s">
        <v>212</v>
      </c>
      <c r="R432" s="222" t="s">
        <v>212</v>
      </c>
      <c r="S432" s="222" t="s">
        <v>212</v>
      </c>
      <c r="T432" s="531" t="s">
        <v>212</v>
      </c>
      <c r="U432" s="531"/>
      <c r="V432" s="222" t="s">
        <v>212</v>
      </c>
      <c r="W432" s="222" t="s">
        <v>212</v>
      </c>
      <c r="X432" s="531" t="s">
        <v>212</v>
      </c>
      <c r="Y432" s="531"/>
      <c r="Z432" s="222" t="s">
        <v>212</v>
      </c>
      <c r="AA432" s="222" t="s">
        <v>212</v>
      </c>
      <c r="AB432" s="222" t="s">
        <v>212</v>
      </c>
      <c r="AC432" s="215"/>
    </row>
    <row r="433" spans="1:29" ht="13.5" customHeight="1">
      <c r="A433" s="215"/>
      <c r="B433" s="532">
        <v>39291</v>
      </c>
      <c r="C433" s="532"/>
      <c r="D433" s="219" t="s">
        <v>212</v>
      </c>
      <c r="E433" s="224">
        <v>265.10000000000002</v>
      </c>
      <c r="F433" s="533">
        <v>22</v>
      </c>
      <c r="G433" s="533"/>
      <c r="H433" s="224">
        <v>0</v>
      </c>
      <c r="I433" s="533">
        <v>1</v>
      </c>
      <c r="J433" s="533"/>
      <c r="K433" s="224">
        <v>239.4</v>
      </c>
      <c r="L433" s="225">
        <v>23</v>
      </c>
      <c r="M433" s="224">
        <v>0</v>
      </c>
      <c r="N433" s="225">
        <v>0</v>
      </c>
      <c r="O433" s="226">
        <v>504.5</v>
      </c>
      <c r="P433" s="222" t="s">
        <v>212</v>
      </c>
      <c r="Q433" s="224">
        <v>76</v>
      </c>
      <c r="R433" s="225">
        <v>5</v>
      </c>
      <c r="S433" s="224">
        <v>54</v>
      </c>
      <c r="T433" s="533">
        <v>9</v>
      </c>
      <c r="U433" s="533"/>
      <c r="V433" s="224">
        <v>130</v>
      </c>
      <c r="W433" s="222" t="s">
        <v>212</v>
      </c>
      <c r="X433" s="534">
        <v>634.5</v>
      </c>
      <c r="Y433" s="534"/>
      <c r="Z433" s="222" t="s">
        <v>212</v>
      </c>
      <c r="AA433" s="227">
        <v>7665200</v>
      </c>
      <c r="AB433" s="228">
        <v>311</v>
      </c>
      <c r="AC433" s="215"/>
    </row>
    <row r="434" spans="1:29" ht="2.25" customHeight="1">
      <c r="A434" s="215"/>
      <c r="B434" s="529" t="s">
        <v>212</v>
      </c>
      <c r="C434" s="529"/>
      <c r="D434" s="219" t="s">
        <v>212</v>
      </c>
      <c r="E434" s="222" t="s">
        <v>212</v>
      </c>
      <c r="F434" s="531" t="s">
        <v>212</v>
      </c>
      <c r="G434" s="531"/>
      <c r="H434" s="222" t="s">
        <v>212</v>
      </c>
      <c r="I434" s="531" t="s">
        <v>212</v>
      </c>
      <c r="J434" s="531"/>
      <c r="K434" s="222" t="s">
        <v>212</v>
      </c>
      <c r="L434" s="222" t="s">
        <v>212</v>
      </c>
      <c r="M434" s="222" t="s">
        <v>212</v>
      </c>
      <c r="N434" s="222" t="s">
        <v>212</v>
      </c>
      <c r="O434" s="222" t="s">
        <v>212</v>
      </c>
      <c r="P434" s="222" t="s">
        <v>212</v>
      </c>
      <c r="Q434" s="222" t="s">
        <v>212</v>
      </c>
      <c r="R434" s="222" t="s">
        <v>212</v>
      </c>
      <c r="S434" s="222" t="s">
        <v>212</v>
      </c>
      <c r="T434" s="531" t="s">
        <v>212</v>
      </c>
      <c r="U434" s="531"/>
      <c r="V434" s="222" t="s">
        <v>212</v>
      </c>
      <c r="W434" s="222" t="s">
        <v>212</v>
      </c>
      <c r="X434" s="531" t="s">
        <v>212</v>
      </c>
      <c r="Y434" s="531"/>
      <c r="Z434" s="222" t="s">
        <v>212</v>
      </c>
      <c r="AA434" s="222" t="s">
        <v>212</v>
      </c>
      <c r="AB434" s="222" t="s">
        <v>212</v>
      </c>
      <c r="AC434" s="215"/>
    </row>
    <row r="435" spans="1:29" ht="13.5" customHeight="1">
      <c r="A435" s="215"/>
      <c r="B435" s="535">
        <v>39292</v>
      </c>
      <c r="C435" s="535"/>
      <c r="D435" s="219" t="s">
        <v>212</v>
      </c>
      <c r="E435" s="229">
        <v>202.3</v>
      </c>
      <c r="F435" s="536">
        <v>24</v>
      </c>
      <c r="G435" s="536"/>
      <c r="H435" s="229">
        <v>0</v>
      </c>
      <c r="I435" s="536">
        <v>0</v>
      </c>
      <c r="J435" s="536"/>
      <c r="K435" s="229">
        <v>234.8</v>
      </c>
      <c r="L435" s="230">
        <v>24</v>
      </c>
      <c r="M435" s="229">
        <v>0</v>
      </c>
      <c r="N435" s="230">
        <v>0</v>
      </c>
      <c r="O435" s="231">
        <v>437.1</v>
      </c>
      <c r="P435" s="222" t="s">
        <v>212</v>
      </c>
      <c r="Q435" s="229">
        <v>233</v>
      </c>
      <c r="R435" s="230">
        <v>24</v>
      </c>
      <c r="S435" s="229">
        <v>0</v>
      </c>
      <c r="T435" s="536">
        <v>0</v>
      </c>
      <c r="U435" s="536"/>
      <c r="V435" s="229">
        <v>233</v>
      </c>
      <c r="W435" s="222" t="s">
        <v>212</v>
      </c>
      <c r="X435" s="530">
        <v>670.1</v>
      </c>
      <c r="Y435" s="530"/>
      <c r="Z435" s="222" t="s">
        <v>212</v>
      </c>
      <c r="AA435" s="232">
        <v>6979700</v>
      </c>
      <c r="AB435" s="233">
        <v>0</v>
      </c>
      <c r="AC435" s="215"/>
    </row>
    <row r="436" spans="1:29" ht="2.25" customHeight="1">
      <c r="A436" s="215"/>
      <c r="B436" s="529" t="s">
        <v>212</v>
      </c>
      <c r="C436" s="529"/>
      <c r="D436" s="219" t="s">
        <v>212</v>
      </c>
      <c r="E436" s="222" t="s">
        <v>212</v>
      </c>
      <c r="F436" s="531" t="s">
        <v>212</v>
      </c>
      <c r="G436" s="531"/>
      <c r="H436" s="222" t="s">
        <v>212</v>
      </c>
      <c r="I436" s="531" t="s">
        <v>212</v>
      </c>
      <c r="J436" s="531"/>
      <c r="K436" s="222" t="s">
        <v>212</v>
      </c>
      <c r="L436" s="222" t="s">
        <v>212</v>
      </c>
      <c r="M436" s="222" t="s">
        <v>212</v>
      </c>
      <c r="N436" s="222" t="s">
        <v>212</v>
      </c>
      <c r="O436" s="222" t="s">
        <v>212</v>
      </c>
      <c r="P436" s="222" t="s">
        <v>212</v>
      </c>
      <c r="Q436" s="222" t="s">
        <v>212</v>
      </c>
      <c r="R436" s="222" t="s">
        <v>212</v>
      </c>
      <c r="S436" s="222" t="s">
        <v>212</v>
      </c>
      <c r="T436" s="531" t="s">
        <v>212</v>
      </c>
      <c r="U436" s="531"/>
      <c r="V436" s="222" t="s">
        <v>212</v>
      </c>
      <c r="W436" s="222" t="s">
        <v>212</v>
      </c>
      <c r="X436" s="531" t="s">
        <v>212</v>
      </c>
      <c r="Y436" s="531"/>
      <c r="Z436" s="222" t="s">
        <v>212</v>
      </c>
      <c r="AA436" s="222" t="s">
        <v>212</v>
      </c>
      <c r="AB436" s="222" t="s">
        <v>212</v>
      </c>
      <c r="AC436" s="215"/>
    </row>
    <row r="437" spans="1:29" ht="13.5" customHeight="1">
      <c r="A437" s="215"/>
      <c r="B437" s="532">
        <v>39293</v>
      </c>
      <c r="C437" s="532"/>
      <c r="D437" s="219" t="s">
        <v>212</v>
      </c>
      <c r="E437" s="224">
        <v>261.10000000000002</v>
      </c>
      <c r="F437" s="533">
        <v>24</v>
      </c>
      <c r="G437" s="533"/>
      <c r="H437" s="224">
        <v>0</v>
      </c>
      <c r="I437" s="533">
        <v>0</v>
      </c>
      <c r="J437" s="533"/>
      <c r="K437" s="224">
        <v>292.3</v>
      </c>
      <c r="L437" s="225">
        <v>24</v>
      </c>
      <c r="M437" s="224">
        <v>0</v>
      </c>
      <c r="N437" s="225">
        <v>0</v>
      </c>
      <c r="O437" s="226">
        <v>553.4</v>
      </c>
      <c r="P437" s="222" t="s">
        <v>212</v>
      </c>
      <c r="Q437" s="224">
        <v>116</v>
      </c>
      <c r="R437" s="225">
        <v>21</v>
      </c>
      <c r="S437" s="224">
        <v>0</v>
      </c>
      <c r="T437" s="533">
        <v>0</v>
      </c>
      <c r="U437" s="533"/>
      <c r="V437" s="224">
        <v>116</v>
      </c>
      <c r="W437" s="222" t="s">
        <v>212</v>
      </c>
      <c r="X437" s="534">
        <v>669.4</v>
      </c>
      <c r="Y437" s="534"/>
      <c r="Z437" s="222" t="s">
        <v>212</v>
      </c>
      <c r="AA437" s="227">
        <v>7867700</v>
      </c>
      <c r="AB437" s="228">
        <v>0</v>
      </c>
      <c r="AC437" s="215"/>
    </row>
    <row r="438" spans="1:29" ht="2.25" customHeight="1">
      <c r="A438" s="215"/>
      <c r="B438" s="529" t="s">
        <v>212</v>
      </c>
      <c r="C438" s="529"/>
      <c r="D438" s="219" t="s">
        <v>212</v>
      </c>
      <c r="E438" s="222" t="s">
        <v>212</v>
      </c>
      <c r="F438" s="531" t="s">
        <v>212</v>
      </c>
      <c r="G438" s="531"/>
      <c r="H438" s="222" t="s">
        <v>212</v>
      </c>
      <c r="I438" s="531" t="s">
        <v>212</v>
      </c>
      <c r="J438" s="531"/>
      <c r="K438" s="222" t="s">
        <v>212</v>
      </c>
      <c r="L438" s="222" t="s">
        <v>212</v>
      </c>
      <c r="M438" s="222" t="s">
        <v>212</v>
      </c>
      <c r="N438" s="222" t="s">
        <v>212</v>
      </c>
      <c r="O438" s="222" t="s">
        <v>212</v>
      </c>
      <c r="P438" s="222" t="s">
        <v>212</v>
      </c>
      <c r="Q438" s="222" t="s">
        <v>212</v>
      </c>
      <c r="R438" s="222" t="s">
        <v>212</v>
      </c>
      <c r="S438" s="222" t="s">
        <v>212</v>
      </c>
      <c r="T438" s="531" t="s">
        <v>212</v>
      </c>
      <c r="U438" s="531"/>
      <c r="V438" s="222" t="s">
        <v>212</v>
      </c>
      <c r="W438" s="222" t="s">
        <v>212</v>
      </c>
      <c r="X438" s="531" t="s">
        <v>212</v>
      </c>
      <c r="Y438" s="531"/>
      <c r="Z438" s="222" t="s">
        <v>212</v>
      </c>
      <c r="AA438" s="222" t="s">
        <v>212</v>
      </c>
      <c r="AB438" s="222" t="s">
        <v>212</v>
      </c>
      <c r="AC438" s="215"/>
    </row>
    <row r="439" spans="1:29" ht="13.5" customHeight="1">
      <c r="A439" s="215"/>
      <c r="B439" s="535">
        <v>39294</v>
      </c>
      <c r="C439" s="535"/>
      <c r="D439" s="219" t="s">
        <v>212</v>
      </c>
      <c r="E439" s="229">
        <v>291.7</v>
      </c>
      <c r="F439" s="536">
        <v>24</v>
      </c>
      <c r="G439" s="536"/>
      <c r="H439" s="229">
        <v>0</v>
      </c>
      <c r="I439" s="536">
        <v>0</v>
      </c>
      <c r="J439" s="536"/>
      <c r="K439" s="229">
        <v>297.8</v>
      </c>
      <c r="L439" s="230">
        <v>24</v>
      </c>
      <c r="M439" s="229">
        <v>0</v>
      </c>
      <c r="N439" s="230">
        <v>0</v>
      </c>
      <c r="O439" s="231">
        <v>589.5</v>
      </c>
      <c r="P439" s="222" t="s">
        <v>212</v>
      </c>
      <c r="Q439" s="229">
        <v>0</v>
      </c>
      <c r="R439" s="230">
        <v>0</v>
      </c>
      <c r="S439" s="229">
        <v>0</v>
      </c>
      <c r="T439" s="536">
        <v>0</v>
      </c>
      <c r="U439" s="536"/>
      <c r="V439" s="229">
        <v>0</v>
      </c>
      <c r="W439" s="222" t="s">
        <v>212</v>
      </c>
      <c r="X439" s="530">
        <v>589.5</v>
      </c>
      <c r="Y439" s="530"/>
      <c r="Z439" s="222" t="s">
        <v>212</v>
      </c>
      <c r="AA439" s="232">
        <v>8167200</v>
      </c>
      <c r="AB439" s="233">
        <v>0</v>
      </c>
      <c r="AC439" s="215"/>
    </row>
    <row r="440" spans="1:29" ht="2.25" customHeight="1">
      <c r="A440" s="215"/>
      <c r="B440" s="529" t="s">
        <v>212</v>
      </c>
      <c r="C440" s="529"/>
      <c r="D440" s="219" t="s">
        <v>212</v>
      </c>
      <c r="E440" s="222" t="s">
        <v>212</v>
      </c>
      <c r="F440" s="531" t="s">
        <v>212</v>
      </c>
      <c r="G440" s="531"/>
      <c r="H440" s="222" t="s">
        <v>212</v>
      </c>
      <c r="I440" s="531" t="s">
        <v>212</v>
      </c>
      <c r="J440" s="531"/>
      <c r="K440" s="222" t="s">
        <v>212</v>
      </c>
      <c r="L440" s="222" t="s">
        <v>212</v>
      </c>
      <c r="M440" s="222" t="s">
        <v>212</v>
      </c>
      <c r="N440" s="222" t="s">
        <v>212</v>
      </c>
      <c r="O440" s="222" t="s">
        <v>212</v>
      </c>
      <c r="P440" s="222" t="s">
        <v>212</v>
      </c>
      <c r="Q440" s="222" t="s">
        <v>212</v>
      </c>
      <c r="R440" s="222" t="s">
        <v>212</v>
      </c>
      <c r="S440" s="222" t="s">
        <v>212</v>
      </c>
      <c r="T440" s="531" t="s">
        <v>212</v>
      </c>
      <c r="U440" s="531"/>
      <c r="V440" s="222" t="s">
        <v>212</v>
      </c>
      <c r="W440" s="222" t="s">
        <v>212</v>
      </c>
      <c r="X440" s="531" t="s">
        <v>212</v>
      </c>
      <c r="Y440" s="531"/>
      <c r="Z440" s="222" t="s">
        <v>212</v>
      </c>
      <c r="AA440" s="222" t="s">
        <v>212</v>
      </c>
      <c r="AB440" s="222" t="s">
        <v>212</v>
      </c>
      <c r="AC440" s="215"/>
    </row>
    <row r="441" spans="1:29" ht="13.5" customHeight="1">
      <c r="A441" s="215"/>
      <c r="B441" s="532">
        <v>39295</v>
      </c>
      <c r="C441" s="532"/>
      <c r="D441" s="219" t="s">
        <v>212</v>
      </c>
      <c r="E441" s="224">
        <v>521.79999999999995</v>
      </c>
      <c r="F441" s="533">
        <v>24</v>
      </c>
      <c r="G441" s="533"/>
      <c r="H441" s="224">
        <v>0</v>
      </c>
      <c r="I441" s="533">
        <v>0</v>
      </c>
      <c r="J441" s="533"/>
      <c r="K441" s="224">
        <v>299.89999999999998</v>
      </c>
      <c r="L441" s="225">
        <v>24</v>
      </c>
      <c r="M441" s="224">
        <v>0</v>
      </c>
      <c r="N441" s="225">
        <v>0</v>
      </c>
      <c r="O441" s="226">
        <v>821.7</v>
      </c>
      <c r="P441" s="222" t="s">
        <v>212</v>
      </c>
      <c r="Q441" s="224">
        <v>0</v>
      </c>
      <c r="R441" s="225">
        <v>0</v>
      </c>
      <c r="S441" s="224">
        <v>0</v>
      </c>
      <c r="T441" s="533">
        <v>0</v>
      </c>
      <c r="U441" s="533"/>
      <c r="V441" s="224">
        <v>0</v>
      </c>
      <c r="W441" s="222" t="s">
        <v>212</v>
      </c>
      <c r="X441" s="534">
        <v>821.7</v>
      </c>
      <c r="Y441" s="534"/>
      <c r="Z441" s="222" t="s">
        <v>212</v>
      </c>
      <c r="AA441" s="227">
        <v>7859600</v>
      </c>
      <c r="AB441" s="228">
        <v>0</v>
      </c>
      <c r="AC441" s="215"/>
    </row>
    <row r="442" spans="1:29" ht="2.25" customHeight="1">
      <c r="A442" s="215"/>
      <c r="B442" s="529" t="s">
        <v>212</v>
      </c>
      <c r="C442" s="529"/>
      <c r="D442" s="219" t="s">
        <v>212</v>
      </c>
      <c r="E442" s="222" t="s">
        <v>212</v>
      </c>
      <c r="F442" s="531" t="s">
        <v>212</v>
      </c>
      <c r="G442" s="531"/>
      <c r="H442" s="222" t="s">
        <v>212</v>
      </c>
      <c r="I442" s="531" t="s">
        <v>212</v>
      </c>
      <c r="J442" s="531"/>
      <c r="K442" s="222" t="s">
        <v>212</v>
      </c>
      <c r="L442" s="222" t="s">
        <v>212</v>
      </c>
      <c r="M442" s="222" t="s">
        <v>212</v>
      </c>
      <c r="N442" s="222" t="s">
        <v>212</v>
      </c>
      <c r="O442" s="222" t="s">
        <v>212</v>
      </c>
      <c r="P442" s="222" t="s">
        <v>212</v>
      </c>
      <c r="Q442" s="222" t="s">
        <v>212</v>
      </c>
      <c r="R442" s="222" t="s">
        <v>212</v>
      </c>
      <c r="S442" s="222" t="s">
        <v>212</v>
      </c>
      <c r="T442" s="531" t="s">
        <v>212</v>
      </c>
      <c r="U442" s="531"/>
      <c r="V442" s="222" t="s">
        <v>212</v>
      </c>
      <c r="W442" s="222" t="s">
        <v>212</v>
      </c>
      <c r="X442" s="531" t="s">
        <v>212</v>
      </c>
      <c r="Y442" s="531"/>
      <c r="Z442" s="222" t="s">
        <v>212</v>
      </c>
      <c r="AA442" s="222" t="s">
        <v>212</v>
      </c>
      <c r="AB442" s="222" t="s">
        <v>212</v>
      </c>
      <c r="AC442" s="215"/>
    </row>
    <row r="443" spans="1:29" ht="13.5" customHeight="1">
      <c r="A443" s="215"/>
      <c r="B443" s="535">
        <v>39296</v>
      </c>
      <c r="C443" s="535"/>
      <c r="D443" s="219" t="s">
        <v>212</v>
      </c>
      <c r="E443" s="229">
        <v>263</v>
      </c>
      <c r="F443" s="536">
        <v>24</v>
      </c>
      <c r="G443" s="536"/>
      <c r="H443" s="229">
        <v>0</v>
      </c>
      <c r="I443" s="536">
        <v>0</v>
      </c>
      <c r="J443" s="536"/>
      <c r="K443" s="229">
        <v>295.3</v>
      </c>
      <c r="L443" s="230">
        <v>24</v>
      </c>
      <c r="M443" s="229">
        <v>0</v>
      </c>
      <c r="N443" s="230">
        <v>0</v>
      </c>
      <c r="O443" s="231">
        <v>558.29999999999995</v>
      </c>
      <c r="P443" s="222" t="s">
        <v>212</v>
      </c>
      <c r="Q443" s="229">
        <v>0</v>
      </c>
      <c r="R443" s="230">
        <v>0</v>
      </c>
      <c r="S443" s="229">
        <v>0</v>
      </c>
      <c r="T443" s="536">
        <v>0</v>
      </c>
      <c r="U443" s="536"/>
      <c r="V443" s="229">
        <v>0</v>
      </c>
      <c r="W443" s="222" t="s">
        <v>212</v>
      </c>
      <c r="X443" s="530">
        <v>558.29999999999995</v>
      </c>
      <c r="Y443" s="530"/>
      <c r="Z443" s="222" t="s">
        <v>212</v>
      </c>
      <c r="AA443" s="232">
        <v>7969600</v>
      </c>
      <c r="AB443" s="233">
        <v>0</v>
      </c>
      <c r="AC443" s="215"/>
    </row>
    <row r="444" spans="1:29" ht="2.25" customHeight="1">
      <c r="A444" s="215"/>
      <c r="B444" s="529" t="s">
        <v>212</v>
      </c>
      <c r="C444" s="529"/>
      <c r="D444" s="219" t="s">
        <v>212</v>
      </c>
      <c r="E444" s="222" t="s">
        <v>212</v>
      </c>
      <c r="F444" s="531" t="s">
        <v>212</v>
      </c>
      <c r="G444" s="531"/>
      <c r="H444" s="222" t="s">
        <v>212</v>
      </c>
      <c r="I444" s="531" t="s">
        <v>212</v>
      </c>
      <c r="J444" s="531"/>
      <c r="K444" s="222" t="s">
        <v>212</v>
      </c>
      <c r="L444" s="222" t="s">
        <v>212</v>
      </c>
      <c r="M444" s="222" t="s">
        <v>212</v>
      </c>
      <c r="N444" s="222" t="s">
        <v>212</v>
      </c>
      <c r="O444" s="222" t="s">
        <v>212</v>
      </c>
      <c r="P444" s="222" t="s">
        <v>212</v>
      </c>
      <c r="Q444" s="222" t="s">
        <v>212</v>
      </c>
      <c r="R444" s="222" t="s">
        <v>212</v>
      </c>
      <c r="S444" s="222" t="s">
        <v>212</v>
      </c>
      <c r="T444" s="531" t="s">
        <v>212</v>
      </c>
      <c r="U444" s="531"/>
      <c r="V444" s="222" t="s">
        <v>212</v>
      </c>
      <c r="W444" s="222" t="s">
        <v>212</v>
      </c>
      <c r="X444" s="531" t="s">
        <v>212</v>
      </c>
      <c r="Y444" s="531"/>
      <c r="Z444" s="222" t="s">
        <v>212</v>
      </c>
      <c r="AA444" s="222" t="s">
        <v>212</v>
      </c>
      <c r="AB444" s="222" t="s">
        <v>212</v>
      </c>
      <c r="AC444" s="215"/>
    </row>
    <row r="445" spans="1:29" ht="13.5" customHeight="1">
      <c r="A445" s="215"/>
      <c r="B445" s="532">
        <v>39297</v>
      </c>
      <c r="C445" s="532"/>
      <c r="D445" s="219" t="s">
        <v>212</v>
      </c>
      <c r="E445" s="224">
        <v>281</v>
      </c>
      <c r="F445" s="533">
        <v>24</v>
      </c>
      <c r="G445" s="533"/>
      <c r="H445" s="224">
        <v>0</v>
      </c>
      <c r="I445" s="533">
        <v>0</v>
      </c>
      <c r="J445" s="533"/>
      <c r="K445" s="224">
        <v>312</v>
      </c>
      <c r="L445" s="225">
        <v>24</v>
      </c>
      <c r="M445" s="224">
        <v>0</v>
      </c>
      <c r="N445" s="225">
        <v>0</v>
      </c>
      <c r="O445" s="226">
        <v>593</v>
      </c>
      <c r="P445" s="222" t="s">
        <v>212</v>
      </c>
      <c r="Q445" s="224">
        <v>0</v>
      </c>
      <c r="R445" s="225">
        <v>0</v>
      </c>
      <c r="S445" s="224">
        <v>0</v>
      </c>
      <c r="T445" s="533">
        <v>0</v>
      </c>
      <c r="U445" s="533"/>
      <c r="V445" s="224">
        <v>0</v>
      </c>
      <c r="W445" s="222" t="s">
        <v>212</v>
      </c>
      <c r="X445" s="534">
        <v>593</v>
      </c>
      <c r="Y445" s="534"/>
      <c r="Z445" s="222" t="s">
        <v>212</v>
      </c>
      <c r="AA445" s="227">
        <v>8636800</v>
      </c>
      <c r="AB445" s="228">
        <v>0</v>
      </c>
      <c r="AC445" s="215"/>
    </row>
    <row r="446" spans="1:29" ht="2.25" customHeight="1">
      <c r="A446" s="215"/>
      <c r="B446" s="529" t="s">
        <v>212</v>
      </c>
      <c r="C446" s="529"/>
      <c r="D446" s="219" t="s">
        <v>212</v>
      </c>
      <c r="E446" s="222" t="s">
        <v>212</v>
      </c>
      <c r="F446" s="531" t="s">
        <v>212</v>
      </c>
      <c r="G446" s="531"/>
      <c r="H446" s="222" t="s">
        <v>212</v>
      </c>
      <c r="I446" s="531" t="s">
        <v>212</v>
      </c>
      <c r="J446" s="531"/>
      <c r="K446" s="222" t="s">
        <v>212</v>
      </c>
      <c r="L446" s="222" t="s">
        <v>212</v>
      </c>
      <c r="M446" s="222" t="s">
        <v>212</v>
      </c>
      <c r="N446" s="222" t="s">
        <v>212</v>
      </c>
      <c r="O446" s="222" t="s">
        <v>212</v>
      </c>
      <c r="P446" s="222" t="s">
        <v>212</v>
      </c>
      <c r="Q446" s="222" t="s">
        <v>212</v>
      </c>
      <c r="R446" s="222" t="s">
        <v>212</v>
      </c>
      <c r="S446" s="222" t="s">
        <v>212</v>
      </c>
      <c r="T446" s="531" t="s">
        <v>212</v>
      </c>
      <c r="U446" s="531"/>
      <c r="V446" s="222" t="s">
        <v>212</v>
      </c>
      <c r="W446" s="222" t="s">
        <v>212</v>
      </c>
      <c r="X446" s="531" t="s">
        <v>212</v>
      </c>
      <c r="Y446" s="531"/>
      <c r="Z446" s="222" t="s">
        <v>212</v>
      </c>
      <c r="AA446" s="222" t="s">
        <v>212</v>
      </c>
      <c r="AB446" s="222" t="s">
        <v>212</v>
      </c>
      <c r="AC446" s="215"/>
    </row>
    <row r="447" spans="1:29" ht="13.5" customHeight="1">
      <c r="A447" s="215"/>
      <c r="B447" s="535">
        <v>39298</v>
      </c>
      <c r="C447" s="535"/>
      <c r="D447" s="219" t="s">
        <v>212</v>
      </c>
      <c r="E447" s="229">
        <v>298.10000000000002</v>
      </c>
      <c r="F447" s="536">
        <v>24</v>
      </c>
      <c r="G447" s="536"/>
      <c r="H447" s="229">
        <v>0</v>
      </c>
      <c r="I447" s="536">
        <v>0</v>
      </c>
      <c r="J447" s="536"/>
      <c r="K447" s="229">
        <v>325.60000000000002</v>
      </c>
      <c r="L447" s="230">
        <v>24</v>
      </c>
      <c r="M447" s="229">
        <v>0</v>
      </c>
      <c r="N447" s="230">
        <v>0</v>
      </c>
      <c r="O447" s="231">
        <v>623.70000000000005</v>
      </c>
      <c r="P447" s="222" t="s">
        <v>212</v>
      </c>
      <c r="Q447" s="229">
        <v>0</v>
      </c>
      <c r="R447" s="230">
        <v>0</v>
      </c>
      <c r="S447" s="229">
        <v>0</v>
      </c>
      <c r="T447" s="536">
        <v>0</v>
      </c>
      <c r="U447" s="536"/>
      <c r="V447" s="229">
        <v>0</v>
      </c>
      <c r="W447" s="222" t="s">
        <v>212</v>
      </c>
      <c r="X447" s="530">
        <v>623.70000000000005</v>
      </c>
      <c r="Y447" s="530"/>
      <c r="Z447" s="222" t="s">
        <v>212</v>
      </c>
      <c r="AA447" s="232">
        <v>8403200</v>
      </c>
      <c r="AB447" s="233">
        <v>0</v>
      </c>
      <c r="AC447" s="215"/>
    </row>
    <row r="448" spans="1:29" ht="2.25" customHeight="1">
      <c r="A448" s="215"/>
      <c r="B448" s="529" t="s">
        <v>212</v>
      </c>
      <c r="C448" s="529"/>
      <c r="D448" s="219" t="s">
        <v>212</v>
      </c>
      <c r="E448" s="222" t="s">
        <v>212</v>
      </c>
      <c r="F448" s="531" t="s">
        <v>212</v>
      </c>
      <c r="G448" s="531"/>
      <c r="H448" s="222" t="s">
        <v>212</v>
      </c>
      <c r="I448" s="531" t="s">
        <v>212</v>
      </c>
      <c r="J448" s="531"/>
      <c r="K448" s="222" t="s">
        <v>212</v>
      </c>
      <c r="L448" s="222" t="s">
        <v>212</v>
      </c>
      <c r="M448" s="222" t="s">
        <v>212</v>
      </c>
      <c r="N448" s="222" t="s">
        <v>212</v>
      </c>
      <c r="O448" s="222" t="s">
        <v>212</v>
      </c>
      <c r="P448" s="222" t="s">
        <v>212</v>
      </c>
      <c r="Q448" s="222" t="s">
        <v>212</v>
      </c>
      <c r="R448" s="222" t="s">
        <v>212</v>
      </c>
      <c r="S448" s="222" t="s">
        <v>212</v>
      </c>
      <c r="T448" s="531" t="s">
        <v>212</v>
      </c>
      <c r="U448" s="531"/>
      <c r="V448" s="222" t="s">
        <v>212</v>
      </c>
      <c r="W448" s="222" t="s">
        <v>212</v>
      </c>
      <c r="X448" s="531" t="s">
        <v>212</v>
      </c>
      <c r="Y448" s="531"/>
      <c r="Z448" s="222" t="s">
        <v>212</v>
      </c>
      <c r="AA448" s="222" t="s">
        <v>212</v>
      </c>
      <c r="AB448" s="222" t="s">
        <v>212</v>
      </c>
      <c r="AC448" s="215"/>
    </row>
    <row r="449" spans="1:29" ht="13.5" customHeight="1">
      <c r="A449" s="215"/>
      <c r="B449" s="532">
        <v>39299</v>
      </c>
      <c r="C449" s="532"/>
      <c r="D449" s="219" t="s">
        <v>212</v>
      </c>
      <c r="E449" s="224">
        <v>310.7</v>
      </c>
      <c r="F449" s="533">
        <v>24</v>
      </c>
      <c r="G449" s="533"/>
      <c r="H449" s="224">
        <v>0</v>
      </c>
      <c r="I449" s="533">
        <v>0</v>
      </c>
      <c r="J449" s="533"/>
      <c r="K449" s="224">
        <v>339.1</v>
      </c>
      <c r="L449" s="225">
        <v>24</v>
      </c>
      <c r="M449" s="224">
        <v>0</v>
      </c>
      <c r="N449" s="225">
        <v>0</v>
      </c>
      <c r="O449" s="226">
        <v>649.79999999999995</v>
      </c>
      <c r="P449" s="222" t="s">
        <v>212</v>
      </c>
      <c r="Q449" s="224">
        <v>0</v>
      </c>
      <c r="R449" s="225">
        <v>0</v>
      </c>
      <c r="S449" s="224">
        <v>0</v>
      </c>
      <c r="T449" s="533">
        <v>0</v>
      </c>
      <c r="U449" s="533"/>
      <c r="V449" s="224">
        <v>0</v>
      </c>
      <c r="W449" s="222" t="s">
        <v>212</v>
      </c>
      <c r="X449" s="534">
        <v>649.79999999999995</v>
      </c>
      <c r="Y449" s="534"/>
      <c r="Z449" s="222" t="s">
        <v>212</v>
      </c>
      <c r="AA449" s="227">
        <v>8632700</v>
      </c>
      <c r="AB449" s="228">
        <v>0</v>
      </c>
      <c r="AC449" s="215"/>
    </row>
    <row r="450" spans="1:29" ht="2.25" customHeight="1">
      <c r="A450" s="215"/>
      <c r="B450" s="529" t="s">
        <v>212</v>
      </c>
      <c r="C450" s="529"/>
      <c r="D450" s="219" t="s">
        <v>212</v>
      </c>
      <c r="E450" s="222" t="s">
        <v>212</v>
      </c>
      <c r="F450" s="531" t="s">
        <v>212</v>
      </c>
      <c r="G450" s="531"/>
      <c r="H450" s="222" t="s">
        <v>212</v>
      </c>
      <c r="I450" s="531" t="s">
        <v>212</v>
      </c>
      <c r="J450" s="531"/>
      <c r="K450" s="222" t="s">
        <v>212</v>
      </c>
      <c r="L450" s="222" t="s">
        <v>212</v>
      </c>
      <c r="M450" s="222" t="s">
        <v>212</v>
      </c>
      <c r="N450" s="222" t="s">
        <v>212</v>
      </c>
      <c r="O450" s="222" t="s">
        <v>212</v>
      </c>
      <c r="P450" s="222" t="s">
        <v>212</v>
      </c>
      <c r="Q450" s="222" t="s">
        <v>212</v>
      </c>
      <c r="R450" s="222" t="s">
        <v>212</v>
      </c>
      <c r="S450" s="222" t="s">
        <v>212</v>
      </c>
      <c r="T450" s="531" t="s">
        <v>212</v>
      </c>
      <c r="U450" s="531"/>
      <c r="V450" s="222" t="s">
        <v>212</v>
      </c>
      <c r="W450" s="222" t="s">
        <v>212</v>
      </c>
      <c r="X450" s="531" t="s">
        <v>212</v>
      </c>
      <c r="Y450" s="531"/>
      <c r="Z450" s="222" t="s">
        <v>212</v>
      </c>
      <c r="AA450" s="222" t="s">
        <v>212</v>
      </c>
      <c r="AB450" s="222" t="s">
        <v>212</v>
      </c>
      <c r="AC450" s="215"/>
    </row>
    <row r="451" spans="1:29" ht="13.5" customHeight="1">
      <c r="A451" s="215"/>
      <c r="B451" s="535">
        <v>39300</v>
      </c>
      <c r="C451" s="535"/>
      <c r="D451" s="219" t="s">
        <v>212</v>
      </c>
      <c r="E451" s="229">
        <v>306.10000000000002</v>
      </c>
      <c r="F451" s="536">
        <v>24</v>
      </c>
      <c r="G451" s="536"/>
      <c r="H451" s="229">
        <v>0</v>
      </c>
      <c r="I451" s="536">
        <v>0</v>
      </c>
      <c r="J451" s="536"/>
      <c r="K451" s="229">
        <v>328.5</v>
      </c>
      <c r="L451" s="230">
        <v>24</v>
      </c>
      <c r="M451" s="229">
        <v>0</v>
      </c>
      <c r="N451" s="230">
        <v>0</v>
      </c>
      <c r="O451" s="231">
        <v>634.6</v>
      </c>
      <c r="P451" s="222" t="s">
        <v>212</v>
      </c>
      <c r="Q451" s="229">
        <v>47</v>
      </c>
      <c r="R451" s="230">
        <v>13</v>
      </c>
      <c r="S451" s="229">
        <v>0</v>
      </c>
      <c r="T451" s="536">
        <v>0</v>
      </c>
      <c r="U451" s="536"/>
      <c r="V451" s="229">
        <v>47</v>
      </c>
      <c r="W451" s="222" t="s">
        <v>212</v>
      </c>
      <c r="X451" s="530">
        <v>681.6</v>
      </c>
      <c r="Y451" s="530"/>
      <c r="Z451" s="222" t="s">
        <v>212</v>
      </c>
      <c r="AA451" s="232">
        <v>8535400</v>
      </c>
      <c r="AB451" s="233">
        <v>0</v>
      </c>
      <c r="AC451" s="215"/>
    </row>
    <row r="452" spans="1:29" ht="2.25" customHeight="1">
      <c r="A452" s="215"/>
      <c r="B452" s="529" t="s">
        <v>212</v>
      </c>
      <c r="C452" s="529"/>
      <c r="D452" s="219" t="s">
        <v>212</v>
      </c>
      <c r="E452" s="222" t="s">
        <v>212</v>
      </c>
      <c r="F452" s="531" t="s">
        <v>212</v>
      </c>
      <c r="G452" s="531"/>
      <c r="H452" s="222" t="s">
        <v>212</v>
      </c>
      <c r="I452" s="531" t="s">
        <v>212</v>
      </c>
      <c r="J452" s="531"/>
      <c r="K452" s="222" t="s">
        <v>212</v>
      </c>
      <c r="L452" s="222" t="s">
        <v>212</v>
      </c>
      <c r="M452" s="222" t="s">
        <v>212</v>
      </c>
      <c r="N452" s="222" t="s">
        <v>212</v>
      </c>
      <c r="O452" s="222" t="s">
        <v>212</v>
      </c>
      <c r="P452" s="222" t="s">
        <v>212</v>
      </c>
      <c r="Q452" s="222" t="s">
        <v>212</v>
      </c>
      <c r="R452" s="222" t="s">
        <v>212</v>
      </c>
      <c r="S452" s="222" t="s">
        <v>212</v>
      </c>
      <c r="T452" s="531" t="s">
        <v>212</v>
      </c>
      <c r="U452" s="531"/>
      <c r="V452" s="222" t="s">
        <v>212</v>
      </c>
      <c r="W452" s="222" t="s">
        <v>212</v>
      </c>
      <c r="X452" s="531" t="s">
        <v>212</v>
      </c>
      <c r="Y452" s="531"/>
      <c r="Z452" s="222" t="s">
        <v>212</v>
      </c>
      <c r="AA452" s="222" t="s">
        <v>212</v>
      </c>
      <c r="AB452" s="222" t="s">
        <v>212</v>
      </c>
      <c r="AC452" s="215"/>
    </row>
    <row r="453" spans="1:29" ht="13.5" customHeight="1">
      <c r="A453" s="215"/>
      <c r="B453" s="532">
        <v>39301</v>
      </c>
      <c r="C453" s="532"/>
      <c r="D453" s="219" t="s">
        <v>212</v>
      </c>
      <c r="E453" s="224">
        <v>295.7</v>
      </c>
      <c r="F453" s="533">
        <v>24</v>
      </c>
      <c r="G453" s="533"/>
      <c r="H453" s="224">
        <v>0</v>
      </c>
      <c r="I453" s="533">
        <v>0</v>
      </c>
      <c r="J453" s="533"/>
      <c r="K453" s="224">
        <v>318.89999999999998</v>
      </c>
      <c r="L453" s="225">
        <v>24</v>
      </c>
      <c r="M453" s="224">
        <v>0</v>
      </c>
      <c r="N453" s="225">
        <v>0</v>
      </c>
      <c r="O453" s="226">
        <v>614.6</v>
      </c>
      <c r="P453" s="222" t="s">
        <v>212</v>
      </c>
      <c r="Q453" s="224">
        <v>0</v>
      </c>
      <c r="R453" s="225">
        <v>0</v>
      </c>
      <c r="S453" s="224">
        <v>0</v>
      </c>
      <c r="T453" s="533">
        <v>0</v>
      </c>
      <c r="U453" s="533"/>
      <c r="V453" s="224">
        <v>0</v>
      </c>
      <c r="W453" s="222" t="s">
        <v>212</v>
      </c>
      <c r="X453" s="534">
        <v>614.6</v>
      </c>
      <c r="Y453" s="534"/>
      <c r="Z453" s="222" t="s">
        <v>212</v>
      </c>
      <c r="AA453" s="227">
        <v>8205300</v>
      </c>
      <c r="AB453" s="228">
        <v>0</v>
      </c>
      <c r="AC453" s="215"/>
    </row>
    <row r="454" spans="1:29" ht="2.25" customHeight="1">
      <c r="A454" s="215"/>
      <c r="B454" s="529" t="s">
        <v>212</v>
      </c>
      <c r="C454" s="529"/>
      <c r="D454" s="219" t="s">
        <v>212</v>
      </c>
      <c r="E454" s="222" t="s">
        <v>212</v>
      </c>
      <c r="F454" s="531" t="s">
        <v>212</v>
      </c>
      <c r="G454" s="531"/>
      <c r="H454" s="222" t="s">
        <v>212</v>
      </c>
      <c r="I454" s="531" t="s">
        <v>212</v>
      </c>
      <c r="J454" s="531"/>
      <c r="K454" s="222" t="s">
        <v>212</v>
      </c>
      <c r="L454" s="222" t="s">
        <v>212</v>
      </c>
      <c r="M454" s="222" t="s">
        <v>212</v>
      </c>
      <c r="N454" s="222" t="s">
        <v>212</v>
      </c>
      <c r="O454" s="222" t="s">
        <v>212</v>
      </c>
      <c r="P454" s="222" t="s">
        <v>212</v>
      </c>
      <c r="Q454" s="222" t="s">
        <v>212</v>
      </c>
      <c r="R454" s="222" t="s">
        <v>212</v>
      </c>
      <c r="S454" s="222" t="s">
        <v>212</v>
      </c>
      <c r="T454" s="531" t="s">
        <v>212</v>
      </c>
      <c r="U454" s="531"/>
      <c r="V454" s="222" t="s">
        <v>212</v>
      </c>
      <c r="W454" s="222" t="s">
        <v>212</v>
      </c>
      <c r="X454" s="531" t="s">
        <v>212</v>
      </c>
      <c r="Y454" s="531"/>
      <c r="Z454" s="222" t="s">
        <v>212</v>
      </c>
      <c r="AA454" s="222" t="s">
        <v>212</v>
      </c>
      <c r="AB454" s="222" t="s">
        <v>212</v>
      </c>
      <c r="AC454" s="215"/>
    </row>
    <row r="455" spans="1:29" ht="13.5" customHeight="1">
      <c r="A455" s="215"/>
      <c r="B455" s="535">
        <v>39302</v>
      </c>
      <c r="C455" s="535"/>
      <c r="D455" s="219" t="s">
        <v>212</v>
      </c>
      <c r="E455" s="229">
        <v>198.8</v>
      </c>
      <c r="F455" s="536">
        <v>24</v>
      </c>
      <c r="G455" s="536"/>
      <c r="H455" s="229">
        <v>0</v>
      </c>
      <c r="I455" s="536">
        <v>0</v>
      </c>
      <c r="J455" s="536"/>
      <c r="K455" s="229">
        <v>223.7</v>
      </c>
      <c r="L455" s="230">
        <v>24</v>
      </c>
      <c r="M455" s="229">
        <v>0</v>
      </c>
      <c r="N455" s="230">
        <v>0</v>
      </c>
      <c r="O455" s="231">
        <v>422.5</v>
      </c>
      <c r="P455" s="222" t="s">
        <v>212</v>
      </c>
      <c r="Q455" s="229">
        <v>0</v>
      </c>
      <c r="R455" s="230">
        <v>0</v>
      </c>
      <c r="S455" s="229">
        <v>0</v>
      </c>
      <c r="T455" s="536">
        <v>0</v>
      </c>
      <c r="U455" s="536"/>
      <c r="V455" s="229">
        <v>0</v>
      </c>
      <c r="W455" s="222" t="s">
        <v>212</v>
      </c>
      <c r="X455" s="530">
        <v>422.5</v>
      </c>
      <c r="Y455" s="530"/>
      <c r="Z455" s="222" t="s">
        <v>212</v>
      </c>
      <c r="AA455" s="232">
        <v>6922100</v>
      </c>
      <c r="AB455" s="233">
        <v>0</v>
      </c>
      <c r="AC455" s="215"/>
    </row>
    <row r="456" spans="1:29" ht="2.25" customHeight="1">
      <c r="A456" s="215"/>
      <c r="B456" s="529" t="s">
        <v>212</v>
      </c>
      <c r="C456" s="529"/>
      <c r="D456" s="219" t="s">
        <v>212</v>
      </c>
      <c r="E456" s="222" t="s">
        <v>212</v>
      </c>
      <c r="F456" s="531" t="s">
        <v>212</v>
      </c>
      <c r="G456" s="531"/>
      <c r="H456" s="222" t="s">
        <v>212</v>
      </c>
      <c r="I456" s="531" t="s">
        <v>212</v>
      </c>
      <c r="J456" s="531"/>
      <c r="K456" s="222" t="s">
        <v>212</v>
      </c>
      <c r="L456" s="222" t="s">
        <v>212</v>
      </c>
      <c r="M456" s="222" t="s">
        <v>212</v>
      </c>
      <c r="N456" s="222" t="s">
        <v>212</v>
      </c>
      <c r="O456" s="222" t="s">
        <v>212</v>
      </c>
      <c r="P456" s="222" t="s">
        <v>212</v>
      </c>
      <c r="Q456" s="222" t="s">
        <v>212</v>
      </c>
      <c r="R456" s="222" t="s">
        <v>212</v>
      </c>
      <c r="S456" s="222" t="s">
        <v>212</v>
      </c>
      <c r="T456" s="531" t="s">
        <v>212</v>
      </c>
      <c r="U456" s="531"/>
      <c r="V456" s="222" t="s">
        <v>212</v>
      </c>
      <c r="W456" s="222" t="s">
        <v>212</v>
      </c>
      <c r="X456" s="531" t="s">
        <v>212</v>
      </c>
      <c r="Y456" s="531"/>
      <c r="Z456" s="222" t="s">
        <v>212</v>
      </c>
      <c r="AA456" s="222" t="s">
        <v>212</v>
      </c>
      <c r="AB456" s="222" t="s">
        <v>212</v>
      </c>
      <c r="AC456" s="215"/>
    </row>
    <row r="457" spans="1:29" ht="13.5" customHeight="1">
      <c r="A457" s="215"/>
      <c r="B457" s="532">
        <v>39303</v>
      </c>
      <c r="C457" s="532"/>
      <c r="D457" s="219" t="s">
        <v>212</v>
      </c>
      <c r="E457" s="224">
        <v>258</v>
      </c>
      <c r="F457" s="533">
        <v>24</v>
      </c>
      <c r="G457" s="533"/>
      <c r="H457" s="224">
        <v>0</v>
      </c>
      <c r="I457" s="533">
        <v>0</v>
      </c>
      <c r="J457" s="533"/>
      <c r="K457" s="224">
        <v>287.7</v>
      </c>
      <c r="L457" s="225">
        <v>24</v>
      </c>
      <c r="M457" s="224">
        <v>0</v>
      </c>
      <c r="N457" s="225">
        <v>0</v>
      </c>
      <c r="O457" s="226">
        <v>545.70000000000005</v>
      </c>
      <c r="P457" s="222" t="s">
        <v>212</v>
      </c>
      <c r="Q457" s="224">
        <v>16</v>
      </c>
      <c r="R457" s="225">
        <v>5</v>
      </c>
      <c r="S457" s="224">
        <v>0</v>
      </c>
      <c r="T457" s="533">
        <v>0</v>
      </c>
      <c r="U457" s="533"/>
      <c r="V457" s="224">
        <v>16</v>
      </c>
      <c r="W457" s="222" t="s">
        <v>212</v>
      </c>
      <c r="X457" s="534">
        <v>561.70000000000005</v>
      </c>
      <c r="Y457" s="534"/>
      <c r="Z457" s="222" t="s">
        <v>212</v>
      </c>
      <c r="AA457" s="227">
        <v>7986500</v>
      </c>
      <c r="AB457" s="228">
        <v>0</v>
      </c>
      <c r="AC457" s="215"/>
    </row>
    <row r="458" spans="1:29" ht="2.25" customHeight="1">
      <c r="A458" s="215"/>
      <c r="B458" s="529" t="s">
        <v>212</v>
      </c>
      <c r="C458" s="529"/>
      <c r="D458" s="219" t="s">
        <v>212</v>
      </c>
      <c r="E458" s="222" t="s">
        <v>212</v>
      </c>
      <c r="F458" s="531" t="s">
        <v>212</v>
      </c>
      <c r="G458" s="531"/>
      <c r="H458" s="222" t="s">
        <v>212</v>
      </c>
      <c r="I458" s="531" t="s">
        <v>212</v>
      </c>
      <c r="J458" s="531"/>
      <c r="K458" s="222" t="s">
        <v>212</v>
      </c>
      <c r="L458" s="222" t="s">
        <v>212</v>
      </c>
      <c r="M458" s="222" t="s">
        <v>212</v>
      </c>
      <c r="N458" s="222" t="s">
        <v>212</v>
      </c>
      <c r="O458" s="222" t="s">
        <v>212</v>
      </c>
      <c r="P458" s="222" t="s">
        <v>212</v>
      </c>
      <c r="Q458" s="222" t="s">
        <v>212</v>
      </c>
      <c r="R458" s="222" t="s">
        <v>212</v>
      </c>
      <c r="S458" s="222" t="s">
        <v>212</v>
      </c>
      <c r="T458" s="531" t="s">
        <v>212</v>
      </c>
      <c r="U458" s="531"/>
      <c r="V458" s="222" t="s">
        <v>212</v>
      </c>
      <c r="W458" s="222" t="s">
        <v>212</v>
      </c>
      <c r="X458" s="531" t="s">
        <v>212</v>
      </c>
      <c r="Y458" s="531"/>
      <c r="Z458" s="222" t="s">
        <v>212</v>
      </c>
      <c r="AA458" s="222" t="s">
        <v>212</v>
      </c>
      <c r="AB458" s="222" t="s">
        <v>212</v>
      </c>
      <c r="AC458" s="215"/>
    </row>
    <row r="459" spans="1:29" ht="13.5" customHeight="1">
      <c r="A459" s="215"/>
      <c r="B459" s="535">
        <v>39304</v>
      </c>
      <c r="C459" s="535"/>
      <c r="D459" s="219" t="s">
        <v>212</v>
      </c>
      <c r="E459" s="229">
        <v>297</v>
      </c>
      <c r="F459" s="536">
        <v>24</v>
      </c>
      <c r="G459" s="536"/>
      <c r="H459" s="229">
        <v>0</v>
      </c>
      <c r="I459" s="536">
        <v>2</v>
      </c>
      <c r="J459" s="536"/>
      <c r="K459" s="229">
        <v>317.5</v>
      </c>
      <c r="L459" s="230">
        <v>24</v>
      </c>
      <c r="M459" s="229">
        <v>0</v>
      </c>
      <c r="N459" s="230">
        <v>0</v>
      </c>
      <c r="O459" s="231">
        <v>614.5</v>
      </c>
      <c r="P459" s="222" t="s">
        <v>212</v>
      </c>
      <c r="Q459" s="229">
        <v>77</v>
      </c>
      <c r="R459" s="230">
        <v>23</v>
      </c>
      <c r="S459" s="229">
        <v>0</v>
      </c>
      <c r="T459" s="536">
        <v>0</v>
      </c>
      <c r="U459" s="536"/>
      <c r="V459" s="229">
        <v>77</v>
      </c>
      <c r="W459" s="222" t="s">
        <v>212</v>
      </c>
      <c r="X459" s="530">
        <v>691.5</v>
      </c>
      <c r="Y459" s="530"/>
      <c r="Z459" s="222" t="s">
        <v>212</v>
      </c>
      <c r="AA459" s="232">
        <v>8372800</v>
      </c>
      <c r="AB459" s="233">
        <v>3032</v>
      </c>
      <c r="AC459" s="215"/>
    </row>
    <row r="460" spans="1:29" ht="2.25" customHeight="1">
      <c r="A460" s="215"/>
      <c r="B460" s="529" t="s">
        <v>212</v>
      </c>
      <c r="C460" s="529"/>
      <c r="D460" s="219" t="s">
        <v>212</v>
      </c>
      <c r="E460" s="222" t="s">
        <v>212</v>
      </c>
      <c r="F460" s="531" t="s">
        <v>212</v>
      </c>
      <c r="G460" s="531"/>
      <c r="H460" s="222" t="s">
        <v>212</v>
      </c>
      <c r="I460" s="531" t="s">
        <v>212</v>
      </c>
      <c r="J460" s="531"/>
      <c r="K460" s="222" t="s">
        <v>212</v>
      </c>
      <c r="L460" s="222" t="s">
        <v>212</v>
      </c>
      <c r="M460" s="222" t="s">
        <v>212</v>
      </c>
      <c r="N460" s="222" t="s">
        <v>212</v>
      </c>
      <c r="O460" s="222" t="s">
        <v>212</v>
      </c>
      <c r="P460" s="222" t="s">
        <v>212</v>
      </c>
      <c r="Q460" s="222" t="s">
        <v>212</v>
      </c>
      <c r="R460" s="222" t="s">
        <v>212</v>
      </c>
      <c r="S460" s="222" t="s">
        <v>212</v>
      </c>
      <c r="T460" s="531" t="s">
        <v>212</v>
      </c>
      <c r="U460" s="531"/>
      <c r="V460" s="222" t="s">
        <v>212</v>
      </c>
      <c r="W460" s="222" t="s">
        <v>212</v>
      </c>
      <c r="X460" s="531" t="s">
        <v>212</v>
      </c>
      <c r="Y460" s="531"/>
      <c r="Z460" s="222" t="s">
        <v>212</v>
      </c>
      <c r="AA460" s="222" t="s">
        <v>212</v>
      </c>
      <c r="AB460" s="222" t="s">
        <v>212</v>
      </c>
      <c r="AC460" s="215"/>
    </row>
    <row r="461" spans="1:29" ht="13.5" customHeight="1">
      <c r="A461" s="215"/>
      <c r="B461" s="532">
        <v>39305</v>
      </c>
      <c r="C461" s="532"/>
      <c r="D461" s="219" t="s">
        <v>212</v>
      </c>
      <c r="E461" s="224">
        <v>293.8</v>
      </c>
      <c r="F461" s="533">
        <v>24</v>
      </c>
      <c r="G461" s="533"/>
      <c r="H461" s="224">
        <v>0</v>
      </c>
      <c r="I461" s="533">
        <v>0</v>
      </c>
      <c r="J461" s="533"/>
      <c r="K461" s="224">
        <v>311.10000000000002</v>
      </c>
      <c r="L461" s="225">
        <v>24</v>
      </c>
      <c r="M461" s="224">
        <v>0</v>
      </c>
      <c r="N461" s="225">
        <v>0</v>
      </c>
      <c r="O461" s="226">
        <v>604.9</v>
      </c>
      <c r="P461" s="222" t="s">
        <v>212</v>
      </c>
      <c r="Q461" s="224">
        <v>95</v>
      </c>
      <c r="R461" s="225">
        <v>24</v>
      </c>
      <c r="S461" s="224">
        <v>0</v>
      </c>
      <c r="T461" s="533">
        <v>0</v>
      </c>
      <c r="U461" s="533"/>
      <c r="V461" s="224">
        <v>95</v>
      </c>
      <c r="W461" s="222" t="s">
        <v>212</v>
      </c>
      <c r="X461" s="534">
        <v>699.9</v>
      </c>
      <c r="Y461" s="534"/>
      <c r="Z461" s="222" t="s">
        <v>212</v>
      </c>
      <c r="AA461" s="227">
        <v>8376300</v>
      </c>
      <c r="AB461" s="228">
        <v>2513</v>
      </c>
      <c r="AC461" s="215"/>
    </row>
    <row r="462" spans="1:29" ht="2.25" customHeight="1">
      <c r="A462" s="215"/>
      <c r="B462" s="529" t="s">
        <v>212</v>
      </c>
      <c r="C462" s="529"/>
      <c r="D462" s="219" t="s">
        <v>212</v>
      </c>
      <c r="E462" s="222" t="s">
        <v>212</v>
      </c>
      <c r="F462" s="531" t="s">
        <v>212</v>
      </c>
      <c r="G462" s="531"/>
      <c r="H462" s="222" t="s">
        <v>212</v>
      </c>
      <c r="I462" s="531" t="s">
        <v>212</v>
      </c>
      <c r="J462" s="531"/>
      <c r="K462" s="222" t="s">
        <v>212</v>
      </c>
      <c r="L462" s="222" t="s">
        <v>212</v>
      </c>
      <c r="M462" s="222" t="s">
        <v>212</v>
      </c>
      <c r="N462" s="222" t="s">
        <v>212</v>
      </c>
      <c r="O462" s="222" t="s">
        <v>212</v>
      </c>
      <c r="P462" s="222" t="s">
        <v>212</v>
      </c>
      <c r="Q462" s="222" t="s">
        <v>212</v>
      </c>
      <c r="R462" s="222" t="s">
        <v>212</v>
      </c>
      <c r="S462" s="222" t="s">
        <v>212</v>
      </c>
      <c r="T462" s="531" t="s">
        <v>212</v>
      </c>
      <c r="U462" s="531"/>
      <c r="V462" s="222" t="s">
        <v>212</v>
      </c>
      <c r="W462" s="222" t="s">
        <v>212</v>
      </c>
      <c r="X462" s="531" t="s">
        <v>212</v>
      </c>
      <c r="Y462" s="531"/>
      <c r="Z462" s="222" t="s">
        <v>212</v>
      </c>
      <c r="AA462" s="222" t="s">
        <v>212</v>
      </c>
      <c r="AB462" s="222" t="s">
        <v>212</v>
      </c>
      <c r="AC462" s="215"/>
    </row>
    <row r="463" spans="1:29" ht="13.5" customHeight="1">
      <c r="A463" s="215"/>
      <c r="B463" s="535">
        <v>39306</v>
      </c>
      <c r="C463" s="535"/>
      <c r="D463" s="219" t="s">
        <v>212</v>
      </c>
      <c r="E463" s="229">
        <v>277.7</v>
      </c>
      <c r="F463" s="536">
        <v>24</v>
      </c>
      <c r="G463" s="536"/>
      <c r="H463" s="229">
        <v>1.1000000000000001</v>
      </c>
      <c r="I463" s="536">
        <v>1</v>
      </c>
      <c r="J463" s="536"/>
      <c r="K463" s="229">
        <v>300.60000000000002</v>
      </c>
      <c r="L463" s="230">
        <v>24</v>
      </c>
      <c r="M463" s="229">
        <v>0</v>
      </c>
      <c r="N463" s="230">
        <v>0</v>
      </c>
      <c r="O463" s="231">
        <v>579.4</v>
      </c>
      <c r="P463" s="222" t="s">
        <v>212</v>
      </c>
      <c r="Q463" s="229">
        <v>3</v>
      </c>
      <c r="R463" s="230">
        <v>1</v>
      </c>
      <c r="S463" s="229">
        <v>0</v>
      </c>
      <c r="T463" s="536">
        <v>0</v>
      </c>
      <c r="U463" s="536"/>
      <c r="V463" s="229">
        <v>3</v>
      </c>
      <c r="W463" s="222" t="s">
        <v>212</v>
      </c>
      <c r="X463" s="530">
        <v>582.4</v>
      </c>
      <c r="Y463" s="530"/>
      <c r="Z463" s="222" t="s">
        <v>212</v>
      </c>
      <c r="AA463" s="232">
        <v>8099500</v>
      </c>
      <c r="AB463" s="233">
        <v>2503</v>
      </c>
      <c r="AC463" s="215"/>
    </row>
    <row r="464" spans="1:29" ht="2.25" customHeight="1">
      <c r="A464" s="215"/>
      <c r="B464" s="529" t="s">
        <v>212</v>
      </c>
      <c r="C464" s="529"/>
      <c r="D464" s="219" t="s">
        <v>212</v>
      </c>
      <c r="E464" s="222" t="s">
        <v>212</v>
      </c>
      <c r="F464" s="531" t="s">
        <v>212</v>
      </c>
      <c r="G464" s="531"/>
      <c r="H464" s="222" t="s">
        <v>212</v>
      </c>
      <c r="I464" s="531" t="s">
        <v>212</v>
      </c>
      <c r="J464" s="531"/>
      <c r="K464" s="222" t="s">
        <v>212</v>
      </c>
      <c r="L464" s="222" t="s">
        <v>212</v>
      </c>
      <c r="M464" s="222" t="s">
        <v>212</v>
      </c>
      <c r="N464" s="222" t="s">
        <v>212</v>
      </c>
      <c r="O464" s="222" t="s">
        <v>212</v>
      </c>
      <c r="P464" s="222" t="s">
        <v>212</v>
      </c>
      <c r="Q464" s="222" t="s">
        <v>212</v>
      </c>
      <c r="R464" s="222" t="s">
        <v>212</v>
      </c>
      <c r="S464" s="222" t="s">
        <v>212</v>
      </c>
      <c r="T464" s="531" t="s">
        <v>212</v>
      </c>
      <c r="U464" s="531"/>
      <c r="V464" s="222" t="s">
        <v>212</v>
      </c>
      <c r="W464" s="222" t="s">
        <v>212</v>
      </c>
      <c r="X464" s="531" t="s">
        <v>212</v>
      </c>
      <c r="Y464" s="531"/>
      <c r="Z464" s="222" t="s">
        <v>212</v>
      </c>
      <c r="AA464" s="222" t="s">
        <v>212</v>
      </c>
      <c r="AB464" s="222" t="s">
        <v>212</v>
      </c>
      <c r="AC464" s="215"/>
    </row>
    <row r="465" spans="1:29" ht="13.5" customHeight="1">
      <c r="A465" s="215"/>
      <c r="B465" s="532">
        <v>39307</v>
      </c>
      <c r="C465" s="532"/>
      <c r="D465" s="219" t="s">
        <v>212</v>
      </c>
      <c r="E465" s="224">
        <v>281.5</v>
      </c>
      <c r="F465" s="533">
        <v>24</v>
      </c>
      <c r="G465" s="533"/>
      <c r="H465" s="224">
        <v>0</v>
      </c>
      <c r="I465" s="533">
        <v>0</v>
      </c>
      <c r="J465" s="533"/>
      <c r="K465" s="224">
        <v>291.10000000000002</v>
      </c>
      <c r="L465" s="225">
        <v>24</v>
      </c>
      <c r="M465" s="224">
        <v>0</v>
      </c>
      <c r="N465" s="225">
        <v>0</v>
      </c>
      <c r="O465" s="226">
        <v>572.6</v>
      </c>
      <c r="P465" s="222" t="s">
        <v>212</v>
      </c>
      <c r="Q465" s="224">
        <v>0</v>
      </c>
      <c r="R465" s="225">
        <v>0</v>
      </c>
      <c r="S465" s="224">
        <v>0</v>
      </c>
      <c r="T465" s="533">
        <v>0</v>
      </c>
      <c r="U465" s="533"/>
      <c r="V465" s="224">
        <v>0</v>
      </c>
      <c r="W465" s="222" t="s">
        <v>212</v>
      </c>
      <c r="X465" s="534">
        <v>572.6</v>
      </c>
      <c r="Y465" s="534"/>
      <c r="Z465" s="222" t="s">
        <v>212</v>
      </c>
      <c r="AA465" s="227">
        <v>8046700</v>
      </c>
      <c r="AB465" s="228">
        <v>0</v>
      </c>
      <c r="AC465" s="215"/>
    </row>
    <row r="466" spans="1:29" ht="2.25" customHeight="1">
      <c r="A466" s="215"/>
      <c r="B466" s="529" t="s">
        <v>212</v>
      </c>
      <c r="C466" s="529"/>
      <c r="D466" s="219" t="s">
        <v>212</v>
      </c>
      <c r="E466" s="222" t="s">
        <v>212</v>
      </c>
      <c r="F466" s="531" t="s">
        <v>212</v>
      </c>
      <c r="G466" s="531"/>
      <c r="H466" s="222" t="s">
        <v>212</v>
      </c>
      <c r="I466" s="531" t="s">
        <v>212</v>
      </c>
      <c r="J466" s="531"/>
      <c r="K466" s="222" t="s">
        <v>212</v>
      </c>
      <c r="L466" s="222" t="s">
        <v>212</v>
      </c>
      <c r="M466" s="222" t="s">
        <v>212</v>
      </c>
      <c r="N466" s="222" t="s">
        <v>212</v>
      </c>
      <c r="O466" s="222" t="s">
        <v>212</v>
      </c>
      <c r="P466" s="222" t="s">
        <v>212</v>
      </c>
      <c r="Q466" s="222" t="s">
        <v>212</v>
      </c>
      <c r="R466" s="222" t="s">
        <v>212</v>
      </c>
      <c r="S466" s="222" t="s">
        <v>212</v>
      </c>
      <c r="T466" s="531" t="s">
        <v>212</v>
      </c>
      <c r="U466" s="531"/>
      <c r="V466" s="222" t="s">
        <v>212</v>
      </c>
      <c r="W466" s="222" t="s">
        <v>212</v>
      </c>
      <c r="X466" s="531" t="s">
        <v>212</v>
      </c>
      <c r="Y466" s="531"/>
      <c r="Z466" s="222" t="s">
        <v>212</v>
      </c>
      <c r="AA466" s="222" t="s">
        <v>212</v>
      </c>
      <c r="AB466" s="222" t="s">
        <v>212</v>
      </c>
      <c r="AC466" s="215"/>
    </row>
    <row r="467" spans="1:29" ht="13.5" customHeight="1">
      <c r="A467" s="215"/>
      <c r="B467" s="535">
        <v>39308</v>
      </c>
      <c r="C467" s="535"/>
      <c r="D467" s="219" t="s">
        <v>212</v>
      </c>
      <c r="E467" s="229">
        <v>297</v>
      </c>
      <c r="F467" s="536">
        <v>24</v>
      </c>
      <c r="G467" s="536"/>
      <c r="H467" s="229">
        <v>0</v>
      </c>
      <c r="I467" s="536">
        <v>1</v>
      </c>
      <c r="J467" s="536"/>
      <c r="K467" s="229">
        <v>306</v>
      </c>
      <c r="L467" s="230">
        <v>24</v>
      </c>
      <c r="M467" s="229">
        <v>0</v>
      </c>
      <c r="N467" s="230">
        <v>0</v>
      </c>
      <c r="O467" s="231">
        <v>603</v>
      </c>
      <c r="P467" s="222" t="s">
        <v>212</v>
      </c>
      <c r="Q467" s="229">
        <v>35</v>
      </c>
      <c r="R467" s="230">
        <v>7</v>
      </c>
      <c r="S467" s="229">
        <v>0</v>
      </c>
      <c r="T467" s="536">
        <v>0</v>
      </c>
      <c r="U467" s="536"/>
      <c r="V467" s="229">
        <v>35</v>
      </c>
      <c r="W467" s="222" t="s">
        <v>212</v>
      </c>
      <c r="X467" s="530">
        <v>638</v>
      </c>
      <c r="Y467" s="530"/>
      <c r="Z467" s="222" t="s">
        <v>212</v>
      </c>
      <c r="AA467" s="232">
        <v>8442300</v>
      </c>
      <c r="AB467" s="233">
        <v>0</v>
      </c>
      <c r="AC467" s="215"/>
    </row>
    <row r="468" spans="1:29" ht="2.25" customHeight="1">
      <c r="A468" s="215"/>
      <c r="B468" s="529" t="s">
        <v>212</v>
      </c>
      <c r="C468" s="529"/>
      <c r="D468" s="219" t="s">
        <v>212</v>
      </c>
      <c r="E468" s="222" t="s">
        <v>212</v>
      </c>
      <c r="F468" s="531" t="s">
        <v>212</v>
      </c>
      <c r="G468" s="531"/>
      <c r="H468" s="222" t="s">
        <v>212</v>
      </c>
      <c r="I468" s="531" t="s">
        <v>212</v>
      </c>
      <c r="J468" s="531"/>
      <c r="K468" s="222" t="s">
        <v>212</v>
      </c>
      <c r="L468" s="222" t="s">
        <v>212</v>
      </c>
      <c r="M468" s="222" t="s">
        <v>212</v>
      </c>
      <c r="N468" s="222" t="s">
        <v>212</v>
      </c>
      <c r="O468" s="222" t="s">
        <v>212</v>
      </c>
      <c r="P468" s="222" t="s">
        <v>212</v>
      </c>
      <c r="Q468" s="222" t="s">
        <v>212</v>
      </c>
      <c r="R468" s="222" t="s">
        <v>212</v>
      </c>
      <c r="S468" s="222" t="s">
        <v>212</v>
      </c>
      <c r="T468" s="531" t="s">
        <v>212</v>
      </c>
      <c r="U468" s="531"/>
      <c r="V468" s="222" t="s">
        <v>212</v>
      </c>
      <c r="W468" s="222" t="s">
        <v>212</v>
      </c>
      <c r="X468" s="531" t="s">
        <v>212</v>
      </c>
      <c r="Y468" s="531"/>
      <c r="Z468" s="222" t="s">
        <v>212</v>
      </c>
      <c r="AA468" s="222" t="s">
        <v>212</v>
      </c>
      <c r="AB468" s="222" t="s">
        <v>212</v>
      </c>
      <c r="AC468" s="215"/>
    </row>
    <row r="469" spans="1:29" ht="13.5" customHeight="1">
      <c r="A469" s="215"/>
      <c r="B469" s="532">
        <v>39309</v>
      </c>
      <c r="C469" s="532"/>
      <c r="D469" s="219" t="s">
        <v>212</v>
      </c>
      <c r="E469" s="224">
        <v>307.89999999999998</v>
      </c>
      <c r="F469" s="533">
        <v>24</v>
      </c>
      <c r="G469" s="533"/>
      <c r="H469" s="224">
        <v>0</v>
      </c>
      <c r="I469" s="533">
        <v>0</v>
      </c>
      <c r="J469" s="533"/>
      <c r="K469" s="224">
        <v>325.8</v>
      </c>
      <c r="L469" s="225">
        <v>24</v>
      </c>
      <c r="M469" s="224">
        <v>0</v>
      </c>
      <c r="N469" s="225">
        <v>0</v>
      </c>
      <c r="O469" s="226">
        <v>633.70000000000005</v>
      </c>
      <c r="P469" s="222" t="s">
        <v>212</v>
      </c>
      <c r="Q469" s="224">
        <v>118</v>
      </c>
      <c r="R469" s="225">
        <v>24</v>
      </c>
      <c r="S469" s="224">
        <v>0</v>
      </c>
      <c r="T469" s="533">
        <v>0</v>
      </c>
      <c r="U469" s="533"/>
      <c r="V469" s="224">
        <v>118</v>
      </c>
      <c r="W469" s="222" t="s">
        <v>212</v>
      </c>
      <c r="X469" s="534">
        <v>751.7</v>
      </c>
      <c r="Y469" s="534"/>
      <c r="Z469" s="222" t="s">
        <v>212</v>
      </c>
      <c r="AA469" s="227">
        <v>8610800</v>
      </c>
      <c r="AB469" s="228">
        <v>0</v>
      </c>
      <c r="AC469" s="215"/>
    </row>
    <row r="470" spans="1:29" ht="2.25" customHeight="1">
      <c r="A470" s="215"/>
      <c r="B470" s="529" t="s">
        <v>212</v>
      </c>
      <c r="C470" s="529"/>
      <c r="D470" s="219" t="s">
        <v>212</v>
      </c>
      <c r="E470" s="222" t="s">
        <v>212</v>
      </c>
      <c r="F470" s="531" t="s">
        <v>212</v>
      </c>
      <c r="G470" s="531"/>
      <c r="H470" s="222" t="s">
        <v>212</v>
      </c>
      <c r="I470" s="531" t="s">
        <v>212</v>
      </c>
      <c r="J470" s="531"/>
      <c r="K470" s="222" t="s">
        <v>212</v>
      </c>
      <c r="L470" s="222" t="s">
        <v>212</v>
      </c>
      <c r="M470" s="222" t="s">
        <v>212</v>
      </c>
      <c r="N470" s="222" t="s">
        <v>212</v>
      </c>
      <c r="O470" s="222" t="s">
        <v>212</v>
      </c>
      <c r="P470" s="222" t="s">
        <v>212</v>
      </c>
      <c r="Q470" s="222" t="s">
        <v>212</v>
      </c>
      <c r="R470" s="222" t="s">
        <v>212</v>
      </c>
      <c r="S470" s="222" t="s">
        <v>212</v>
      </c>
      <c r="T470" s="531" t="s">
        <v>212</v>
      </c>
      <c r="U470" s="531"/>
      <c r="V470" s="222" t="s">
        <v>212</v>
      </c>
      <c r="W470" s="222" t="s">
        <v>212</v>
      </c>
      <c r="X470" s="531" t="s">
        <v>212</v>
      </c>
      <c r="Y470" s="531"/>
      <c r="Z470" s="222" t="s">
        <v>212</v>
      </c>
      <c r="AA470" s="222" t="s">
        <v>212</v>
      </c>
      <c r="AB470" s="222" t="s">
        <v>212</v>
      </c>
      <c r="AC470" s="215"/>
    </row>
    <row r="471" spans="1:29" ht="13.5" customHeight="1">
      <c r="A471" s="215"/>
      <c r="B471" s="535">
        <v>39310</v>
      </c>
      <c r="C471" s="535"/>
      <c r="D471" s="219" t="s">
        <v>212</v>
      </c>
      <c r="E471" s="229">
        <v>242.6</v>
      </c>
      <c r="F471" s="536">
        <v>22</v>
      </c>
      <c r="G471" s="536"/>
      <c r="H471" s="229">
        <v>266.7</v>
      </c>
      <c r="I471" s="536">
        <v>21</v>
      </c>
      <c r="J471" s="536"/>
      <c r="K471" s="229">
        <v>0</v>
      </c>
      <c r="L471" s="230">
        <v>0</v>
      </c>
      <c r="M471" s="229">
        <v>0</v>
      </c>
      <c r="N471" s="230">
        <v>0</v>
      </c>
      <c r="O471" s="231">
        <v>509.3</v>
      </c>
      <c r="P471" s="222" t="s">
        <v>212</v>
      </c>
      <c r="Q471" s="229">
        <v>155</v>
      </c>
      <c r="R471" s="230">
        <v>16</v>
      </c>
      <c r="S471" s="229">
        <v>0</v>
      </c>
      <c r="T471" s="536">
        <v>0</v>
      </c>
      <c r="U471" s="536"/>
      <c r="V471" s="229">
        <v>155</v>
      </c>
      <c r="W471" s="222" t="s">
        <v>212</v>
      </c>
      <c r="X471" s="530">
        <v>664.3</v>
      </c>
      <c r="Y471" s="530"/>
      <c r="Z471" s="222" t="s">
        <v>212</v>
      </c>
      <c r="AA471" s="232">
        <v>3913000</v>
      </c>
      <c r="AB471" s="233">
        <v>129688</v>
      </c>
      <c r="AC471" s="215"/>
    </row>
    <row r="472" spans="1:29" ht="2.25" customHeight="1">
      <c r="A472" s="215"/>
      <c r="B472" s="529" t="s">
        <v>212</v>
      </c>
      <c r="C472" s="529"/>
      <c r="D472" s="219" t="s">
        <v>212</v>
      </c>
      <c r="E472" s="222" t="s">
        <v>212</v>
      </c>
      <c r="F472" s="531" t="s">
        <v>212</v>
      </c>
      <c r="G472" s="531"/>
      <c r="H472" s="222" t="s">
        <v>212</v>
      </c>
      <c r="I472" s="531" t="s">
        <v>212</v>
      </c>
      <c r="J472" s="531"/>
      <c r="K472" s="222" t="s">
        <v>212</v>
      </c>
      <c r="L472" s="222" t="s">
        <v>212</v>
      </c>
      <c r="M472" s="222" t="s">
        <v>212</v>
      </c>
      <c r="N472" s="222" t="s">
        <v>212</v>
      </c>
      <c r="O472" s="222" t="s">
        <v>212</v>
      </c>
      <c r="P472" s="222" t="s">
        <v>212</v>
      </c>
      <c r="Q472" s="222" t="s">
        <v>212</v>
      </c>
      <c r="R472" s="222" t="s">
        <v>212</v>
      </c>
      <c r="S472" s="222" t="s">
        <v>212</v>
      </c>
      <c r="T472" s="531" t="s">
        <v>212</v>
      </c>
      <c r="U472" s="531"/>
      <c r="V472" s="222" t="s">
        <v>212</v>
      </c>
      <c r="W472" s="222" t="s">
        <v>212</v>
      </c>
      <c r="X472" s="531" t="s">
        <v>212</v>
      </c>
      <c r="Y472" s="531"/>
      <c r="Z472" s="222" t="s">
        <v>212</v>
      </c>
      <c r="AA472" s="222" t="s">
        <v>212</v>
      </c>
      <c r="AB472" s="222" t="s">
        <v>212</v>
      </c>
      <c r="AC472" s="215"/>
    </row>
    <row r="473" spans="1:29" ht="13.5" customHeight="1">
      <c r="A473" s="215"/>
      <c r="B473" s="532">
        <v>39311</v>
      </c>
      <c r="C473" s="532"/>
      <c r="D473" s="219" t="s">
        <v>212</v>
      </c>
      <c r="E473" s="224">
        <v>239.5</v>
      </c>
      <c r="F473" s="533">
        <v>24</v>
      </c>
      <c r="G473" s="533"/>
      <c r="H473" s="224">
        <v>46.1</v>
      </c>
      <c r="I473" s="533">
        <v>7</v>
      </c>
      <c r="J473" s="533"/>
      <c r="K473" s="224">
        <v>0</v>
      </c>
      <c r="L473" s="225">
        <v>0</v>
      </c>
      <c r="M473" s="224">
        <v>0</v>
      </c>
      <c r="N473" s="225">
        <v>0</v>
      </c>
      <c r="O473" s="226">
        <v>285.60000000000002</v>
      </c>
      <c r="P473" s="222" t="s">
        <v>212</v>
      </c>
      <c r="Q473" s="224">
        <v>366</v>
      </c>
      <c r="R473" s="225">
        <v>24</v>
      </c>
      <c r="S473" s="224">
        <v>0</v>
      </c>
      <c r="T473" s="533">
        <v>0</v>
      </c>
      <c r="U473" s="533"/>
      <c r="V473" s="224">
        <v>366</v>
      </c>
      <c r="W473" s="222" t="s">
        <v>212</v>
      </c>
      <c r="X473" s="534">
        <v>651.6</v>
      </c>
      <c r="Y473" s="534"/>
      <c r="Z473" s="222" t="s">
        <v>212</v>
      </c>
      <c r="AA473" s="227">
        <v>4361900</v>
      </c>
      <c r="AB473" s="228">
        <v>0</v>
      </c>
      <c r="AC473" s="215"/>
    </row>
    <row r="474" spans="1:29" ht="2.25" customHeight="1">
      <c r="A474" s="215"/>
      <c r="B474" s="529" t="s">
        <v>212</v>
      </c>
      <c r="C474" s="529"/>
      <c r="D474" s="219" t="s">
        <v>212</v>
      </c>
      <c r="E474" s="222" t="s">
        <v>212</v>
      </c>
      <c r="F474" s="531" t="s">
        <v>212</v>
      </c>
      <c r="G474" s="531"/>
      <c r="H474" s="222" t="s">
        <v>212</v>
      </c>
      <c r="I474" s="531" t="s">
        <v>212</v>
      </c>
      <c r="J474" s="531"/>
      <c r="K474" s="222" t="s">
        <v>212</v>
      </c>
      <c r="L474" s="222" t="s">
        <v>212</v>
      </c>
      <c r="M474" s="222" t="s">
        <v>212</v>
      </c>
      <c r="N474" s="222" t="s">
        <v>212</v>
      </c>
      <c r="O474" s="222" t="s">
        <v>212</v>
      </c>
      <c r="P474" s="222" t="s">
        <v>212</v>
      </c>
      <c r="Q474" s="222" t="s">
        <v>212</v>
      </c>
      <c r="R474" s="222" t="s">
        <v>212</v>
      </c>
      <c r="S474" s="222" t="s">
        <v>212</v>
      </c>
      <c r="T474" s="531" t="s">
        <v>212</v>
      </c>
      <c r="U474" s="531"/>
      <c r="V474" s="222" t="s">
        <v>212</v>
      </c>
      <c r="W474" s="222" t="s">
        <v>212</v>
      </c>
      <c r="X474" s="531" t="s">
        <v>212</v>
      </c>
      <c r="Y474" s="531"/>
      <c r="Z474" s="222" t="s">
        <v>212</v>
      </c>
      <c r="AA474" s="222" t="s">
        <v>212</v>
      </c>
      <c r="AB474" s="222" t="s">
        <v>212</v>
      </c>
      <c r="AC474" s="215"/>
    </row>
    <row r="475" spans="1:29" ht="13.5" customHeight="1">
      <c r="A475" s="215"/>
      <c r="B475" s="535">
        <v>39312</v>
      </c>
      <c r="C475" s="535"/>
      <c r="D475" s="219" t="s">
        <v>212</v>
      </c>
      <c r="E475" s="229">
        <v>257.89999999999998</v>
      </c>
      <c r="F475" s="536">
        <v>24</v>
      </c>
      <c r="G475" s="536"/>
      <c r="H475" s="229">
        <v>299.39999999999998</v>
      </c>
      <c r="I475" s="536">
        <v>24</v>
      </c>
      <c r="J475" s="536"/>
      <c r="K475" s="229">
        <v>0</v>
      </c>
      <c r="L475" s="230">
        <v>0</v>
      </c>
      <c r="M475" s="229">
        <v>0</v>
      </c>
      <c r="N475" s="230">
        <v>0</v>
      </c>
      <c r="O475" s="231">
        <v>557.29999999999995</v>
      </c>
      <c r="P475" s="222" t="s">
        <v>212</v>
      </c>
      <c r="Q475" s="229">
        <v>56</v>
      </c>
      <c r="R475" s="230">
        <v>9</v>
      </c>
      <c r="S475" s="229">
        <v>0</v>
      </c>
      <c r="T475" s="536">
        <v>0</v>
      </c>
      <c r="U475" s="536"/>
      <c r="V475" s="229">
        <v>56</v>
      </c>
      <c r="W475" s="222" t="s">
        <v>212</v>
      </c>
      <c r="X475" s="530">
        <v>613.29999999999995</v>
      </c>
      <c r="Y475" s="530"/>
      <c r="Z475" s="222" t="s">
        <v>212</v>
      </c>
      <c r="AA475" s="232">
        <v>7742700</v>
      </c>
      <c r="AB475" s="233">
        <v>0</v>
      </c>
      <c r="AC475" s="215"/>
    </row>
    <row r="476" spans="1:29" ht="2.25" customHeight="1">
      <c r="A476" s="215"/>
      <c r="B476" s="529" t="s">
        <v>212</v>
      </c>
      <c r="C476" s="529"/>
      <c r="D476" s="219" t="s">
        <v>212</v>
      </c>
      <c r="E476" s="222" t="s">
        <v>212</v>
      </c>
      <c r="F476" s="531" t="s">
        <v>212</v>
      </c>
      <c r="G476" s="531"/>
      <c r="H476" s="222" t="s">
        <v>212</v>
      </c>
      <c r="I476" s="531" t="s">
        <v>212</v>
      </c>
      <c r="J476" s="531"/>
      <c r="K476" s="222" t="s">
        <v>212</v>
      </c>
      <c r="L476" s="222" t="s">
        <v>212</v>
      </c>
      <c r="M476" s="222" t="s">
        <v>212</v>
      </c>
      <c r="N476" s="222" t="s">
        <v>212</v>
      </c>
      <c r="O476" s="222" t="s">
        <v>212</v>
      </c>
      <c r="P476" s="222" t="s">
        <v>212</v>
      </c>
      <c r="Q476" s="222" t="s">
        <v>212</v>
      </c>
      <c r="R476" s="222" t="s">
        <v>212</v>
      </c>
      <c r="S476" s="222" t="s">
        <v>212</v>
      </c>
      <c r="T476" s="531" t="s">
        <v>212</v>
      </c>
      <c r="U476" s="531"/>
      <c r="V476" s="222" t="s">
        <v>212</v>
      </c>
      <c r="W476" s="222" t="s">
        <v>212</v>
      </c>
      <c r="X476" s="531" t="s">
        <v>212</v>
      </c>
      <c r="Y476" s="531"/>
      <c r="Z476" s="222" t="s">
        <v>212</v>
      </c>
      <c r="AA476" s="222" t="s">
        <v>212</v>
      </c>
      <c r="AB476" s="222" t="s">
        <v>212</v>
      </c>
      <c r="AC476" s="215"/>
    </row>
    <row r="477" spans="1:29" ht="13.5" customHeight="1">
      <c r="A477" s="215"/>
      <c r="B477" s="532">
        <v>39313</v>
      </c>
      <c r="C477" s="532"/>
      <c r="D477" s="219" t="s">
        <v>212</v>
      </c>
      <c r="E477" s="224">
        <v>265.10000000000002</v>
      </c>
      <c r="F477" s="533">
        <v>24</v>
      </c>
      <c r="G477" s="533"/>
      <c r="H477" s="224">
        <v>290.7</v>
      </c>
      <c r="I477" s="533">
        <v>24</v>
      </c>
      <c r="J477" s="533"/>
      <c r="K477" s="224">
        <v>5.9</v>
      </c>
      <c r="L477" s="225">
        <v>2</v>
      </c>
      <c r="M477" s="224">
        <v>0</v>
      </c>
      <c r="N477" s="225">
        <v>0</v>
      </c>
      <c r="O477" s="226">
        <v>561.70000000000005</v>
      </c>
      <c r="P477" s="222" t="s">
        <v>212</v>
      </c>
      <c r="Q477" s="224">
        <v>0</v>
      </c>
      <c r="R477" s="225">
        <v>0</v>
      </c>
      <c r="S477" s="224">
        <v>0</v>
      </c>
      <c r="T477" s="533">
        <v>0</v>
      </c>
      <c r="U477" s="533"/>
      <c r="V477" s="224">
        <v>0</v>
      </c>
      <c r="W477" s="222" t="s">
        <v>212</v>
      </c>
      <c r="X477" s="534">
        <v>561.70000000000005</v>
      </c>
      <c r="Y477" s="534"/>
      <c r="Z477" s="222" t="s">
        <v>212</v>
      </c>
      <c r="AA477" s="227">
        <v>7966700</v>
      </c>
      <c r="AB477" s="228">
        <v>253</v>
      </c>
      <c r="AC477" s="215"/>
    </row>
    <row r="478" spans="1:29" ht="2.25" customHeight="1">
      <c r="A478" s="215"/>
      <c r="B478" s="529" t="s">
        <v>212</v>
      </c>
      <c r="C478" s="529"/>
      <c r="D478" s="219" t="s">
        <v>212</v>
      </c>
      <c r="E478" s="222" t="s">
        <v>212</v>
      </c>
      <c r="F478" s="531" t="s">
        <v>212</v>
      </c>
      <c r="G478" s="531"/>
      <c r="H478" s="222" t="s">
        <v>212</v>
      </c>
      <c r="I478" s="531" t="s">
        <v>212</v>
      </c>
      <c r="J478" s="531"/>
      <c r="K478" s="222" t="s">
        <v>212</v>
      </c>
      <c r="L478" s="222" t="s">
        <v>212</v>
      </c>
      <c r="M478" s="222" t="s">
        <v>212</v>
      </c>
      <c r="N478" s="222" t="s">
        <v>212</v>
      </c>
      <c r="O478" s="222" t="s">
        <v>212</v>
      </c>
      <c r="P478" s="222" t="s">
        <v>212</v>
      </c>
      <c r="Q478" s="222" t="s">
        <v>212</v>
      </c>
      <c r="R478" s="222" t="s">
        <v>212</v>
      </c>
      <c r="S478" s="222" t="s">
        <v>212</v>
      </c>
      <c r="T478" s="531" t="s">
        <v>212</v>
      </c>
      <c r="U478" s="531"/>
      <c r="V478" s="222" t="s">
        <v>212</v>
      </c>
      <c r="W478" s="222" t="s">
        <v>212</v>
      </c>
      <c r="X478" s="531" t="s">
        <v>212</v>
      </c>
      <c r="Y478" s="531"/>
      <c r="Z478" s="222" t="s">
        <v>212</v>
      </c>
      <c r="AA478" s="222" t="s">
        <v>212</v>
      </c>
      <c r="AB478" s="222" t="s">
        <v>212</v>
      </c>
      <c r="AC478" s="215"/>
    </row>
    <row r="479" spans="1:29" ht="13.5" customHeight="1">
      <c r="A479" s="215"/>
      <c r="B479" s="535">
        <v>39314</v>
      </c>
      <c r="C479" s="535"/>
      <c r="D479" s="219" t="s">
        <v>212</v>
      </c>
      <c r="E479" s="229">
        <v>254.5</v>
      </c>
      <c r="F479" s="536">
        <v>24</v>
      </c>
      <c r="G479" s="536"/>
      <c r="H479" s="229">
        <v>275.10000000000002</v>
      </c>
      <c r="I479" s="536">
        <v>24</v>
      </c>
      <c r="J479" s="536"/>
      <c r="K479" s="229">
        <v>0</v>
      </c>
      <c r="L479" s="230">
        <v>0</v>
      </c>
      <c r="M479" s="229">
        <v>0</v>
      </c>
      <c r="N479" s="230">
        <v>0</v>
      </c>
      <c r="O479" s="231">
        <v>529.6</v>
      </c>
      <c r="P479" s="222" t="s">
        <v>212</v>
      </c>
      <c r="Q479" s="229">
        <v>0</v>
      </c>
      <c r="R479" s="230">
        <v>0</v>
      </c>
      <c r="S479" s="229">
        <v>0</v>
      </c>
      <c r="T479" s="536">
        <v>0</v>
      </c>
      <c r="U479" s="536"/>
      <c r="V479" s="229">
        <v>0</v>
      </c>
      <c r="W479" s="222" t="s">
        <v>212</v>
      </c>
      <c r="X479" s="530">
        <v>529.6</v>
      </c>
      <c r="Y479" s="530"/>
      <c r="Z479" s="222" t="s">
        <v>212</v>
      </c>
      <c r="AA479" s="232">
        <v>7543900</v>
      </c>
      <c r="AB479" s="233">
        <v>0</v>
      </c>
      <c r="AC479" s="215"/>
    </row>
    <row r="480" spans="1:29" ht="2.25" customHeight="1">
      <c r="A480" s="215"/>
      <c r="B480" s="529" t="s">
        <v>212</v>
      </c>
      <c r="C480" s="529"/>
      <c r="D480" s="219" t="s">
        <v>212</v>
      </c>
      <c r="E480" s="222" t="s">
        <v>212</v>
      </c>
      <c r="F480" s="531" t="s">
        <v>212</v>
      </c>
      <c r="G480" s="531"/>
      <c r="H480" s="222" t="s">
        <v>212</v>
      </c>
      <c r="I480" s="531" t="s">
        <v>212</v>
      </c>
      <c r="J480" s="531"/>
      <c r="K480" s="222" t="s">
        <v>212</v>
      </c>
      <c r="L480" s="222" t="s">
        <v>212</v>
      </c>
      <c r="M480" s="222" t="s">
        <v>212</v>
      </c>
      <c r="N480" s="222" t="s">
        <v>212</v>
      </c>
      <c r="O480" s="222" t="s">
        <v>212</v>
      </c>
      <c r="P480" s="222" t="s">
        <v>212</v>
      </c>
      <c r="Q480" s="222" t="s">
        <v>212</v>
      </c>
      <c r="R480" s="222" t="s">
        <v>212</v>
      </c>
      <c r="S480" s="222" t="s">
        <v>212</v>
      </c>
      <c r="T480" s="531" t="s">
        <v>212</v>
      </c>
      <c r="U480" s="531"/>
      <c r="V480" s="222" t="s">
        <v>212</v>
      </c>
      <c r="W480" s="222" t="s">
        <v>212</v>
      </c>
      <c r="X480" s="531" t="s">
        <v>212</v>
      </c>
      <c r="Y480" s="531"/>
      <c r="Z480" s="222" t="s">
        <v>212</v>
      </c>
      <c r="AA480" s="222" t="s">
        <v>212</v>
      </c>
      <c r="AB480" s="222" t="s">
        <v>212</v>
      </c>
      <c r="AC480" s="215"/>
    </row>
    <row r="481" spans="1:29" ht="13.5" customHeight="1">
      <c r="A481" s="215"/>
      <c r="B481" s="532">
        <v>39315</v>
      </c>
      <c r="C481" s="532"/>
      <c r="D481" s="219" t="s">
        <v>212</v>
      </c>
      <c r="E481" s="224">
        <v>169.7</v>
      </c>
      <c r="F481" s="533">
        <v>24</v>
      </c>
      <c r="G481" s="533"/>
      <c r="H481" s="224">
        <v>203.8</v>
      </c>
      <c r="I481" s="533">
        <v>24</v>
      </c>
      <c r="J481" s="533"/>
      <c r="K481" s="224">
        <v>0</v>
      </c>
      <c r="L481" s="225">
        <v>0</v>
      </c>
      <c r="M481" s="224">
        <v>0</v>
      </c>
      <c r="N481" s="225">
        <v>0</v>
      </c>
      <c r="O481" s="226">
        <v>373.5</v>
      </c>
      <c r="P481" s="222" t="s">
        <v>212</v>
      </c>
      <c r="Q481" s="224">
        <v>0</v>
      </c>
      <c r="R481" s="225">
        <v>0</v>
      </c>
      <c r="S481" s="224">
        <v>0</v>
      </c>
      <c r="T481" s="533">
        <v>0</v>
      </c>
      <c r="U481" s="533"/>
      <c r="V481" s="224">
        <v>0</v>
      </c>
      <c r="W481" s="222" t="s">
        <v>212</v>
      </c>
      <c r="X481" s="534">
        <v>373.5</v>
      </c>
      <c r="Y481" s="534"/>
      <c r="Z481" s="222" t="s">
        <v>212</v>
      </c>
      <c r="AA481" s="227">
        <v>6430900</v>
      </c>
      <c r="AB481" s="228">
        <v>0</v>
      </c>
      <c r="AC481" s="215"/>
    </row>
    <row r="482" spans="1:29" ht="2.25" customHeight="1">
      <c r="A482" s="215"/>
      <c r="B482" s="529" t="s">
        <v>212</v>
      </c>
      <c r="C482" s="529"/>
      <c r="D482" s="219" t="s">
        <v>212</v>
      </c>
      <c r="E482" s="222" t="s">
        <v>212</v>
      </c>
      <c r="F482" s="531" t="s">
        <v>212</v>
      </c>
      <c r="G482" s="531"/>
      <c r="H482" s="222" t="s">
        <v>212</v>
      </c>
      <c r="I482" s="531" t="s">
        <v>212</v>
      </c>
      <c r="J482" s="531"/>
      <c r="K482" s="222" t="s">
        <v>212</v>
      </c>
      <c r="L482" s="222" t="s">
        <v>212</v>
      </c>
      <c r="M482" s="222" t="s">
        <v>212</v>
      </c>
      <c r="N482" s="222" t="s">
        <v>212</v>
      </c>
      <c r="O482" s="222" t="s">
        <v>212</v>
      </c>
      <c r="P482" s="222" t="s">
        <v>212</v>
      </c>
      <c r="Q482" s="222" t="s">
        <v>212</v>
      </c>
      <c r="R482" s="222" t="s">
        <v>212</v>
      </c>
      <c r="S482" s="222" t="s">
        <v>212</v>
      </c>
      <c r="T482" s="531" t="s">
        <v>212</v>
      </c>
      <c r="U482" s="531"/>
      <c r="V482" s="222" t="s">
        <v>212</v>
      </c>
      <c r="W482" s="222" t="s">
        <v>212</v>
      </c>
      <c r="X482" s="531" t="s">
        <v>212</v>
      </c>
      <c r="Y482" s="531"/>
      <c r="Z482" s="222" t="s">
        <v>212</v>
      </c>
      <c r="AA482" s="222" t="s">
        <v>212</v>
      </c>
      <c r="AB482" s="222" t="s">
        <v>212</v>
      </c>
      <c r="AC482" s="215"/>
    </row>
    <row r="483" spans="1:29" ht="13.5" customHeight="1">
      <c r="A483" s="215"/>
      <c r="B483" s="535">
        <v>39316</v>
      </c>
      <c r="C483" s="535"/>
      <c r="D483" s="219" t="s">
        <v>212</v>
      </c>
      <c r="E483" s="229">
        <v>125.8</v>
      </c>
      <c r="F483" s="536">
        <v>24</v>
      </c>
      <c r="G483" s="536"/>
      <c r="H483" s="229">
        <v>138.6</v>
      </c>
      <c r="I483" s="536">
        <v>24</v>
      </c>
      <c r="J483" s="536"/>
      <c r="K483" s="229">
        <v>0</v>
      </c>
      <c r="L483" s="230">
        <v>0</v>
      </c>
      <c r="M483" s="229">
        <v>0</v>
      </c>
      <c r="N483" s="230">
        <v>0</v>
      </c>
      <c r="O483" s="231">
        <v>264.39999999999998</v>
      </c>
      <c r="P483" s="222" t="s">
        <v>212</v>
      </c>
      <c r="Q483" s="229">
        <v>0</v>
      </c>
      <c r="R483" s="230">
        <v>0</v>
      </c>
      <c r="S483" s="229">
        <v>0</v>
      </c>
      <c r="T483" s="536">
        <v>0</v>
      </c>
      <c r="U483" s="536"/>
      <c r="V483" s="229">
        <v>0</v>
      </c>
      <c r="W483" s="222" t="s">
        <v>212</v>
      </c>
      <c r="X483" s="530">
        <v>264.39999999999998</v>
      </c>
      <c r="Y483" s="530"/>
      <c r="Z483" s="222" t="s">
        <v>212</v>
      </c>
      <c r="AA483" s="232">
        <v>5532000</v>
      </c>
      <c r="AB483" s="233">
        <v>0</v>
      </c>
      <c r="AC483" s="215"/>
    </row>
    <row r="484" spans="1:29" ht="2.25" customHeight="1">
      <c r="A484" s="215"/>
      <c r="B484" s="529" t="s">
        <v>212</v>
      </c>
      <c r="C484" s="529"/>
      <c r="D484" s="219" t="s">
        <v>212</v>
      </c>
      <c r="E484" s="222" t="s">
        <v>212</v>
      </c>
      <c r="F484" s="531" t="s">
        <v>212</v>
      </c>
      <c r="G484" s="531"/>
      <c r="H484" s="222" t="s">
        <v>212</v>
      </c>
      <c r="I484" s="531" t="s">
        <v>212</v>
      </c>
      <c r="J484" s="531"/>
      <c r="K484" s="222" t="s">
        <v>212</v>
      </c>
      <c r="L484" s="222" t="s">
        <v>212</v>
      </c>
      <c r="M484" s="222" t="s">
        <v>212</v>
      </c>
      <c r="N484" s="222" t="s">
        <v>212</v>
      </c>
      <c r="O484" s="222" t="s">
        <v>212</v>
      </c>
      <c r="P484" s="222" t="s">
        <v>212</v>
      </c>
      <c r="Q484" s="222" t="s">
        <v>212</v>
      </c>
      <c r="R484" s="222" t="s">
        <v>212</v>
      </c>
      <c r="S484" s="222" t="s">
        <v>212</v>
      </c>
      <c r="T484" s="531" t="s">
        <v>212</v>
      </c>
      <c r="U484" s="531"/>
      <c r="V484" s="222" t="s">
        <v>212</v>
      </c>
      <c r="W484" s="222" t="s">
        <v>212</v>
      </c>
      <c r="X484" s="531" t="s">
        <v>212</v>
      </c>
      <c r="Y484" s="531"/>
      <c r="Z484" s="222" t="s">
        <v>212</v>
      </c>
      <c r="AA484" s="222" t="s">
        <v>212</v>
      </c>
      <c r="AB484" s="222" t="s">
        <v>212</v>
      </c>
      <c r="AC484" s="215"/>
    </row>
    <row r="485" spans="1:29" ht="13.5" customHeight="1">
      <c r="A485" s="215"/>
      <c r="B485" s="532">
        <v>39317</v>
      </c>
      <c r="C485" s="532"/>
      <c r="D485" s="219" t="s">
        <v>212</v>
      </c>
      <c r="E485" s="224">
        <v>123</v>
      </c>
      <c r="F485" s="533">
        <v>24</v>
      </c>
      <c r="G485" s="533"/>
      <c r="H485" s="224">
        <v>128.4</v>
      </c>
      <c r="I485" s="533">
        <v>24</v>
      </c>
      <c r="J485" s="533"/>
      <c r="K485" s="224">
        <v>0</v>
      </c>
      <c r="L485" s="225">
        <v>0</v>
      </c>
      <c r="M485" s="224">
        <v>0</v>
      </c>
      <c r="N485" s="225">
        <v>0</v>
      </c>
      <c r="O485" s="226">
        <v>251.4</v>
      </c>
      <c r="P485" s="222" t="s">
        <v>212</v>
      </c>
      <c r="Q485" s="224">
        <v>0</v>
      </c>
      <c r="R485" s="225">
        <v>0</v>
      </c>
      <c r="S485" s="224">
        <v>0</v>
      </c>
      <c r="T485" s="533">
        <v>0</v>
      </c>
      <c r="U485" s="533"/>
      <c r="V485" s="224">
        <v>0</v>
      </c>
      <c r="W485" s="222" t="s">
        <v>212</v>
      </c>
      <c r="X485" s="534">
        <v>251.4</v>
      </c>
      <c r="Y485" s="534"/>
      <c r="Z485" s="222" t="s">
        <v>212</v>
      </c>
      <c r="AA485" s="227">
        <v>5513400</v>
      </c>
      <c r="AB485" s="228">
        <v>0</v>
      </c>
      <c r="AC485" s="215"/>
    </row>
    <row r="486" spans="1:29" ht="2.25" customHeight="1">
      <c r="A486" s="215"/>
      <c r="B486" s="529" t="s">
        <v>212</v>
      </c>
      <c r="C486" s="529"/>
      <c r="D486" s="219" t="s">
        <v>212</v>
      </c>
      <c r="E486" s="222" t="s">
        <v>212</v>
      </c>
      <c r="F486" s="531" t="s">
        <v>212</v>
      </c>
      <c r="G486" s="531"/>
      <c r="H486" s="222" t="s">
        <v>212</v>
      </c>
      <c r="I486" s="531" t="s">
        <v>212</v>
      </c>
      <c r="J486" s="531"/>
      <c r="K486" s="222" t="s">
        <v>212</v>
      </c>
      <c r="L486" s="222" t="s">
        <v>212</v>
      </c>
      <c r="M486" s="222" t="s">
        <v>212</v>
      </c>
      <c r="N486" s="222" t="s">
        <v>212</v>
      </c>
      <c r="O486" s="222" t="s">
        <v>212</v>
      </c>
      <c r="P486" s="222" t="s">
        <v>212</v>
      </c>
      <c r="Q486" s="222" t="s">
        <v>212</v>
      </c>
      <c r="R486" s="222" t="s">
        <v>212</v>
      </c>
      <c r="S486" s="222" t="s">
        <v>212</v>
      </c>
      <c r="T486" s="531" t="s">
        <v>212</v>
      </c>
      <c r="U486" s="531"/>
      <c r="V486" s="222" t="s">
        <v>212</v>
      </c>
      <c r="W486" s="222" t="s">
        <v>212</v>
      </c>
      <c r="X486" s="531" t="s">
        <v>212</v>
      </c>
      <c r="Y486" s="531"/>
      <c r="Z486" s="222" t="s">
        <v>212</v>
      </c>
      <c r="AA486" s="222" t="s">
        <v>212</v>
      </c>
      <c r="AB486" s="222" t="s">
        <v>212</v>
      </c>
      <c r="AC486" s="215"/>
    </row>
    <row r="487" spans="1:29" ht="13.5" customHeight="1">
      <c r="A487" s="215"/>
      <c r="B487" s="535">
        <v>39318</v>
      </c>
      <c r="C487" s="535"/>
      <c r="D487" s="219" t="s">
        <v>212</v>
      </c>
      <c r="E487" s="229">
        <v>122</v>
      </c>
      <c r="F487" s="536">
        <v>24</v>
      </c>
      <c r="G487" s="536"/>
      <c r="H487" s="229">
        <v>119.5</v>
      </c>
      <c r="I487" s="536">
        <v>24</v>
      </c>
      <c r="J487" s="536"/>
      <c r="K487" s="229">
        <v>0</v>
      </c>
      <c r="L487" s="230">
        <v>0</v>
      </c>
      <c r="M487" s="229">
        <v>0</v>
      </c>
      <c r="N487" s="230">
        <v>0</v>
      </c>
      <c r="O487" s="231">
        <v>241.5</v>
      </c>
      <c r="P487" s="222" t="s">
        <v>212</v>
      </c>
      <c r="Q487" s="229">
        <v>0</v>
      </c>
      <c r="R487" s="230">
        <v>0</v>
      </c>
      <c r="S487" s="229">
        <v>0</v>
      </c>
      <c r="T487" s="536">
        <v>0</v>
      </c>
      <c r="U487" s="536"/>
      <c r="V487" s="229">
        <v>0</v>
      </c>
      <c r="W487" s="222" t="s">
        <v>212</v>
      </c>
      <c r="X487" s="530">
        <v>241.5</v>
      </c>
      <c r="Y487" s="530"/>
      <c r="Z487" s="222" t="s">
        <v>212</v>
      </c>
      <c r="AA487" s="232">
        <v>5382200</v>
      </c>
      <c r="AB487" s="233">
        <v>0</v>
      </c>
      <c r="AC487" s="215"/>
    </row>
    <row r="488" spans="1:29" ht="2.25" customHeight="1">
      <c r="A488" s="215"/>
      <c r="B488" s="529" t="s">
        <v>212</v>
      </c>
      <c r="C488" s="529"/>
      <c r="D488" s="219" t="s">
        <v>212</v>
      </c>
      <c r="E488" s="222" t="s">
        <v>212</v>
      </c>
      <c r="F488" s="531" t="s">
        <v>212</v>
      </c>
      <c r="G488" s="531"/>
      <c r="H488" s="222" t="s">
        <v>212</v>
      </c>
      <c r="I488" s="531" t="s">
        <v>212</v>
      </c>
      <c r="J488" s="531"/>
      <c r="K488" s="222" t="s">
        <v>212</v>
      </c>
      <c r="L488" s="222" t="s">
        <v>212</v>
      </c>
      <c r="M488" s="222" t="s">
        <v>212</v>
      </c>
      <c r="N488" s="222" t="s">
        <v>212</v>
      </c>
      <c r="O488" s="222" t="s">
        <v>212</v>
      </c>
      <c r="P488" s="222" t="s">
        <v>212</v>
      </c>
      <c r="Q488" s="222" t="s">
        <v>212</v>
      </c>
      <c r="R488" s="222" t="s">
        <v>212</v>
      </c>
      <c r="S488" s="222" t="s">
        <v>212</v>
      </c>
      <c r="T488" s="531" t="s">
        <v>212</v>
      </c>
      <c r="U488" s="531"/>
      <c r="V488" s="222" t="s">
        <v>212</v>
      </c>
      <c r="W488" s="222" t="s">
        <v>212</v>
      </c>
      <c r="X488" s="531" t="s">
        <v>212</v>
      </c>
      <c r="Y488" s="531"/>
      <c r="Z488" s="222" t="s">
        <v>212</v>
      </c>
      <c r="AA488" s="222" t="s">
        <v>212</v>
      </c>
      <c r="AB488" s="222" t="s">
        <v>212</v>
      </c>
      <c r="AC488" s="215"/>
    </row>
    <row r="489" spans="1:29" ht="13.5" customHeight="1">
      <c r="A489" s="215"/>
      <c r="B489" s="532">
        <v>39319</v>
      </c>
      <c r="C489" s="532"/>
      <c r="D489" s="219" t="s">
        <v>212</v>
      </c>
      <c r="E489" s="224">
        <v>134.69999999999999</v>
      </c>
      <c r="F489" s="533">
        <v>24</v>
      </c>
      <c r="G489" s="533"/>
      <c r="H489" s="224">
        <v>157.9</v>
      </c>
      <c r="I489" s="533">
        <v>24</v>
      </c>
      <c r="J489" s="533"/>
      <c r="K489" s="224">
        <v>0</v>
      </c>
      <c r="L489" s="225">
        <v>0</v>
      </c>
      <c r="M489" s="224">
        <v>0</v>
      </c>
      <c r="N489" s="225">
        <v>0</v>
      </c>
      <c r="O489" s="226">
        <v>292.60000000000002</v>
      </c>
      <c r="P489" s="222" t="s">
        <v>212</v>
      </c>
      <c r="Q489" s="224">
        <v>0</v>
      </c>
      <c r="R489" s="225">
        <v>0</v>
      </c>
      <c r="S489" s="224">
        <v>0</v>
      </c>
      <c r="T489" s="533">
        <v>0</v>
      </c>
      <c r="U489" s="533"/>
      <c r="V489" s="224">
        <v>0</v>
      </c>
      <c r="W489" s="222" t="s">
        <v>212</v>
      </c>
      <c r="X489" s="534">
        <v>292.60000000000002</v>
      </c>
      <c r="Y489" s="534"/>
      <c r="Z489" s="222" t="s">
        <v>212</v>
      </c>
      <c r="AA489" s="227">
        <v>5716400</v>
      </c>
      <c r="AB489" s="228">
        <v>0</v>
      </c>
      <c r="AC489" s="215"/>
    </row>
    <row r="490" spans="1:29" ht="2.25" customHeight="1">
      <c r="A490" s="215"/>
      <c r="B490" s="529" t="s">
        <v>212</v>
      </c>
      <c r="C490" s="529"/>
      <c r="D490" s="219" t="s">
        <v>212</v>
      </c>
      <c r="E490" s="222" t="s">
        <v>212</v>
      </c>
      <c r="F490" s="531" t="s">
        <v>212</v>
      </c>
      <c r="G490" s="531"/>
      <c r="H490" s="222" t="s">
        <v>212</v>
      </c>
      <c r="I490" s="531" t="s">
        <v>212</v>
      </c>
      <c r="J490" s="531"/>
      <c r="K490" s="222" t="s">
        <v>212</v>
      </c>
      <c r="L490" s="222" t="s">
        <v>212</v>
      </c>
      <c r="M490" s="222" t="s">
        <v>212</v>
      </c>
      <c r="N490" s="222" t="s">
        <v>212</v>
      </c>
      <c r="O490" s="222" t="s">
        <v>212</v>
      </c>
      <c r="P490" s="222" t="s">
        <v>212</v>
      </c>
      <c r="Q490" s="222" t="s">
        <v>212</v>
      </c>
      <c r="R490" s="222" t="s">
        <v>212</v>
      </c>
      <c r="S490" s="222" t="s">
        <v>212</v>
      </c>
      <c r="T490" s="531" t="s">
        <v>212</v>
      </c>
      <c r="U490" s="531"/>
      <c r="V490" s="222" t="s">
        <v>212</v>
      </c>
      <c r="W490" s="222" t="s">
        <v>212</v>
      </c>
      <c r="X490" s="531" t="s">
        <v>212</v>
      </c>
      <c r="Y490" s="531"/>
      <c r="Z490" s="222" t="s">
        <v>212</v>
      </c>
      <c r="AA490" s="222" t="s">
        <v>212</v>
      </c>
      <c r="AB490" s="222" t="s">
        <v>212</v>
      </c>
      <c r="AC490" s="215"/>
    </row>
    <row r="491" spans="1:29" ht="13.5" customHeight="1">
      <c r="A491" s="215"/>
      <c r="B491" s="535">
        <v>39320</v>
      </c>
      <c r="C491" s="535"/>
      <c r="D491" s="219" t="s">
        <v>212</v>
      </c>
      <c r="E491" s="229">
        <v>257.7</v>
      </c>
      <c r="F491" s="536">
        <v>24</v>
      </c>
      <c r="G491" s="536"/>
      <c r="H491" s="229">
        <v>272.5</v>
      </c>
      <c r="I491" s="536">
        <v>24</v>
      </c>
      <c r="J491" s="536"/>
      <c r="K491" s="229">
        <v>0</v>
      </c>
      <c r="L491" s="230">
        <v>0</v>
      </c>
      <c r="M491" s="229">
        <v>0</v>
      </c>
      <c r="N491" s="230">
        <v>0</v>
      </c>
      <c r="O491" s="231">
        <v>530.20000000000005</v>
      </c>
      <c r="P491" s="222" t="s">
        <v>212</v>
      </c>
      <c r="Q491" s="229">
        <v>0</v>
      </c>
      <c r="R491" s="230">
        <v>0</v>
      </c>
      <c r="S491" s="229">
        <v>0</v>
      </c>
      <c r="T491" s="536">
        <v>0</v>
      </c>
      <c r="U491" s="536"/>
      <c r="V491" s="229">
        <v>0</v>
      </c>
      <c r="W491" s="222" t="s">
        <v>212</v>
      </c>
      <c r="X491" s="530">
        <v>530.20000000000005</v>
      </c>
      <c r="Y491" s="530"/>
      <c r="Z491" s="222" t="s">
        <v>212</v>
      </c>
      <c r="AA491" s="232">
        <v>7554800</v>
      </c>
      <c r="AB491" s="233">
        <v>0</v>
      </c>
      <c r="AC491" s="215"/>
    </row>
    <row r="492" spans="1:29" ht="2.25" customHeight="1">
      <c r="A492" s="215"/>
      <c r="B492" s="529" t="s">
        <v>212</v>
      </c>
      <c r="C492" s="529"/>
      <c r="D492" s="219" t="s">
        <v>212</v>
      </c>
      <c r="E492" s="222" t="s">
        <v>212</v>
      </c>
      <c r="F492" s="531" t="s">
        <v>212</v>
      </c>
      <c r="G492" s="531"/>
      <c r="H492" s="222" t="s">
        <v>212</v>
      </c>
      <c r="I492" s="531" t="s">
        <v>212</v>
      </c>
      <c r="J492" s="531"/>
      <c r="K492" s="222" t="s">
        <v>212</v>
      </c>
      <c r="L492" s="222" t="s">
        <v>212</v>
      </c>
      <c r="M492" s="222" t="s">
        <v>212</v>
      </c>
      <c r="N492" s="222" t="s">
        <v>212</v>
      </c>
      <c r="O492" s="222" t="s">
        <v>212</v>
      </c>
      <c r="P492" s="222" t="s">
        <v>212</v>
      </c>
      <c r="Q492" s="222" t="s">
        <v>212</v>
      </c>
      <c r="R492" s="222" t="s">
        <v>212</v>
      </c>
      <c r="S492" s="222" t="s">
        <v>212</v>
      </c>
      <c r="T492" s="531" t="s">
        <v>212</v>
      </c>
      <c r="U492" s="531"/>
      <c r="V492" s="222" t="s">
        <v>212</v>
      </c>
      <c r="W492" s="222" t="s">
        <v>212</v>
      </c>
      <c r="X492" s="531" t="s">
        <v>212</v>
      </c>
      <c r="Y492" s="531"/>
      <c r="Z492" s="222" t="s">
        <v>212</v>
      </c>
      <c r="AA492" s="222" t="s">
        <v>212</v>
      </c>
      <c r="AB492" s="222" t="s">
        <v>212</v>
      </c>
      <c r="AC492" s="215"/>
    </row>
    <row r="493" spans="1:29" ht="13.5" customHeight="1">
      <c r="A493" s="215"/>
      <c r="B493" s="532">
        <v>39321</v>
      </c>
      <c r="C493" s="532"/>
      <c r="D493" s="219" t="s">
        <v>212</v>
      </c>
      <c r="E493" s="224">
        <v>225.1</v>
      </c>
      <c r="F493" s="533">
        <v>24</v>
      </c>
      <c r="G493" s="533"/>
      <c r="H493" s="224">
        <v>232.2</v>
      </c>
      <c r="I493" s="533">
        <v>24</v>
      </c>
      <c r="J493" s="533"/>
      <c r="K493" s="224">
        <v>0</v>
      </c>
      <c r="L493" s="225">
        <v>0</v>
      </c>
      <c r="M493" s="224">
        <v>0</v>
      </c>
      <c r="N493" s="225">
        <v>0</v>
      </c>
      <c r="O493" s="226">
        <v>457.3</v>
      </c>
      <c r="P493" s="222" t="s">
        <v>212</v>
      </c>
      <c r="Q493" s="224">
        <v>0</v>
      </c>
      <c r="R493" s="225">
        <v>0</v>
      </c>
      <c r="S493" s="224">
        <v>0</v>
      </c>
      <c r="T493" s="533">
        <v>0</v>
      </c>
      <c r="U493" s="533"/>
      <c r="V493" s="224">
        <v>0</v>
      </c>
      <c r="W493" s="222" t="s">
        <v>212</v>
      </c>
      <c r="X493" s="534">
        <v>457.3</v>
      </c>
      <c r="Y493" s="534"/>
      <c r="Z493" s="222" t="s">
        <v>212</v>
      </c>
      <c r="AA493" s="227">
        <v>6985000</v>
      </c>
      <c r="AB493" s="228">
        <v>0</v>
      </c>
      <c r="AC493" s="215"/>
    </row>
    <row r="494" spans="1:29" ht="2.25" customHeight="1">
      <c r="A494" s="215"/>
      <c r="B494" s="529" t="s">
        <v>212</v>
      </c>
      <c r="C494" s="529"/>
      <c r="D494" s="219" t="s">
        <v>212</v>
      </c>
      <c r="E494" s="222" t="s">
        <v>212</v>
      </c>
      <c r="F494" s="531" t="s">
        <v>212</v>
      </c>
      <c r="G494" s="531"/>
      <c r="H494" s="222" t="s">
        <v>212</v>
      </c>
      <c r="I494" s="531" t="s">
        <v>212</v>
      </c>
      <c r="J494" s="531"/>
      <c r="K494" s="222" t="s">
        <v>212</v>
      </c>
      <c r="L494" s="222" t="s">
        <v>212</v>
      </c>
      <c r="M494" s="222" t="s">
        <v>212</v>
      </c>
      <c r="N494" s="222" t="s">
        <v>212</v>
      </c>
      <c r="O494" s="222" t="s">
        <v>212</v>
      </c>
      <c r="P494" s="222" t="s">
        <v>212</v>
      </c>
      <c r="Q494" s="222" t="s">
        <v>212</v>
      </c>
      <c r="R494" s="222" t="s">
        <v>212</v>
      </c>
      <c r="S494" s="222" t="s">
        <v>212</v>
      </c>
      <c r="T494" s="531" t="s">
        <v>212</v>
      </c>
      <c r="U494" s="531"/>
      <c r="V494" s="222" t="s">
        <v>212</v>
      </c>
      <c r="W494" s="222" t="s">
        <v>212</v>
      </c>
      <c r="X494" s="531" t="s">
        <v>212</v>
      </c>
      <c r="Y494" s="531"/>
      <c r="Z494" s="222" t="s">
        <v>212</v>
      </c>
      <c r="AA494" s="222" t="s">
        <v>212</v>
      </c>
      <c r="AB494" s="222" t="s">
        <v>212</v>
      </c>
      <c r="AC494" s="215"/>
    </row>
    <row r="495" spans="1:29" ht="13.5" customHeight="1">
      <c r="A495" s="215"/>
      <c r="B495" s="535">
        <v>39322</v>
      </c>
      <c r="C495" s="535"/>
      <c r="D495" s="219" t="s">
        <v>212</v>
      </c>
      <c r="E495" s="229">
        <v>259.7</v>
      </c>
      <c r="F495" s="536">
        <v>24</v>
      </c>
      <c r="G495" s="536"/>
      <c r="H495" s="229">
        <v>292.10000000000002</v>
      </c>
      <c r="I495" s="536">
        <v>24</v>
      </c>
      <c r="J495" s="536"/>
      <c r="K495" s="229">
        <v>0</v>
      </c>
      <c r="L495" s="230">
        <v>0</v>
      </c>
      <c r="M495" s="229">
        <v>0</v>
      </c>
      <c r="N495" s="230">
        <v>0</v>
      </c>
      <c r="O495" s="231">
        <v>551.79999999999995</v>
      </c>
      <c r="P495" s="222" t="s">
        <v>212</v>
      </c>
      <c r="Q495" s="229">
        <v>0</v>
      </c>
      <c r="R495" s="230">
        <v>0</v>
      </c>
      <c r="S495" s="229">
        <v>0</v>
      </c>
      <c r="T495" s="536">
        <v>0</v>
      </c>
      <c r="U495" s="536"/>
      <c r="V495" s="229">
        <v>0</v>
      </c>
      <c r="W495" s="222" t="s">
        <v>212</v>
      </c>
      <c r="X495" s="530">
        <v>551.79999999999995</v>
      </c>
      <c r="Y495" s="530"/>
      <c r="Z495" s="222" t="s">
        <v>212</v>
      </c>
      <c r="AA495" s="232">
        <v>7779600</v>
      </c>
      <c r="AB495" s="233">
        <v>0</v>
      </c>
      <c r="AC495" s="215"/>
    </row>
    <row r="496" spans="1:29" ht="2.25" customHeight="1">
      <c r="A496" s="215"/>
      <c r="B496" s="529" t="s">
        <v>212</v>
      </c>
      <c r="C496" s="529"/>
      <c r="D496" s="219" t="s">
        <v>212</v>
      </c>
      <c r="E496" s="222" t="s">
        <v>212</v>
      </c>
      <c r="F496" s="531" t="s">
        <v>212</v>
      </c>
      <c r="G496" s="531"/>
      <c r="H496" s="222" t="s">
        <v>212</v>
      </c>
      <c r="I496" s="531" t="s">
        <v>212</v>
      </c>
      <c r="J496" s="531"/>
      <c r="K496" s="222" t="s">
        <v>212</v>
      </c>
      <c r="L496" s="222" t="s">
        <v>212</v>
      </c>
      <c r="M496" s="222" t="s">
        <v>212</v>
      </c>
      <c r="N496" s="222" t="s">
        <v>212</v>
      </c>
      <c r="O496" s="222" t="s">
        <v>212</v>
      </c>
      <c r="P496" s="222" t="s">
        <v>212</v>
      </c>
      <c r="Q496" s="222" t="s">
        <v>212</v>
      </c>
      <c r="R496" s="222" t="s">
        <v>212</v>
      </c>
      <c r="S496" s="222" t="s">
        <v>212</v>
      </c>
      <c r="T496" s="531" t="s">
        <v>212</v>
      </c>
      <c r="U496" s="531"/>
      <c r="V496" s="222" t="s">
        <v>212</v>
      </c>
      <c r="W496" s="222" t="s">
        <v>212</v>
      </c>
      <c r="X496" s="531" t="s">
        <v>212</v>
      </c>
      <c r="Y496" s="531"/>
      <c r="Z496" s="222" t="s">
        <v>212</v>
      </c>
      <c r="AA496" s="222" t="s">
        <v>212</v>
      </c>
      <c r="AB496" s="222" t="s">
        <v>212</v>
      </c>
      <c r="AC496" s="215"/>
    </row>
    <row r="497" spans="1:29" ht="13.5" customHeight="1">
      <c r="A497" s="215"/>
      <c r="B497" s="532">
        <v>39323</v>
      </c>
      <c r="C497" s="532"/>
      <c r="D497" s="219" t="s">
        <v>212</v>
      </c>
      <c r="E497" s="224">
        <v>249.8</v>
      </c>
      <c r="F497" s="533">
        <v>24</v>
      </c>
      <c r="G497" s="533"/>
      <c r="H497" s="224">
        <v>303.10000000000002</v>
      </c>
      <c r="I497" s="533">
        <v>24</v>
      </c>
      <c r="J497" s="533"/>
      <c r="K497" s="224">
        <v>0</v>
      </c>
      <c r="L497" s="225">
        <v>0</v>
      </c>
      <c r="M497" s="224">
        <v>0</v>
      </c>
      <c r="N497" s="225">
        <v>0</v>
      </c>
      <c r="O497" s="226">
        <v>552.9</v>
      </c>
      <c r="P497" s="222" t="s">
        <v>212</v>
      </c>
      <c r="Q497" s="224">
        <v>0</v>
      </c>
      <c r="R497" s="225">
        <v>0</v>
      </c>
      <c r="S497" s="224">
        <v>0</v>
      </c>
      <c r="T497" s="533">
        <v>0</v>
      </c>
      <c r="U497" s="533"/>
      <c r="V497" s="224">
        <v>0</v>
      </c>
      <c r="W497" s="222" t="s">
        <v>212</v>
      </c>
      <c r="X497" s="534">
        <v>552.9</v>
      </c>
      <c r="Y497" s="534"/>
      <c r="Z497" s="222" t="s">
        <v>212</v>
      </c>
      <c r="AA497" s="227">
        <v>7727500</v>
      </c>
      <c r="AB497" s="228">
        <v>0</v>
      </c>
      <c r="AC497" s="215"/>
    </row>
    <row r="498" spans="1:29" ht="2.25" customHeight="1">
      <c r="A498" s="215"/>
      <c r="B498" s="529" t="s">
        <v>212</v>
      </c>
      <c r="C498" s="529"/>
      <c r="D498" s="219" t="s">
        <v>212</v>
      </c>
      <c r="E498" s="222" t="s">
        <v>212</v>
      </c>
      <c r="F498" s="531" t="s">
        <v>212</v>
      </c>
      <c r="G498" s="531"/>
      <c r="H498" s="222" t="s">
        <v>212</v>
      </c>
      <c r="I498" s="531" t="s">
        <v>212</v>
      </c>
      <c r="J498" s="531"/>
      <c r="K498" s="222" t="s">
        <v>212</v>
      </c>
      <c r="L498" s="222" t="s">
        <v>212</v>
      </c>
      <c r="M498" s="222" t="s">
        <v>212</v>
      </c>
      <c r="N498" s="222" t="s">
        <v>212</v>
      </c>
      <c r="O498" s="222" t="s">
        <v>212</v>
      </c>
      <c r="P498" s="222" t="s">
        <v>212</v>
      </c>
      <c r="Q498" s="222" t="s">
        <v>212</v>
      </c>
      <c r="R498" s="222" t="s">
        <v>212</v>
      </c>
      <c r="S498" s="222" t="s">
        <v>212</v>
      </c>
      <c r="T498" s="531" t="s">
        <v>212</v>
      </c>
      <c r="U498" s="531"/>
      <c r="V498" s="222" t="s">
        <v>212</v>
      </c>
      <c r="W498" s="222" t="s">
        <v>212</v>
      </c>
      <c r="X498" s="531" t="s">
        <v>212</v>
      </c>
      <c r="Y498" s="531"/>
      <c r="Z498" s="222" t="s">
        <v>212</v>
      </c>
      <c r="AA498" s="222" t="s">
        <v>212</v>
      </c>
      <c r="AB498" s="222" t="s">
        <v>212</v>
      </c>
      <c r="AC498" s="215"/>
    </row>
    <row r="499" spans="1:29" ht="13.5" customHeight="1">
      <c r="A499" s="215"/>
      <c r="B499" s="535">
        <v>39324</v>
      </c>
      <c r="C499" s="535"/>
      <c r="D499" s="219" t="s">
        <v>212</v>
      </c>
      <c r="E499" s="229">
        <v>265.5</v>
      </c>
      <c r="F499" s="536">
        <v>24</v>
      </c>
      <c r="G499" s="536"/>
      <c r="H499" s="229">
        <v>317.7</v>
      </c>
      <c r="I499" s="536">
        <v>24</v>
      </c>
      <c r="J499" s="536"/>
      <c r="K499" s="229">
        <v>34.9</v>
      </c>
      <c r="L499" s="230">
        <v>10</v>
      </c>
      <c r="M499" s="229">
        <v>0</v>
      </c>
      <c r="N499" s="230">
        <v>0</v>
      </c>
      <c r="O499" s="231">
        <v>618.1</v>
      </c>
      <c r="P499" s="222" t="s">
        <v>212</v>
      </c>
      <c r="Q499" s="229">
        <v>0</v>
      </c>
      <c r="R499" s="230">
        <v>0</v>
      </c>
      <c r="S499" s="229">
        <v>0</v>
      </c>
      <c r="T499" s="536">
        <v>0</v>
      </c>
      <c r="U499" s="536"/>
      <c r="V499" s="229">
        <v>0</v>
      </c>
      <c r="W499" s="222" t="s">
        <v>212</v>
      </c>
      <c r="X499" s="530">
        <v>618.1</v>
      </c>
      <c r="Y499" s="530"/>
      <c r="Z499" s="222" t="s">
        <v>212</v>
      </c>
      <c r="AA499" s="232">
        <v>8679500</v>
      </c>
      <c r="AB499" s="233">
        <v>5233</v>
      </c>
      <c r="AC499" s="215"/>
    </row>
    <row r="500" spans="1:29" ht="2.25" customHeight="1">
      <c r="A500" s="215"/>
      <c r="B500" s="529" t="s">
        <v>212</v>
      </c>
      <c r="C500" s="529"/>
      <c r="D500" s="219" t="s">
        <v>212</v>
      </c>
      <c r="E500" s="222" t="s">
        <v>212</v>
      </c>
      <c r="F500" s="531" t="s">
        <v>212</v>
      </c>
      <c r="G500" s="531"/>
      <c r="H500" s="222" t="s">
        <v>212</v>
      </c>
      <c r="I500" s="531" t="s">
        <v>212</v>
      </c>
      <c r="J500" s="531"/>
      <c r="K500" s="222" t="s">
        <v>212</v>
      </c>
      <c r="L500" s="222" t="s">
        <v>212</v>
      </c>
      <c r="M500" s="222" t="s">
        <v>212</v>
      </c>
      <c r="N500" s="222" t="s">
        <v>212</v>
      </c>
      <c r="O500" s="222" t="s">
        <v>212</v>
      </c>
      <c r="P500" s="222" t="s">
        <v>212</v>
      </c>
      <c r="Q500" s="222" t="s">
        <v>212</v>
      </c>
      <c r="R500" s="222" t="s">
        <v>212</v>
      </c>
      <c r="S500" s="222" t="s">
        <v>212</v>
      </c>
      <c r="T500" s="531" t="s">
        <v>212</v>
      </c>
      <c r="U500" s="531"/>
      <c r="V500" s="222" t="s">
        <v>212</v>
      </c>
      <c r="W500" s="222" t="s">
        <v>212</v>
      </c>
      <c r="X500" s="531" t="s">
        <v>212</v>
      </c>
      <c r="Y500" s="531"/>
      <c r="Z500" s="222" t="s">
        <v>212</v>
      </c>
      <c r="AA500" s="222" t="s">
        <v>212</v>
      </c>
      <c r="AB500" s="222" t="s">
        <v>212</v>
      </c>
      <c r="AC500" s="215"/>
    </row>
    <row r="501" spans="1:29" ht="13.5" customHeight="1">
      <c r="A501" s="215"/>
      <c r="B501" s="532">
        <v>39325</v>
      </c>
      <c r="C501" s="532"/>
      <c r="D501" s="219" t="s">
        <v>212</v>
      </c>
      <c r="E501" s="224">
        <v>299</v>
      </c>
      <c r="F501" s="533">
        <v>24</v>
      </c>
      <c r="G501" s="533"/>
      <c r="H501" s="224">
        <v>362</v>
      </c>
      <c r="I501" s="533">
        <v>24</v>
      </c>
      <c r="J501" s="533"/>
      <c r="K501" s="224">
        <v>33.5</v>
      </c>
      <c r="L501" s="225">
        <v>5</v>
      </c>
      <c r="M501" s="224">
        <v>0</v>
      </c>
      <c r="N501" s="225">
        <v>0</v>
      </c>
      <c r="O501" s="226">
        <v>694.5</v>
      </c>
      <c r="P501" s="222" t="s">
        <v>212</v>
      </c>
      <c r="Q501" s="224">
        <v>0</v>
      </c>
      <c r="R501" s="225">
        <v>0</v>
      </c>
      <c r="S501" s="224">
        <v>0</v>
      </c>
      <c r="T501" s="533">
        <v>0</v>
      </c>
      <c r="U501" s="533"/>
      <c r="V501" s="224">
        <v>0</v>
      </c>
      <c r="W501" s="222" t="s">
        <v>212</v>
      </c>
      <c r="X501" s="534">
        <v>694.5</v>
      </c>
      <c r="Y501" s="534"/>
      <c r="Z501" s="222" t="s">
        <v>212</v>
      </c>
      <c r="AA501" s="227">
        <v>9445500</v>
      </c>
      <c r="AB501" s="228">
        <v>0</v>
      </c>
      <c r="AC501" s="215"/>
    </row>
    <row r="502" spans="1:29" ht="2.25" customHeight="1">
      <c r="A502" s="215"/>
      <c r="B502" s="529" t="s">
        <v>212</v>
      </c>
      <c r="C502" s="529"/>
      <c r="D502" s="219" t="s">
        <v>212</v>
      </c>
      <c r="E502" s="222" t="s">
        <v>212</v>
      </c>
      <c r="F502" s="531" t="s">
        <v>212</v>
      </c>
      <c r="G502" s="531"/>
      <c r="H502" s="222" t="s">
        <v>212</v>
      </c>
      <c r="I502" s="531" t="s">
        <v>212</v>
      </c>
      <c r="J502" s="531"/>
      <c r="K502" s="222" t="s">
        <v>212</v>
      </c>
      <c r="L502" s="222" t="s">
        <v>212</v>
      </c>
      <c r="M502" s="222" t="s">
        <v>212</v>
      </c>
      <c r="N502" s="222" t="s">
        <v>212</v>
      </c>
      <c r="O502" s="222" t="s">
        <v>212</v>
      </c>
      <c r="P502" s="222" t="s">
        <v>212</v>
      </c>
      <c r="Q502" s="222" t="s">
        <v>212</v>
      </c>
      <c r="R502" s="222" t="s">
        <v>212</v>
      </c>
      <c r="S502" s="222" t="s">
        <v>212</v>
      </c>
      <c r="T502" s="531" t="s">
        <v>212</v>
      </c>
      <c r="U502" s="531"/>
      <c r="V502" s="222" t="s">
        <v>212</v>
      </c>
      <c r="W502" s="222" t="s">
        <v>212</v>
      </c>
      <c r="X502" s="531" t="s">
        <v>212</v>
      </c>
      <c r="Y502" s="531"/>
      <c r="Z502" s="222" t="s">
        <v>212</v>
      </c>
      <c r="AA502" s="222" t="s">
        <v>212</v>
      </c>
      <c r="AB502" s="222" t="s">
        <v>212</v>
      </c>
      <c r="AC502" s="215"/>
    </row>
    <row r="503" spans="1:29" ht="13.5" customHeight="1">
      <c r="A503" s="215"/>
      <c r="B503" s="535">
        <v>39326</v>
      </c>
      <c r="C503" s="535"/>
      <c r="D503" s="219" t="s">
        <v>212</v>
      </c>
      <c r="E503" s="229">
        <v>180.9</v>
      </c>
      <c r="F503" s="536">
        <v>24</v>
      </c>
      <c r="G503" s="536"/>
      <c r="H503" s="229">
        <v>220.5</v>
      </c>
      <c r="I503" s="536">
        <v>24</v>
      </c>
      <c r="J503" s="536"/>
      <c r="K503" s="229">
        <v>256.89999999999998</v>
      </c>
      <c r="L503" s="230">
        <v>24</v>
      </c>
      <c r="M503" s="229">
        <v>0</v>
      </c>
      <c r="N503" s="230">
        <v>0</v>
      </c>
      <c r="O503" s="231">
        <v>658.3</v>
      </c>
      <c r="P503" s="222" t="s">
        <v>212</v>
      </c>
      <c r="Q503" s="229">
        <v>0</v>
      </c>
      <c r="R503" s="230">
        <v>0</v>
      </c>
      <c r="S503" s="229">
        <v>0</v>
      </c>
      <c r="T503" s="536">
        <v>0</v>
      </c>
      <c r="U503" s="536"/>
      <c r="V503" s="229">
        <v>0</v>
      </c>
      <c r="W503" s="222" t="s">
        <v>212</v>
      </c>
      <c r="X503" s="530">
        <v>658.3</v>
      </c>
      <c r="Y503" s="530"/>
      <c r="Z503" s="222" t="s">
        <v>212</v>
      </c>
      <c r="AA503" s="232">
        <v>10326800</v>
      </c>
      <c r="AB503" s="233">
        <v>0</v>
      </c>
      <c r="AC503" s="215"/>
    </row>
    <row r="504" spans="1:29" ht="2.25" customHeight="1">
      <c r="A504" s="215"/>
      <c r="B504" s="529" t="s">
        <v>212</v>
      </c>
      <c r="C504" s="529"/>
      <c r="D504" s="219" t="s">
        <v>212</v>
      </c>
      <c r="E504" s="222" t="s">
        <v>212</v>
      </c>
      <c r="F504" s="531" t="s">
        <v>212</v>
      </c>
      <c r="G504" s="531"/>
      <c r="H504" s="222" t="s">
        <v>212</v>
      </c>
      <c r="I504" s="531" t="s">
        <v>212</v>
      </c>
      <c r="J504" s="531"/>
      <c r="K504" s="222" t="s">
        <v>212</v>
      </c>
      <c r="L504" s="222" t="s">
        <v>212</v>
      </c>
      <c r="M504" s="222" t="s">
        <v>212</v>
      </c>
      <c r="N504" s="222" t="s">
        <v>212</v>
      </c>
      <c r="O504" s="222" t="s">
        <v>212</v>
      </c>
      <c r="P504" s="222" t="s">
        <v>212</v>
      </c>
      <c r="Q504" s="222" t="s">
        <v>212</v>
      </c>
      <c r="R504" s="222" t="s">
        <v>212</v>
      </c>
      <c r="S504" s="222" t="s">
        <v>212</v>
      </c>
      <c r="T504" s="531" t="s">
        <v>212</v>
      </c>
      <c r="U504" s="531"/>
      <c r="V504" s="222" t="s">
        <v>212</v>
      </c>
      <c r="W504" s="222" t="s">
        <v>212</v>
      </c>
      <c r="X504" s="531" t="s">
        <v>212</v>
      </c>
      <c r="Y504" s="531"/>
      <c r="Z504" s="222" t="s">
        <v>212</v>
      </c>
      <c r="AA504" s="222" t="s">
        <v>212</v>
      </c>
      <c r="AB504" s="222" t="s">
        <v>212</v>
      </c>
      <c r="AC504" s="215"/>
    </row>
    <row r="505" spans="1:29" ht="13.5" customHeight="1">
      <c r="A505" s="215"/>
      <c r="B505" s="532">
        <v>39327</v>
      </c>
      <c r="C505" s="532"/>
      <c r="D505" s="219" t="s">
        <v>212</v>
      </c>
      <c r="E505" s="224">
        <v>160.1</v>
      </c>
      <c r="F505" s="533">
        <v>24</v>
      </c>
      <c r="G505" s="533"/>
      <c r="H505" s="224">
        <v>208.5</v>
      </c>
      <c r="I505" s="533">
        <v>24</v>
      </c>
      <c r="J505" s="533"/>
      <c r="K505" s="224">
        <v>299.89999999999998</v>
      </c>
      <c r="L505" s="225">
        <v>24</v>
      </c>
      <c r="M505" s="224">
        <v>0</v>
      </c>
      <c r="N505" s="225">
        <v>0</v>
      </c>
      <c r="O505" s="226">
        <v>668.5</v>
      </c>
      <c r="P505" s="222" t="s">
        <v>212</v>
      </c>
      <c r="Q505" s="224">
        <v>0</v>
      </c>
      <c r="R505" s="225">
        <v>0</v>
      </c>
      <c r="S505" s="224">
        <v>0</v>
      </c>
      <c r="T505" s="533">
        <v>0</v>
      </c>
      <c r="U505" s="533"/>
      <c r="V505" s="224">
        <v>0</v>
      </c>
      <c r="W505" s="222" t="s">
        <v>212</v>
      </c>
      <c r="X505" s="534">
        <v>668.5</v>
      </c>
      <c r="Y505" s="534"/>
      <c r="Z505" s="222" t="s">
        <v>212</v>
      </c>
      <c r="AA505" s="227">
        <v>10516300</v>
      </c>
      <c r="AB505" s="228">
        <v>0</v>
      </c>
      <c r="AC505" s="215"/>
    </row>
    <row r="506" spans="1:29" ht="2.25" customHeight="1">
      <c r="A506" s="215"/>
      <c r="B506" s="529" t="s">
        <v>212</v>
      </c>
      <c r="C506" s="529"/>
      <c r="D506" s="219" t="s">
        <v>212</v>
      </c>
      <c r="E506" s="222" t="s">
        <v>212</v>
      </c>
      <c r="F506" s="531" t="s">
        <v>212</v>
      </c>
      <c r="G506" s="531"/>
      <c r="H506" s="222" t="s">
        <v>212</v>
      </c>
      <c r="I506" s="531" t="s">
        <v>212</v>
      </c>
      <c r="J506" s="531"/>
      <c r="K506" s="222" t="s">
        <v>212</v>
      </c>
      <c r="L506" s="222" t="s">
        <v>212</v>
      </c>
      <c r="M506" s="222" t="s">
        <v>212</v>
      </c>
      <c r="N506" s="222" t="s">
        <v>212</v>
      </c>
      <c r="O506" s="222" t="s">
        <v>212</v>
      </c>
      <c r="P506" s="222" t="s">
        <v>212</v>
      </c>
      <c r="Q506" s="222" t="s">
        <v>212</v>
      </c>
      <c r="R506" s="222" t="s">
        <v>212</v>
      </c>
      <c r="S506" s="222" t="s">
        <v>212</v>
      </c>
      <c r="T506" s="531" t="s">
        <v>212</v>
      </c>
      <c r="U506" s="531"/>
      <c r="V506" s="222" t="s">
        <v>212</v>
      </c>
      <c r="W506" s="222" t="s">
        <v>212</v>
      </c>
      <c r="X506" s="531" t="s">
        <v>212</v>
      </c>
      <c r="Y506" s="531"/>
      <c r="Z506" s="222" t="s">
        <v>212</v>
      </c>
      <c r="AA506" s="222" t="s">
        <v>212</v>
      </c>
      <c r="AB506" s="222" t="s">
        <v>212</v>
      </c>
      <c r="AC506" s="215"/>
    </row>
    <row r="507" spans="1:29" ht="13.5" customHeight="1">
      <c r="A507" s="215"/>
      <c r="B507" s="535">
        <v>39328</v>
      </c>
      <c r="C507" s="535"/>
      <c r="D507" s="219" t="s">
        <v>212</v>
      </c>
      <c r="E507" s="229">
        <v>68.5</v>
      </c>
      <c r="F507" s="536">
        <v>12</v>
      </c>
      <c r="G507" s="536"/>
      <c r="H507" s="229">
        <v>254.2</v>
      </c>
      <c r="I507" s="536">
        <v>24</v>
      </c>
      <c r="J507" s="536"/>
      <c r="K507" s="229">
        <v>303.2</v>
      </c>
      <c r="L507" s="230">
        <v>24</v>
      </c>
      <c r="M507" s="229">
        <v>0</v>
      </c>
      <c r="N507" s="230">
        <v>0</v>
      </c>
      <c r="O507" s="231">
        <v>625.9</v>
      </c>
      <c r="P507" s="222" t="s">
        <v>212</v>
      </c>
      <c r="Q507" s="229">
        <v>0</v>
      </c>
      <c r="R507" s="230">
        <v>0</v>
      </c>
      <c r="S507" s="229">
        <v>0</v>
      </c>
      <c r="T507" s="536">
        <v>0</v>
      </c>
      <c r="U507" s="536"/>
      <c r="V507" s="229">
        <v>0</v>
      </c>
      <c r="W507" s="222" t="s">
        <v>212</v>
      </c>
      <c r="X507" s="530">
        <v>625.9</v>
      </c>
      <c r="Y507" s="530"/>
      <c r="Z507" s="222" t="s">
        <v>212</v>
      </c>
      <c r="AA507" s="232">
        <v>9257100</v>
      </c>
      <c r="AB507" s="233">
        <v>0</v>
      </c>
      <c r="AC507" s="215"/>
    </row>
    <row r="508" spans="1:29" ht="2.25" customHeight="1">
      <c r="A508" s="215"/>
      <c r="B508" s="529" t="s">
        <v>212</v>
      </c>
      <c r="C508" s="529"/>
      <c r="D508" s="219" t="s">
        <v>212</v>
      </c>
      <c r="E508" s="222" t="s">
        <v>212</v>
      </c>
      <c r="F508" s="531" t="s">
        <v>212</v>
      </c>
      <c r="G508" s="531"/>
      <c r="H508" s="222" t="s">
        <v>212</v>
      </c>
      <c r="I508" s="531" t="s">
        <v>212</v>
      </c>
      <c r="J508" s="531"/>
      <c r="K508" s="222" t="s">
        <v>212</v>
      </c>
      <c r="L508" s="222" t="s">
        <v>212</v>
      </c>
      <c r="M508" s="222" t="s">
        <v>212</v>
      </c>
      <c r="N508" s="222" t="s">
        <v>212</v>
      </c>
      <c r="O508" s="222" t="s">
        <v>212</v>
      </c>
      <c r="P508" s="222" t="s">
        <v>212</v>
      </c>
      <c r="Q508" s="222" t="s">
        <v>212</v>
      </c>
      <c r="R508" s="222" t="s">
        <v>212</v>
      </c>
      <c r="S508" s="222" t="s">
        <v>212</v>
      </c>
      <c r="T508" s="531" t="s">
        <v>212</v>
      </c>
      <c r="U508" s="531"/>
      <c r="V508" s="222" t="s">
        <v>212</v>
      </c>
      <c r="W508" s="222" t="s">
        <v>212</v>
      </c>
      <c r="X508" s="531" t="s">
        <v>212</v>
      </c>
      <c r="Y508" s="531"/>
      <c r="Z508" s="222" t="s">
        <v>212</v>
      </c>
      <c r="AA508" s="222" t="s">
        <v>212</v>
      </c>
      <c r="AB508" s="222" t="s">
        <v>212</v>
      </c>
      <c r="AC508" s="215"/>
    </row>
    <row r="509" spans="1:29" ht="13.5" customHeight="1">
      <c r="A509" s="215"/>
      <c r="B509" s="532">
        <v>39329</v>
      </c>
      <c r="C509" s="532"/>
      <c r="D509" s="219" t="s">
        <v>212</v>
      </c>
      <c r="E509" s="224">
        <v>0</v>
      </c>
      <c r="F509" s="533">
        <v>0</v>
      </c>
      <c r="G509" s="533"/>
      <c r="H509" s="224">
        <v>350.3</v>
      </c>
      <c r="I509" s="533">
        <v>24</v>
      </c>
      <c r="J509" s="533"/>
      <c r="K509" s="224">
        <v>315</v>
      </c>
      <c r="L509" s="225">
        <v>24</v>
      </c>
      <c r="M509" s="224">
        <v>0</v>
      </c>
      <c r="N509" s="225">
        <v>0</v>
      </c>
      <c r="O509" s="226">
        <v>665.3</v>
      </c>
      <c r="P509" s="222" t="s">
        <v>212</v>
      </c>
      <c r="Q509" s="224">
        <v>0</v>
      </c>
      <c r="R509" s="225">
        <v>0</v>
      </c>
      <c r="S509" s="224">
        <v>0</v>
      </c>
      <c r="T509" s="533">
        <v>0</v>
      </c>
      <c r="U509" s="533"/>
      <c r="V509" s="224">
        <v>0</v>
      </c>
      <c r="W509" s="222" t="s">
        <v>212</v>
      </c>
      <c r="X509" s="534">
        <v>665.3</v>
      </c>
      <c r="Y509" s="534"/>
      <c r="Z509" s="222" t="s">
        <v>212</v>
      </c>
      <c r="AA509" s="227">
        <v>8630800</v>
      </c>
      <c r="AB509" s="228">
        <v>0</v>
      </c>
      <c r="AC509" s="215"/>
    </row>
    <row r="510" spans="1:29" ht="2.25" customHeight="1">
      <c r="A510" s="215"/>
      <c r="B510" s="529" t="s">
        <v>212</v>
      </c>
      <c r="C510" s="529"/>
      <c r="D510" s="219" t="s">
        <v>212</v>
      </c>
      <c r="E510" s="222" t="s">
        <v>212</v>
      </c>
      <c r="F510" s="531" t="s">
        <v>212</v>
      </c>
      <c r="G510" s="531"/>
      <c r="H510" s="222" t="s">
        <v>212</v>
      </c>
      <c r="I510" s="531" t="s">
        <v>212</v>
      </c>
      <c r="J510" s="531"/>
      <c r="K510" s="222" t="s">
        <v>212</v>
      </c>
      <c r="L510" s="222" t="s">
        <v>212</v>
      </c>
      <c r="M510" s="222" t="s">
        <v>212</v>
      </c>
      <c r="N510" s="222" t="s">
        <v>212</v>
      </c>
      <c r="O510" s="222" t="s">
        <v>212</v>
      </c>
      <c r="P510" s="222" t="s">
        <v>212</v>
      </c>
      <c r="Q510" s="222" t="s">
        <v>212</v>
      </c>
      <c r="R510" s="222" t="s">
        <v>212</v>
      </c>
      <c r="S510" s="222" t="s">
        <v>212</v>
      </c>
      <c r="T510" s="531" t="s">
        <v>212</v>
      </c>
      <c r="U510" s="531"/>
      <c r="V510" s="222" t="s">
        <v>212</v>
      </c>
      <c r="W510" s="222" t="s">
        <v>212</v>
      </c>
      <c r="X510" s="531" t="s">
        <v>212</v>
      </c>
      <c r="Y510" s="531"/>
      <c r="Z510" s="222" t="s">
        <v>212</v>
      </c>
      <c r="AA510" s="222" t="s">
        <v>212</v>
      </c>
      <c r="AB510" s="222" t="s">
        <v>212</v>
      </c>
      <c r="AC510" s="215"/>
    </row>
    <row r="511" spans="1:29" ht="13.5" customHeight="1">
      <c r="A511" s="215"/>
      <c r="B511" s="535">
        <v>39330</v>
      </c>
      <c r="C511" s="535"/>
      <c r="D511" s="219" t="s">
        <v>212</v>
      </c>
      <c r="E511" s="229">
        <v>0</v>
      </c>
      <c r="F511" s="536">
        <v>0</v>
      </c>
      <c r="G511" s="536"/>
      <c r="H511" s="229">
        <v>361.4</v>
      </c>
      <c r="I511" s="536">
        <v>24</v>
      </c>
      <c r="J511" s="536"/>
      <c r="K511" s="229">
        <v>301.3</v>
      </c>
      <c r="L511" s="230">
        <v>24</v>
      </c>
      <c r="M511" s="229">
        <v>0</v>
      </c>
      <c r="N511" s="230">
        <v>0</v>
      </c>
      <c r="O511" s="231">
        <v>662.7</v>
      </c>
      <c r="P511" s="222" t="s">
        <v>212</v>
      </c>
      <c r="Q511" s="229">
        <v>0</v>
      </c>
      <c r="R511" s="230">
        <v>0</v>
      </c>
      <c r="S511" s="229">
        <v>0</v>
      </c>
      <c r="T511" s="536">
        <v>0</v>
      </c>
      <c r="U511" s="536"/>
      <c r="V511" s="229">
        <v>0</v>
      </c>
      <c r="W511" s="222" t="s">
        <v>212</v>
      </c>
      <c r="X511" s="530">
        <v>662.7</v>
      </c>
      <c r="Y511" s="530"/>
      <c r="Z511" s="222" t="s">
        <v>212</v>
      </c>
      <c r="AA511" s="232">
        <v>9609200</v>
      </c>
      <c r="AB511" s="233">
        <v>0</v>
      </c>
      <c r="AC511" s="215"/>
    </row>
    <row r="512" spans="1:29" ht="2.25" customHeight="1">
      <c r="A512" s="215"/>
      <c r="B512" s="529" t="s">
        <v>212</v>
      </c>
      <c r="C512" s="529"/>
      <c r="D512" s="219" t="s">
        <v>212</v>
      </c>
      <c r="E512" s="222" t="s">
        <v>212</v>
      </c>
      <c r="F512" s="531" t="s">
        <v>212</v>
      </c>
      <c r="G512" s="531"/>
      <c r="H512" s="222" t="s">
        <v>212</v>
      </c>
      <c r="I512" s="531" t="s">
        <v>212</v>
      </c>
      <c r="J512" s="531"/>
      <c r="K512" s="222" t="s">
        <v>212</v>
      </c>
      <c r="L512" s="222" t="s">
        <v>212</v>
      </c>
      <c r="M512" s="222" t="s">
        <v>212</v>
      </c>
      <c r="N512" s="222" t="s">
        <v>212</v>
      </c>
      <c r="O512" s="222" t="s">
        <v>212</v>
      </c>
      <c r="P512" s="222" t="s">
        <v>212</v>
      </c>
      <c r="Q512" s="222" t="s">
        <v>212</v>
      </c>
      <c r="R512" s="222" t="s">
        <v>212</v>
      </c>
      <c r="S512" s="222" t="s">
        <v>212</v>
      </c>
      <c r="T512" s="531" t="s">
        <v>212</v>
      </c>
      <c r="U512" s="531"/>
      <c r="V512" s="222" t="s">
        <v>212</v>
      </c>
      <c r="W512" s="222" t="s">
        <v>212</v>
      </c>
      <c r="X512" s="531" t="s">
        <v>212</v>
      </c>
      <c r="Y512" s="531"/>
      <c r="Z512" s="222" t="s">
        <v>212</v>
      </c>
      <c r="AA512" s="222" t="s">
        <v>212</v>
      </c>
      <c r="AB512" s="222" t="s">
        <v>212</v>
      </c>
      <c r="AC512" s="215"/>
    </row>
    <row r="513" spans="1:29" ht="13.5" customHeight="1">
      <c r="A513" s="215"/>
      <c r="B513" s="532">
        <v>39331</v>
      </c>
      <c r="C513" s="532"/>
      <c r="D513" s="219" t="s">
        <v>212</v>
      </c>
      <c r="E513" s="224">
        <v>27</v>
      </c>
      <c r="F513" s="533">
        <v>7</v>
      </c>
      <c r="G513" s="533"/>
      <c r="H513" s="224">
        <v>346.1</v>
      </c>
      <c r="I513" s="533">
        <v>24</v>
      </c>
      <c r="J513" s="533"/>
      <c r="K513" s="224">
        <v>270.2</v>
      </c>
      <c r="L513" s="225">
        <v>24</v>
      </c>
      <c r="M513" s="224">
        <v>0</v>
      </c>
      <c r="N513" s="225">
        <v>0</v>
      </c>
      <c r="O513" s="226">
        <v>643.29999999999995</v>
      </c>
      <c r="P513" s="222" t="s">
        <v>212</v>
      </c>
      <c r="Q513" s="224">
        <v>0</v>
      </c>
      <c r="R513" s="225">
        <v>0</v>
      </c>
      <c r="S513" s="224">
        <v>0</v>
      </c>
      <c r="T513" s="533">
        <v>0</v>
      </c>
      <c r="U513" s="533"/>
      <c r="V513" s="224">
        <v>0</v>
      </c>
      <c r="W513" s="222" t="s">
        <v>212</v>
      </c>
      <c r="X513" s="534">
        <v>643.29999999999995</v>
      </c>
      <c r="Y513" s="534"/>
      <c r="Z513" s="222" t="s">
        <v>212</v>
      </c>
      <c r="AA513" s="227">
        <v>8983200</v>
      </c>
      <c r="AB513" s="228">
        <v>233</v>
      </c>
      <c r="AC513" s="215"/>
    </row>
    <row r="514" spans="1:29" ht="2.25" customHeight="1">
      <c r="A514" s="215"/>
      <c r="B514" s="529" t="s">
        <v>212</v>
      </c>
      <c r="C514" s="529"/>
      <c r="D514" s="219" t="s">
        <v>212</v>
      </c>
      <c r="E514" s="222" t="s">
        <v>212</v>
      </c>
      <c r="F514" s="531" t="s">
        <v>212</v>
      </c>
      <c r="G514" s="531"/>
      <c r="H514" s="222" t="s">
        <v>212</v>
      </c>
      <c r="I514" s="531" t="s">
        <v>212</v>
      </c>
      <c r="J514" s="531"/>
      <c r="K514" s="222" t="s">
        <v>212</v>
      </c>
      <c r="L514" s="222" t="s">
        <v>212</v>
      </c>
      <c r="M514" s="222" t="s">
        <v>212</v>
      </c>
      <c r="N514" s="222" t="s">
        <v>212</v>
      </c>
      <c r="O514" s="222" t="s">
        <v>212</v>
      </c>
      <c r="P514" s="222" t="s">
        <v>212</v>
      </c>
      <c r="Q514" s="222" t="s">
        <v>212</v>
      </c>
      <c r="R514" s="222" t="s">
        <v>212</v>
      </c>
      <c r="S514" s="222" t="s">
        <v>212</v>
      </c>
      <c r="T514" s="531" t="s">
        <v>212</v>
      </c>
      <c r="U514" s="531"/>
      <c r="V514" s="222" t="s">
        <v>212</v>
      </c>
      <c r="W514" s="222" t="s">
        <v>212</v>
      </c>
      <c r="X514" s="531" t="s">
        <v>212</v>
      </c>
      <c r="Y514" s="531"/>
      <c r="Z514" s="222" t="s">
        <v>212</v>
      </c>
      <c r="AA514" s="222" t="s">
        <v>212</v>
      </c>
      <c r="AB514" s="222" t="s">
        <v>212</v>
      </c>
      <c r="AC514" s="215"/>
    </row>
    <row r="515" spans="1:29" ht="13.5" customHeight="1">
      <c r="A515" s="215"/>
      <c r="B515" s="535">
        <v>39332</v>
      </c>
      <c r="C515" s="535"/>
      <c r="D515" s="219" t="s">
        <v>212</v>
      </c>
      <c r="E515" s="229">
        <v>0</v>
      </c>
      <c r="F515" s="536">
        <v>0</v>
      </c>
      <c r="G515" s="536"/>
      <c r="H515" s="229">
        <v>331</v>
      </c>
      <c r="I515" s="536">
        <v>24</v>
      </c>
      <c r="J515" s="536"/>
      <c r="K515" s="229">
        <v>288</v>
      </c>
      <c r="L515" s="230">
        <v>24</v>
      </c>
      <c r="M515" s="229">
        <v>0</v>
      </c>
      <c r="N515" s="230">
        <v>0</v>
      </c>
      <c r="O515" s="231">
        <v>619</v>
      </c>
      <c r="P515" s="222" t="s">
        <v>212</v>
      </c>
      <c r="Q515" s="229">
        <v>0</v>
      </c>
      <c r="R515" s="230">
        <v>0</v>
      </c>
      <c r="S515" s="229">
        <v>0</v>
      </c>
      <c r="T515" s="536">
        <v>0</v>
      </c>
      <c r="U515" s="536"/>
      <c r="V515" s="229">
        <v>0</v>
      </c>
      <c r="W515" s="222" t="s">
        <v>212</v>
      </c>
      <c r="X515" s="530">
        <v>619</v>
      </c>
      <c r="Y515" s="530"/>
      <c r="Z515" s="222" t="s">
        <v>212</v>
      </c>
      <c r="AA515" s="232">
        <v>8260600</v>
      </c>
      <c r="AB515" s="233">
        <v>0</v>
      </c>
      <c r="AC515" s="215"/>
    </row>
    <row r="516" spans="1:29" ht="2.25" customHeight="1">
      <c r="A516" s="215"/>
      <c r="B516" s="529" t="s">
        <v>212</v>
      </c>
      <c r="C516" s="529"/>
      <c r="D516" s="219" t="s">
        <v>212</v>
      </c>
      <c r="E516" s="222" t="s">
        <v>212</v>
      </c>
      <c r="F516" s="531" t="s">
        <v>212</v>
      </c>
      <c r="G516" s="531"/>
      <c r="H516" s="222" t="s">
        <v>212</v>
      </c>
      <c r="I516" s="531" t="s">
        <v>212</v>
      </c>
      <c r="J516" s="531"/>
      <c r="K516" s="222" t="s">
        <v>212</v>
      </c>
      <c r="L516" s="222" t="s">
        <v>212</v>
      </c>
      <c r="M516" s="222" t="s">
        <v>212</v>
      </c>
      <c r="N516" s="222" t="s">
        <v>212</v>
      </c>
      <c r="O516" s="222" t="s">
        <v>212</v>
      </c>
      <c r="P516" s="222" t="s">
        <v>212</v>
      </c>
      <c r="Q516" s="222" t="s">
        <v>212</v>
      </c>
      <c r="R516" s="222" t="s">
        <v>212</v>
      </c>
      <c r="S516" s="222" t="s">
        <v>212</v>
      </c>
      <c r="T516" s="531" t="s">
        <v>212</v>
      </c>
      <c r="U516" s="531"/>
      <c r="V516" s="222" t="s">
        <v>212</v>
      </c>
      <c r="W516" s="222" t="s">
        <v>212</v>
      </c>
      <c r="X516" s="531" t="s">
        <v>212</v>
      </c>
      <c r="Y516" s="531"/>
      <c r="Z516" s="222" t="s">
        <v>212</v>
      </c>
      <c r="AA516" s="222" t="s">
        <v>212</v>
      </c>
      <c r="AB516" s="222" t="s">
        <v>212</v>
      </c>
      <c r="AC516" s="215"/>
    </row>
    <row r="517" spans="1:29" ht="13.5" customHeight="1">
      <c r="A517" s="215"/>
      <c r="B517" s="532">
        <v>39333</v>
      </c>
      <c r="C517" s="532"/>
      <c r="D517" s="219" t="s">
        <v>212</v>
      </c>
      <c r="E517" s="224">
        <v>111</v>
      </c>
      <c r="F517" s="533">
        <v>11</v>
      </c>
      <c r="G517" s="533"/>
      <c r="H517" s="224">
        <v>320.10000000000002</v>
      </c>
      <c r="I517" s="533">
        <v>24</v>
      </c>
      <c r="J517" s="533"/>
      <c r="K517" s="224">
        <v>159.6</v>
      </c>
      <c r="L517" s="225">
        <v>16</v>
      </c>
      <c r="M517" s="224">
        <v>0</v>
      </c>
      <c r="N517" s="225">
        <v>0</v>
      </c>
      <c r="O517" s="226">
        <v>590.70000000000005</v>
      </c>
      <c r="P517" s="222" t="s">
        <v>212</v>
      </c>
      <c r="Q517" s="224">
        <v>0</v>
      </c>
      <c r="R517" s="225">
        <v>0</v>
      </c>
      <c r="S517" s="224">
        <v>0</v>
      </c>
      <c r="T517" s="533">
        <v>0</v>
      </c>
      <c r="U517" s="533"/>
      <c r="V517" s="224">
        <v>0</v>
      </c>
      <c r="W517" s="222" t="s">
        <v>212</v>
      </c>
      <c r="X517" s="534">
        <v>590.70000000000005</v>
      </c>
      <c r="Y517" s="534"/>
      <c r="Z517" s="222" t="s">
        <v>212</v>
      </c>
      <c r="AA517" s="227">
        <v>8271000</v>
      </c>
      <c r="AB517" s="228">
        <v>0</v>
      </c>
      <c r="AC517" s="215"/>
    </row>
    <row r="518" spans="1:29" ht="2.25" customHeight="1">
      <c r="A518" s="215"/>
      <c r="B518" s="529" t="s">
        <v>212</v>
      </c>
      <c r="C518" s="529"/>
      <c r="D518" s="219" t="s">
        <v>212</v>
      </c>
      <c r="E518" s="222" t="s">
        <v>212</v>
      </c>
      <c r="F518" s="531" t="s">
        <v>212</v>
      </c>
      <c r="G518" s="531"/>
      <c r="H518" s="222" t="s">
        <v>212</v>
      </c>
      <c r="I518" s="531" t="s">
        <v>212</v>
      </c>
      <c r="J518" s="531"/>
      <c r="K518" s="222" t="s">
        <v>212</v>
      </c>
      <c r="L518" s="222" t="s">
        <v>212</v>
      </c>
      <c r="M518" s="222" t="s">
        <v>212</v>
      </c>
      <c r="N518" s="222" t="s">
        <v>212</v>
      </c>
      <c r="O518" s="222" t="s">
        <v>212</v>
      </c>
      <c r="P518" s="222" t="s">
        <v>212</v>
      </c>
      <c r="Q518" s="222" t="s">
        <v>212</v>
      </c>
      <c r="R518" s="222" t="s">
        <v>212</v>
      </c>
      <c r="S518" s="222" t="s">
        <v>212</v>
      </c>
      <c r="T518" s="531" t="s">
        <v>212</v>
      </c>
      <c r="U518" s="531"/>
      <c r="V518" s="222" t="s">
        <v>212</v>
      </c>
      <c r="W518" s="222" t="s">
        <v>212</v>
      </c>
      <c r="X518" s="531" t="s">
        <v>212</v>
      </c>
      <c r="Y518" s="531"/>
      <c r="Z518" s="222" t="s">
        <v>212</v>
      </c>
      <c r="AA518" s="222" t="s">
        <v>212</v>
      </c>
      <c r="AB518" s="222" t="s">
        <v>212</v>
      </c>
      <c r="AC518" s="215"/>
    </row>
    <row r="519" spans="1:29" ht="13.5" customHeight="1">
      <c r="A519" s="215"/>
      <c r="B519" s="535">
        <v>39334</v>
      </c>
      <c r="C519" s="535"/>
      <c r="D519" s="219" t="s">
        <v>212</v>
      </c>
      <c r="E519" s="229">
        <v>271.3</v>
      </c>
      <c r="F519" s="536">
        <v>24</v>
      </c>
      <c r="G519" s="536"/>
      <c r="H519" s="229">
        <v>320.2</v>
      </c>
      <c r="I519" s="536">
        <v>24</v>
      </c>
      <c r="J519" s="536"/>
      <c r="K519" s="229">
        <v>0</v>
      </c>
      <c r="L519" s="230">
        <v>0</v>
      </c>
      <c r="M519" s="229">
        <v>0</v>
      </c>
      <c r="N519" s="230">
        <v>0</v>
      </c>
      <c r="O519" s="231">
        <v>591.5</v>
      </c>
      <c r="P519" s="222" t="s">
        <v>212</v>
      </c>
      <c r="Q519" s="229">
        <v>0</v>
      </c>
      <c r="R519" s="230">
        <v>0</v>
      </c>
      <c r="S519" s="229">
        <v>0</v>
      </c>
      <c r="T519" s="536">
        <v>0</v>
      </c>
      <c r="U519" s="536"/>
      <c r="V519" s="229">
        <v>0</v>
      </c>
      <c r="W519" s="222" t="s">
        <v>212</v>
      </c>
      <c r="X519" s="530">
        <v>591.5</v>
      </c>
      <c r="Y519" s="530"/>
      <c r="Z519" s="222" t="s">
        <v>212</v>
      </c>
      <c r="AA519" s="232">
        <v>8030100</v>
      </c>
      <c r="AB519" s="233">
        <v>0</v>
      </c>
      <c r="AC519" s="215"/>
    </row>
    <row r="520" spans="1:29" ht="2.25" customHeight="1">
      <c r="A520" s="215"/>
      <c r="B520" s="529" t="s">
        <v>212</v>
      </c>
      <c r="C520" s="529"/>
      <c r="D520" s="219" t="s">
        <v>212</v>
      </c>
      <c r="E520" s="222" t="s">
        <v>212</v>
      </c>
      <c r="F520" s="531" t="s">
        <v>212</v>
      </c>
      <c r="G520" s="531"/>
      <c r="H520" s="222" t="s">
        <v>212</v>
      </c>
      <c r="I520" s="531" t="s">
        <v>212</v>
      </c>
      <c r="J520" s="531"/>
      <c r="K520" s="222" t="s">
        <v>212</v>
      </c>
      <c r="L520" s="222" t="s">
        <v>212</v>
      </c>
      <c r="M520" s="222" t="s">
        <v>212</v>
      </c>
      <c r="N520" s="222" t="s">
        <v>212</v>
      </c>
      <c r="O520" s="222" t="s">
        <v>212</v>
      </c>
      <c r="P520" s="222" t="s">
        <v>212</v>
      </c>
      <c r="Q520" s="222" t="s">
        <v>212</v>
      </c>
      <c r="R520" s="222" t="s">
        <v>212</v>
      </c>
      <c r="S520" s="222" t="s">
        <v>212</v>
      </c>
      <c r="T520" s="531" t="s">
        <v>212</v>
      </c>
      <c r="U520" s="531"/>
      <c r="V520" s="222" t="s">
        <v>212</v>
      </c>
      <c r="W520" s="222" t="s">
        <v>212</v>
      </c>
      <c r="X520" s="531" t="s">
        <v>212</v>
      </c>
      <c r="Y520" s="531"/>
      <c r="Z520" s="222" t="s">
        <v>212</v>
      </c>
      <c r="AA520" s="222" t="s">
        <v>212</v>
      </c>
      <c r="AB520" s="222" t="s">
        <v>212</v>
      </c>
      <c r="AC520" s="215"/>
    </row>
    <row r="521" spans="1:29" ht="13.5" customHeight="1">
      <c r="A521" s="215"/>
      <c r="B521" s="532">
        <v>39335</v>
      </c>
      <c r="C521" s="532"/>
      <c r="D521" s="219" t="s">
        <v>212</v>
      </c>
      <c r="E521" s="224">
        <v>298.60000000000002</v>
      </c>
      <c r="F521" s="533">
        <v>24</v>
      </c>
      <c r="G521" s="533"/>
      <c r="H521" s="224">
        <v>337.7</v>
      </c>
      <c r="I521" s="533">
        <v>24</v>
      </c>
      <c r="J521" s="533"/>
      <c r="K521" s="224">
        <v>0</v>
      </c>
      <c r="L521" s="225">
        <v>0</v>
      </c>
      <c r="M521" s="224">
        <v>0</v>
      </c>
      <c r="N521" s="225">
        <v>0</v>
      </c>
      <c r="O521" s="226">
        <v>636.29999999999995</v>
      </c>
      <c r="P521" s="222" t="s">
        <v>212</v>
      </c>
      <c r="Q521" s="224">
        <v>0</v>
      </c>
      <c r="R521" s="225">
        <v>0</v>
      </c>
      <c r="S521" s="224">
        <v>0</v>
      </c>
      <c r="T521" s="533">
        <v>0</v>
      </c>
      <c r="U521" s="533"/>
      <c r="V521" s="224">
        <v>0</v>
      </c>
      <c r="W521" s="222" t="s">
        <v>212</v>
      </c>
      <c r="X521" s="534">
        <v>636.29999999999995</v>
      </c>
      <c r="Y521" s="534"/>
      <c r="Z521" s="222" t="s">
        <v>212</v>
      </c>
      <c r="AA521" s="227">
        <v>8380100</v>
      </c>
      <c r="AB521" s="228">
        <v>0</v>
      </c>
      <c r="AC521" s="215"/>
    </row>
    <row r="522" spans="1:29" ht="2.25" customHeight="1">
      <c r="A522" s="215"/>
      <c r="B522" s="529" t="s">
        <v>212</v>
      </c>
      <c r="C522" s="529"/>
      <c r="D522" s="219" t="s">
        <v>212</v>
      </c>
      <c r="E522" s="222" t="s">
        <v>212</v>
      </c>
      <c r="F522" s="531" t="s">
        <v>212</v>
      </c>
      <c r="G522" s="531"/>
      <c r="H522" s="222" t="s">
        <v>212</v>
      </c>
      <c r="I522" s="531" t="s">
        <v>212</v>
      </c>
      <c r="J522" s="531"/>
      <c r="K522" s="222" t="s">
        <v>212</v>
      </c>
      <c r="L522" s="222" t="s">
        <v>212</v>
      </c>
      <c r="M522" s="222" t="s">
        <v>212</v>
      </c>
      <c r="N522" s="222" t="s">
        <v>212</v>
      </c>
      <c r="O522" s="222" t="s">
        <v>212</v>
      </c>
      <c r="P522" s="222" t="s">
        <v>212</v>
      </c>
      <c r="Q522" s="222" t="s">
        <v>212</v>
      </c>
      <c r="R522" s="222" t="s">
        <v>212</v>
      </c>
      <c r="S522" s="222" t="s">
        <v>212</v>
      </c>
      <c r="T522" s="531" t="s">
        <v>212</v>
      </c>
      <c r="U522" s="531"/>
      <c r="V522" s="222" t="s">
        <v>212</v>
      </c>
      <c r="W522" s="222" t="s">
        <v>212</v>
      </c>
      <c r="X522" s="531" t="s">
        <v>212</v>
      </c>
      <c r="Y522" s="531"/>
      <c r="Z522" s="222" t="s">
        <v>212</v>
      </c>
      <c r="AA522" s="222" t="s">
        <v>212</v>
      </c>
      <c r="AB522" s="222" t="s">
        <v>212</v>
      </c>
      <c r="AC522" s="215"/>
    </row>
    <row r="523" spans="1:29" ht="13.5" customHeight="1">
      <c r="A523" s="215"/>
      <c r="B523" s="535">
        <v>39336</v>
      </c>
      <c r="C523" s="535"/>
      <c r="D523" s="219" t="s">
        <v>212</v>
      </c>
      <c r="E523" s="229">
        <v>205.5</v>
      </c>
      <c r="F523" s="536">
        <v>24</v>
      </c>
      <c r="G523" s="536"/>
      <c r="H523" s="229">
        <v>242.6</v>
      </c>
      <c r="I523" s="536">
        <v>24</v>
      </c>
      <c r="J523" s="536"/>
      <c r="K523" s="229">
        <v>0</v>
      </c>
      <c r="L523" s="230">
        <v>7</v>
      </c>
      <c r="M523" s="229">
        <v>0</v>
      </c>
      <c r="N523" s="230">
        <v>0</v>
      </c>
      <c r="O523" s="231">
        <v>448.1</v>
      </c>
      <c r="P523" s="222" t="s">
        <v>212</v>
      </c>
      <c r="Q523" s="229">
        <v>0</v>
      </c>
      <c r="R523" s="230">
        <v>0</v>
      </c>
      <c r="S523" s="229">
        <v>0</v>
      </c>
      <c r="T523" s="536">
        <v>0</v>
      </c>
      <c r="U523" s="536"/>
      <c r="V523" s="229">
        <v>0</v>
      </c>
      <c r="W523" s="222" t="s">
        <v>212</v>
      </c>
      <c r="X523" s="530">
        <v>448.1</v>
      </c>
      <c r="Y523" s="530"/>
      <c r="Z523" s="222" t="s">
        <v>212</v>
      </c>
      <c r="AA523" s="232">
        <v>6948300</v>
      </c>
      <c r="AB523" s="233">
        <v>21179</v>
      </c>
      <c r="AC523" s="215"/>
    </row>
    <row r="524" spans="1:29" ht="2.25" customHeight="1">
      <c r="A524" s="215"/>
      <c r="B524" s="529" t="s">
        <v>212</v>
      </c>
      <c r="C524" s="529"/>
      <c r="D524" s="219" t="s">
        <v>212</v>
      </c>
      <c r="E524" s="222" t="s">
        <v>212</v>
      </c>
      <c r="F524" s="531" t="s">
        <v>212</v>
      </c>
      <c r="G524" s="531"/>
      <c r="H524" s="222" t="s">
        <v>212</v>
      </c>
      <c r="I524" s="531" t="s">
        <v>212</v>
      </c>
      <c r="J524" s="531"/>
      <c r="K524" s="222" t="s">
        <v>212</v>
      </c>
      <c r="L524" s="222" t="s">
        <v>212</v>
      </c>
      <c r="M524" s="222" t="s">
        <v>212</v>
      </c>
      <c r="N524" s="222" t="s">
        <v>212</v>
      </c>
      <c r="O524" s="222" t="s">
        <v>212</v>
      </c>
      <c r="P524" s="222" t="s">
        <v>212</v>
      </c>
      <c r="Q524" s="222" t="s">
        <v>212</v>
      </c>
      <c r="R524" s="222" t="s">
        <v>212</v>
      </c>
      <c r="S524" s="222" t="s">
        <v>212</v>
      </c>
      <c r="T524" s="531" t="s">
        <v>212</v>
      </c>
      <c r="U524" s="531"/>
      <c r="V524" s="222" t="s">
        <v>212</v>
      </c>
      <c r="W524" s="222" t="s">
        <v>212</v>
      </c>
      <c r="X524" s="531" t="s">
        <v>212</v>
      </c>
      <c r="Y524" s="531"/>
      <c r="Z524" s="222" t="s">
        <v>212</v>
      </c>
      <c r="AA524" s="222" t="s">
        <v>212</v>
      </c>
      <c r="AB524" s="222" t="s">
        <v>212</v>
      </c>
      <c r="AC524" s="215"/>
    </row>
    <row r="525" spans="1:29" ht="13.5" customHeight="1">
      <c r="A525" s="215"/>
      <c r="B525" s="532">
        <v>39337</v>
      </c>
      <c r="C525" s="532"/>
      <c r="D525" s="219" t="s">
        <v>212</v>
      </c>
      <c r="E525" s="224">
        <v>143.5</v>
      </c>
      <c r="F525" s="533">
        <v>24</v>
      </c>
      <c r="G525" s="533"/>
      <c r="H525" s="224">
        <v>271.3</v>
      </c>
      <c r="I525" s="533">
        <v>24</v>
      </c>
      <c r="J525" s="533"/>
      <c r="K525" s="224">
        <v>88.7</v>
      </c>
      <c r="L525" s="225">
        <v>10</v>
      </c>
      <c r="M525" s="224">
        <v>0</v>
      </c>
      <c r="N525" s="225">
        <v>0</v>
      </c>
      <c r="O525" s="226">
        <v>503.5</v>
      </c>
      <c r="P525" s="222" t="s">
        <v>212</v>
      </c>
      <c r="Q525" s="224">
        <v>0</v>
      </c>
      <c r="R525" s="225">
        <v>0</v>
      </c>
      <c r="S525" s="224">
        <v>0</v>
      </c>
      <c r="T525" s="533">
        <v>0</v>
      </c>
      <c r="U525" s="533"/>
      <c r="V525" s="224">
        <v>0</v>
      </c>
      <c r="W525" s="222" t="s">
        <v>212</v>
      </c>
      <c r="X525" s="534">
        <v>503.5</v>
      </c>
      <c r="Y525" s="534"/>
      <c r="Z525" s="222" t="s">
        <v>212</v>
      </c>
      <c r="AA525" s="227">
        <v>4892400</v>
      </c>
      <c r="AB525" s="228">
        <v>119203</v>
      </c>
      <c r="AC525" s="215"/>
    </row>
    <row r="526" spans="1:29" ht="2.25" customHeight="1">
      <c r="A526" s="215"/>
      <c r="B526" s="529" t="s">
        <v>212</v>
      </c>
      <c r="C526" s="529"/>
      <c r="D526" s="219" t="s">
        <v>212</v>
      </c>
      <c r="E526" s="222" t="s">
        <v>212</v>
      </c>
      <c r="F526" s="531" t="s">
        <v>212</v>
      </c>
      <c r="G526" s="531"/>
      <c r="H526" s="222" t="s">
        <v>212</v>
      </c>
      <c r="I526" s="531" t="s">
        <v>212</v>
      </c>
      <c r="J526" s="531"/>
      <c r="K526" s="222" t="s">
        <v>212</v>
      </c>
      <c r="L526" s="222" t="s">
        <v>212</v>
      </c>
      <c r="M526" s="222" t="s">
        <v>212</v>
      </c>
      <c r="N526" s="222" t="s">
        <v>212</v>
      </c>
      <c r="O526" s="222" t="s">
        <v>212</v>
      </c>
      <c r="P526" s="222" t="s">
        <v>212</v>
      </c>
      <c r="Q526" s="222" t="s">
        <v>212</v>
      </c>
      <c r="R526" s="222" t="s">
        <v>212</v>
      </c>
      <c r="S526" s="222" t="s">
        <v>212</v>
      </c>
      <c r="T526" s="531" t="s">
        <v>212</v>
      </c>
      <c r="U526" s="531"/>
      <c r="V526" s="222" t="s">
        <v>212</v>
      </c>
      <c r="W526" s="222" t="s">
        <v>212</v>
      </c>
      <c r="X526" s="531" t="s">
        <v>212</v>
      </c>
      <c r="Y526" s="531"/>
      <c r="Z526" s="222" t="s">
        <v>212</v>
      </c>
      <c r="AA526" s="222" t="s">
        <v>212</v>
      </c>
      <c r="AB526" s="222" t="s">
        <v>212</v>
      </c>
      <c r="AC526" s="215"/>
    </row>
    <row r="527" spans="1:29" ht="13.5" customHeight="1">
      <c r="A527" s="215"/>
      <c r="B527" s="535">
        <v>39338</v>
      </c>
      <c r="C527" s="535"/>
      <c r="D527" s="219" t="s">
        <v>212</v>
      </c>
      <c r="E527" s="229">
        <v>262</v>
      </c>
      <c r="F527" s="536">
        <v>24</v>
      </c>
      <c r="G527" s="536"/>
      <c r="H527" s="229">
        <v>301.5</v>
      </c>
      <c r="I527" s="536">
        <v>24</v>
      </c>
      <c r="J527" s="536"/>
      <c r="K527" s="229">
        <v>0</v>
      </c>
      <c r="L527" s="230">
        <v>0</v>
      </c>
      <c r="M527" s="229">
        <v>0</v>
      </c>
      <c r="N527" s="230">
        <v>0</v>
      </c>
      <c r="O527" s="231">
        <v>563.5</v>
      </c>
      <c r="P527" s="222" t="s">
        <v>212</v>
      </c>
      <c r="Q527" s="229">
        <v>0</v>
      </c>
      <c r="R527" s="230">
        <v>0</v>
      </c>
      <c r="S527" s="229">
        <v>0</v>
      </c>
      <c r="T527" s="536">
        <v>0</v>
      </c>
      <c r="U527" s="536"/>
      <c r="V527" s="229">
        <v>0</v>
      </c>
      <c r="W527" s="222" t="s">
        <v>212</v>
      </c>
      <c r="X527" s="530">
        <v>563.5</v>
      </c>
      <c r="Y527" s="530"/>
      <c r="Z527" s="222" t="s">
        <v>212</v>
      </c>
      <c r="AA527" s="232">
        <v>7800300</v>
      </c>
      <c r="AB527" s="233">
        <v>0</v>
      </c>
      <c r="AC527" s="215"/>
    </row>
    <row r="528" spans="1:29" ht="2.25" customHeight="1">
      <c r="A528" s="215"/>
      <c r="B528" s="529" t="s">
        <v>212</v>
      </c>
      <c r="C528" s="529"/>
      <c r="D528" s="219" t="s">
        <v>212</v>
      </c>
      <c r="E528" s="222" t="s">
        <v>212</v>
      </c>
      <c r="F528" s="531" t="s">
        <v>212</v>
      </c>
      <c r="G528" s="531"/>
      <c r="H528" s="222" t="s">
        <v>212</v>
      </c>
      <c r="I528" s="531" t="s">
        <v>212</v>
      </c>
      <c r="J528" s="531"/>
      <c r="K528" s="222" t="s">
        <v>212</v>
      </c>
      <c r="L528" s="222" t="s">
        <v>212</v>
      </c>
      <c r="M528" s="222" t="s">
        <v>212</v>
      </c>
      <c r="N528" s="222" t="s">
        <v>212</v>
      </c>
      <c r="O528" s="222" t="s">
        <v>212</v>
      </c>
      <c r="P528" s="222" t="s">
        <v>212</v>
      </c>
      <c r="Q528" s="222" t="s">
        <v>212</v>
      </c>
      <c r="R528" s="222" t="s">
        <v>212</v>
      </c>
      <c r="S528" s="222" t="s">
        <v>212</v>
      </c>
      <c r="T528" s="531" t="s">
        <v>212</v>
      </c>
      <c r="U528" s="531"/>
      <c r="V528" s="222" t="s">
        <v>212</v>
      </c>
      <c r="W528" s="222" t="s">
        <v>212</v>
      </c>
      <c r="X528" s="531" t="s">
        <v>212</v>
      </c>
      <c r="Y528" s="531"/>
      <c r="Z528" s="222" t="s">
        <v>212</v>
      </c>
      <c r="AA528" s="222" t="s">
        <v>212</v>
      </c>
      <c r="AB528" s="222" t="s">
        <v>212</v>
      </c>
      <c r="AC528" s="215"/>
    </row>
    <row r="529" spans="1:29" ht="13.5" customHeight="1">
      <c r="A529" s="215"/>
      <c r="B529" s="532">
        <v>39339</v>
      </c>
      <c r="C529" s="532"/>
      <c r="D529" s="219" t="s">
        <v>212</v>
      </c>
      <c r="E529" s="224">
        <v>227.7</v>
      </c>
      <c r="F529" s="533">
        <v>24</v>
      </c>
      <c r="G529" s="533"/>
      <c r="H529" s="224">
        <v>269.10000000000002</v>
      </c>
      <c r="I529" s="533">
        <v>24</v>
      </c>
      <c r="J529" s="533"/>
      <c r="K529" s="224">
        <v>0</v>
      </c>
      <c r="L529" s="225">
        <v>0</v>
      </c>
      <c r="M529" s="224">
        <v>0</v>
      </c>
      <c r="N529" s="225">
        <v>0</v>
      </c>
      <c r="O529" s="226">
        <v>496.8</v>
      </c>
      <c r="P529" s="222" t="s">
        <v>212</v>
      </c>
      <c r="Q529" s="224">
        <v>0</v>
      </c>
      <c r="R529" s="225">
        <v>0</v>
      </c>
      <c r="S529" s="224">
        <v>0</v>
      </c>
      <c r="T529" s="533">
        <v>0</v>
      </c>
      <c r="U529" s="533"/>
      <c r="V529" s="224">
        <v>0</v>
      </c>
      <c r="W529" s="222" t="s">
        <v>212</v>
      </c>
      <c r="X529" s="534">
        <v>496.8</v>
      </c>
      <c r="Y529" s="534"/>
      <c r="Z529" s="222" t="s">
        <v>212</v>
      </c>
      <c r="AA529" s="227">
        <v>7297400</v>
      </c>
      <c r="AB529" s="228">
        <v>0</v>
      </c>
      <c r="AC529" s="215"/>
    </row>
    <row r="530" spans="1:29" ht="2.25" customHeight="1">
      <c r="A530" s="215"/>
      <c r="B530" s="529" t="s">
        <v>212</v>
      </c>
      <c r="C530" s="529"/>
      <c r="D530" s="219" t="s">
        <v>212</v>
      </c>
      <c r="E530" s="222" t="s">
        <v>212</v>
      </c>
      <c r="F530" s="531" t="s">
        <v>212</v>
      </c>
      <c r="G530" s="531"/>
      <c r="H530" s="222" t="s">
        <v>212</v>
      </c>
      <c r="I530" s="531" t="s">
        <v>212</v>
      </c>
      <c r="J530" s="531"/>
      <c r="K530" s="222" t="s">
        <v>212</v>
      </c>
      <c r="L530" s="222" t="s">
        <v>212</v>
      </c>
      <c r="M530" s="222" t="s">
        <v>212</v>
      </c>
      <c r="N530" s="222" t="s">
        <v>212</v>
      </c>
      <c r="O530" s="222" t="s">
        <v>212</v>
      </c>
      <c r="P530" s="222" t="s">
        <v>212</v>
      </c>
      <c r="Q530" s="222" t="s">
        <v>212</v>
      </c>
      <c r="R530" s="222" t="s">
        <v>212</v>
      </c>
      <c r="S530" s="222" t="s">
        <v>212</v>
      </c>
      <c r="T530" s="531" t="s">
        <v>212</v>
      </c>
      <c r="U530" s="531"/>
      <c r="V530" s="222" t="s">
        <v>212</v>
      </c>
      <c r="W530" s="222" t="s">
        <v>212</v>
      </c>
      <c r="X530" s="531" t="s">
        <v>212</v>
      </c>
      <c r="Y530" s="531"/>
      <c r="Z530" s="222" t="s">
        <v>212</v>
      </c>
      <c r="AA530" s="222" t="s">
        <v>212</v>
      </c>
      <c r="AB530" s="222" t="s">
        <v>212</v>
      </c>
      <c r="AC530" s="215"/>
    </row>
    <row r="531" spans="1:29" ht="13.5" customHeight="1">
      <c r="A531" s="215"/>
      <c r="B531" s="535">
        <v>39340</v>
      </c>
      <c r="C531" s="535"/>
      <c r="D531" s="219" t="s">
        <v>212</v>
      </c>
      <c r="E531" s="229">
        <v>225.6</v>
      </c>
      <c r="F531" s="536">
        <v>24</v>
      </c>
      <c r="G531" s="536"/>
      <c r="H531" s="229">
        <v>294.60000000000002</v>
      </c>
      <c r="I531" s="536">
        <v>24</v>
      </c>
      <c r="J531" s="536"/>
      <c r="K531" s="229">
        <v>0</v>
      </c>
      <c r="L531" s="230">
        <v>7</v>
      </c>
      <c r="M531" s="229">
        <v>0</v>
      </c>
      <c r="N531" s="230">
        <v>0</v>
      </c>
      <c r="O531" s="231">
        <v>520.20000000000005</v>
      </c>
      <c r="P531" s="222" t="s">
        <v>212</v>
      </c>
      <c r="Q531" s="229">
        <v>0</v>
      </c>
      <c r="R531" s="230">
        <v>0</v>
      </c>
      <c r="S531" s="229">
        <v>0</v>
      </c>
      <c r="T531" s="536">
        <v>0</v>
      </c>
      <c r="U531" s="536"/>
      <c r="V531" s="229">
        <v>0</v>
      </c>
      <c r="W531" s="222" t="s">
        <v>212</v>
      </c>
      <c r="X531" s="530">
        <v>520.20000000000005</v>
      </c>
      <c r="Y531" s="530"/>
      <c r="Z531" s="222" t="s">
        <v>212</v>
      </c>
      <c r="AA531" s="232">
        <v>8189300</v>
      </c>
      <c r="AB531" s="233">
        <v>0</v>
      </c>
      <c r="AC531" s="215"/>
    </row>
    <row r="532" spans="1:29" ht="2.25" customHeight="1">
      <c r="A532" s="215"/>
      <c r="B532" s="529" t="s">
        <v>212</v>
      </c>
      <c r="C532" s="529"/>
      <c r="D532" s="219" t="s">
        <v>212</v>
      </c>
      <c r="E532" s="222" t="s">
        <v>212</v>
      </c>
      <c r="F532" s="531" t="s">
        <v>212</v>
      </c>
      <c r="G532" s="531"/>
      <c r="H532" s="222" t="s">
        <v>212</v>
      </c>
      <c r="I532" s="531" t="s">
        <v>212</v>
      </c>
      <c r="J532" s="531"/>
      <c r="K532" s="222" t="s">
        <v>212</v>
      </c>
      <c r="L532" s="222" t="s">
        <v>212</v>
      </c>
      <c r="M532" s="222" t="s">
        <v>212</v>
      </c>
      <c r="N532" s="222" t="s">
        <v>212</v>
      </c>
      <c r="O532" s="222" t="s">
        <v>212</v>
      </c>
      <c r="P532" s="222" t="s">
        <v>212</v>
      </c>
      <c r="Q532" s="222" t="s">
        <v>212</v>
      </c>
      <c r="R532" s="222" t="s">
        <v>212</v>
      </c>
      <c r="S532" s="222" t="s">
        <v>212</v>
      </c>
      <c r="T532" s="531" t="s">
        <v>212</v>
      </c>
      <c r="U532" s="531"/>
      <c r="V532" s="222" t="s">
        <v>212</v>
      </c>
      <c r="W532" s="222" t="s">
        <v>212</v>
      </c>
      <c r="X532" s="531" t="s">
        <v>212</v>
      </c>
      <c r="Y532" s="531"/>
      <c r="Z532" s="222" t="s">
        <v>212</v>
      </c>
      <c r="AA532" s="222" t="s">
        <v>212</v>
      </c>
      <c r="AB532" s="222" t="s">
        <v>212</v>
      </c>
      <c r="AC532" s="215"/>
    </row>
    <row r="533" spans="1:29" ht="13.5" customHeight="1">
      <c r="A533" s="215"/>
      <c r="B533" s="532">
        <v>39341</v>
      </c>
      <c r="C533" s="532"/>
      <c r="D533" s="219" t="s">
        <v>212</v>
      </c>
      <c r="E533" s="224">
        <v>255.2</v>
      </c>
      <c r="F533" s="533">
        <v>24</v>
      </c>
      <c r="G533" s="533"/>
      <c r="H533" s="224">
        <v>293.8</v>
      </c>
      <c r="I533" s="533">
        <v>24</v>
      </c>
      <c r="J533" s="533"/>
      <c r="K533" s="224">
        <v>0</v>
      </c>
      <c r="L533" s="225">
        <v>0</v>
      </c>
      <c r="M533" s="224">
        <v>0</v>
      </c>
      <c r="N533" s="225">
        <v>0</v>
      </c>
      <c r="O533" s="226">
        <v>549</v>
      </c>
      <c r="P533" s="222" t="s">
        <v>212</v>
      </c>
      <c r="Q533" s="224">
        <v>0</v>
      </c>
      <c r="R533" s="225">
        <v>0</v>
      </c>
      <c r="S533" s="224">
        <v>0</v>
      </c>
      <c r="T533" s="533">
        <v>0</v>
      </c>
      <c r="U533" s="533"/>
      <c r="V533" s="224">
        <v>0</v>
      </c>
      <c r="W533" s="222" t="s">
        <v>212</v>
      </c>
      <c r="X533" s="534">
        <v>549</v>
      </c>
      <c r="Y533" s="534"/>
      <c r="Z533" s="222" t="s">
        <v>212</v>
      </c>
      <c r="AA533" s="227">
        <v>7683400</v>
      </c>
      <c r="AB533" s="228">
        <v>0</v>
      </c>
      <c r="AC533" s="215"/>
    </row>
    <row r="534" spans="1:29" ht="2.25" customHeight="1">
      <c r="A534" s="215"/>
      <c r="B534" s="529" t="s">
        <v>212</v>
      </c>
      <c r="C534" s="529"/>
      <c r="D534" s="219" t="s">
        <v>212</v>
      </c>
      <c r="E534" s="222" t="s">
        <v>212</v>
      </c>
      <c r="F534" s="531" t="s">
        <v>212</v>
      </c>
      <c r="G534" s="531"/>
      <c r="H534" s="222" t="s">
        <v>212</v>
      </c>
      <c r="I534" s="531" t="s">
        <v>212</v>
      </c>
      <c r="J534" s="531"/>
      <c r="K534" s="222" t="s">
        <v>212</v>
      </c>
      <c r="L534" s="222" t="s">
        <v>212</v>
      </c>
      <c r="M534" s="222" t="s">
        <v>212</v>
      </c>
      <c r="N534" s="222" t="s">
        <v>212</v>
      </c>
      <c r="O534" s="222" t="s">
        <v>212</v>
      </c>
      <c r="P534" s="222" t="s">
        <v>212</v>
      </c>
      <c r="Q534" s="222" t="s">
        <v>212</v>
      </c>
      <c r="R534" s="222" t="s">
        <v>212</v>
      </c>
      <c r="S534" s="222" t="s">
        <v>212</v>
      </c>
      <c r="T534" s="531" t="s">
        <v>212</v>
      </c>
      <c r="U534" s="531"/>
      <c r="V534" s="222" t="s">
        <v>212</v>
      </c>
      <c r="W534" s="222" t="s">
        <v>212</v>
      </c>
      <c r="X534" s="531" t="s">
        <v>212</v>
      </c>
      <c r="Y534" s="531"/>
      <c r="Z534" s="222" t="s">
        <v>212</v>
      </c>
      <c r="AA534" s="222" t="s">
        <v>212</v>
      </c>
      <c r="AB534" s="222" t="s">
        <v>212</v>
      </c>
      <c r="AC534" s="215"/>
    </row>
    <row r="535" spans="1:29" ht="13.5" customHeight="1">
      <c r="A535" s="215"/>
      <c r="B535" s="535">
        <v>39342</v>
      </c>
      <c r="C535" s="535"/>
      <c r="D535" s="219" t="s">
        <v>212</v>
      </c>
      <c r="E535" s="229">
        <v>216.9</v>
      </c>
      <c r="F535" s="536">
        <v>24</v>
      </c>
      <c r="G535" s="536"/>
      <c r="H535" s="229">
        <v>225.7</v>
      </c>
      <c r="I535" s="536">
        <v>24</v>
      </c>
      <c r="J535" s="536"/>
      <c r="K535" s="229">
        <v>0</v>
      </c>
      <c r="L535" s="230">
        <v>0</v>
      </c>
      <c r="M535" s="229">
        <v>0</v>
      </c>
      <c r="N535" s="230">
        <v>0</v>
      </c>
      <c r="O535" s="231">
        <v>442.6</v>
      </c>
      <c r="P535" s="222" t="s">
        <v>212</v>
      </c>
      <c r="Q535" s="229">
        <v>0</v>
      </c>
      <c r="R535" s="230">
        <v>0</v>
      </c>
      <c r="S535" s="229">
        <v>0</v>
      </c>
      <c r="T535" s="536">
        <v>0</v>
      </c>
      <c r="U535" s="536"/>
      <c r="V535" s="229">
        <v>0</v>
      </c>
      <c r="W535" s="222" t="s">
        <v>212</v>
      </c>
      <c r="X535" s="530">
        <v>442.6</v>
      </c>
      <c r="Y535" s="530"/>
      <c r="Z535" s="222" t="s">
        <v>212</v>
      </c>
      <c r="AA535" s="232">
        <v>7079600</v>
      </c>
      <c r="AB535" s="233">
        <v>0</v>
      </c>
      <c r="AC535" s="215"/>
    </row>
    <row r="536" spans="1:29" ht="2.25" customHeight="1">
      <c r="A536" s="215"/>
      <c r="B536" s="529" t="s">
        <v>212</v>
      </c>
      <c r="C536" s="529"/>
      <c r="D536" s="219" t="s">
        <v>212</v>
      </c>
      <c r="E536" s="222" t="s">
        <v>212</v>
      </c>
      <c r="F536" s="531" t="s">
        <v>212</v>
      </c>
      <c r="G536" s="531"/>
      <c r="H536" s="222" t="s">
        <v>212</v>
      </c>
      <c r="I536" s="531" t="s">
        <v>212</v>
      </c>
      <c r="J536" s="531"/>
      <c r="K536" s="222" t="s">
        <v>212</v>
      </c>
      <c r="L536" s="222" t="s">
        <v>212</v>
      </c>
      <c r="M536" s="222" t="s">
        <v>212</v>
      </c>
      <c r="N536" s="222" t="s">
        <v>212</v>
      </c>
      <c r="O536" s="222" t="s">
        <v>212</v>
      </c>
      <c r="P536" s="222" t="s">
        <v>212</v>
      </c>
      <c r="Q536" s="222" t="s">
        <v>212</v>
      </c>
      <c r="R536" s="222" t="s">
        <v>212</v>
      </c>
      <c r="S536" s="222" t="s">
        <v>212</v>
      </c>
      <c r="T536" s="531" t="s">
        <v>212</v>
      </c>
      <c r="U536" s="531"/>
      <c r="V536" s="222" t="s">
        <v>212</v>
      </c>
      <c r="W536" s="222" t="s">
        <v>212</v>
      </c>
      <c r="X536" s="531" t="s">
        <v>212</v>
      </c>
      <c r="Y536" s="531"/>
      <c r="Z536" s="222" t="s">
        <v>212</v>
      </c>
      <c r="AA536" s="222" t="s">
        <v>212</v>
      </c>
      <c r="AB536" s="222" t="s">
        <v>212</v>
      </c>
      <c r="AC536" s="215"/>
    </row>
    <row r="537" spans="1:29" ht="13.5" customHeight="1">
      <c r="A537" s="215"/>
      <c r="B537" s="532">
        <v>39343</v>
      </c>
      <c r="C537" s="532"/>
      <c r="D537" s="219" t="s">
        <v>212</v>
      </c>
      <c r="E537" s="224">
        <v>265.2</v>
      </c>
      <c r="F537" s="533">
        <v>24</v>
      </c>
      <c r="G537" s="533"/>
      <c r="H537" s="224">
        <v>286.7</v>
      </c>
      <c r="I537" s="533">
        <v>24</v>
      </c>
      <c r="J537" s="533"/>
      <c r="K537" s="224">
        <v>0</v>
      </c>
      <c r="L537" s="225">
        <v>0</v>
      </c>
      <c r="M537" s="224">
        <v>0</v>
      </c>
      <c r="N537" s="225">
        <v>0</v>
      </c>
      <c r="O537" s="226">
        <v>551.9</v>
      </c>
      <c r="P537" s="222" t="s">
        <v>212</v>
      </c>
      <c r="Q537" s="224">
        <v>0</v>
      </c>
      <c r="R537" s="225">
        <v>0</v>
      </c>
      <c r="S537" s="224">
        <v>0</v>
      </c>
      <c r="T537" s="533">
        <v>0</v>
      </c>
      <c r="U537" s="533"/>
      <c r="V537" s="224">
        <v>0</v>
      </c>
      <c r="W537" s="222" t="s">
        <v>212</v>
      </c>
      <c r="X537" s="534">
        <v>551.9</v>
      </c>
      <c r="Y537" s="534"/>
      <c r="Z537" s="222" t="s">
        <v>212</v>
      </c>
      <c r="AA537" s="227">
        <v>7744500</v>
      </c>
      <c r="AB537" s="228">
        <v>0</v>
      </c>
      <c r="AC537" s="215"/>
    </row>
    <row r="538" spans="1:29" ht="2.25" customHeight="1">
      <c r="A538" s="215"/>
      <c r="B538" s="529" t="s">
        <v>212</v>
      </c>
      <c r="C538" s="529"/>
      <c r="D538" s="219" t="s">
        <v>212</v>
      </c>
      <c r="E538" s="222" t="s">
        <v>212</v>
      </c>
      <c r="F538" s="531" t="s">
        <v>212</v>
      </c>
      <c r="G538" s="531"/>
      <c r="H538" s="222" t="s">
        <v>212</v>
      </c>
      <c r="I538" s="531" t="s">
        <v>212</v>
      </c>
      <c r="J538" s="531"/>
      <c r="K538" s="222" t="s">
        <v>212</v>
      </c>
      <c r="L538" s="222" t="s">
        <v>212</v>
      </c>
      <c r="M538" s="222" t="s">
        <v>212</v>
      </c>
      <c r="N538" s="222" t="s">
        <v>212</v>
      </c>
      <c r="O538" s="222" t="s">
        <v>212</v>
      </c>
      <c r="P538" s="222" t="s">
        <v>212</v>
      </c>
      <c r="Q538" s="222" t="s">
        <v>212</v>
      </c>
      <c r="R538" s="222" t="s">
        <v>212</v>
      </c>
      <c r="S538" s="222" t="s">
        <v>212</v>
      </c>
      <c r="T538" s="531" t="s">
        <v>212</v>
      </c>
      <c r="U538" s="531"/>
      <c r="V538" s="222" t="s">
        <v>212</v>
      </c>
      <c r="W538" s="222" t="s">
        <v>212</v>
      </c>
      <c r="X538" s="531" t="s">
        <v>212</v>
      </c>
      <c r="Y538" s="531"/>
      <c r="Z538" s="222" t="s">
        <v>212</v>
      </c>
      <c r="AA538" s="222" t="s">
        <v>212</v>
      </c>
      <c r="AB538" s="222" t="s">
        <v>212</v>
      </c>
      <c r="AC538" s="215"/>
    </row>
    <row r="539" spans="1:29" ht="13.5" customHeight="1">
      <c r="A539" s="215"/>
      <c r="B539" s="535">
        <v>39344</v>
      </c>
      <c r="C539" s="535"/>
      <c r="D539" s="219" t="s">
        <v>212</v>
      </c>
      <c r="E539" s="229">
        <v>255.4</v>
      </c>
      <c r="F539" s="536">
        <v>24</v>
      </c>
      <c r="G539" s="536"/>
      <c r="H539" s="229">
        <v>271.10000000000002</v>
      </c>
      <c r="I539" s="536">
        <v>24</v>
      </c>
      <c r="J539" s="536"/>
      <c r="K539" s="229">
        <v>0</v>
      </c>
      <c r="L539" s="230">
        <v>0</v>
      </c>
      <c r="M539" s="229">
        <v>0</v>
      </c>
      <c r="N539" s="230">
        <v>0</v>
      </c>
      <c r="O539" s="231">
        <v>526.5</v>
      </c>
      <c r="P539" s="222" t="s">
        <v>212</v>
      </c>
      <c r="Q539" s="229">
        <v>0</v>
      </c>
      <c r="R539" s="230">
        <v>0</v>
      </c>
      <c r="S539" s="229">
        <v>0</v>
      </c>
      <c r="T539" s="536">
        <v>0</v>
      </c>
      <c r="U539" s="536"/>
      <c r="V539" s="229">
        <v>0</v>
      </c>
      <c r="W539" s="222" t="s">
        <v>212</v>
      </c>
      <c r="X539" s="530">
        <v>526.5</v>
      </c>
      <c r="Y539" s="530"/>
      <c r="Z539" s="222" t="s">
        <v>212</v>
      </c>
      <c r="AA539" s="232">
        <v>7499100</v>
      </c>
      <c r="AB539" s="233">
        <v>0</v>
      </c>
      <c r="AC539" s="215"/>
    </row>
    <row r="540" spans="1:29" ht="2.25" customHeight="1">
      <c r="A540" s="215"/>
      <c r="B540" s="529" t="s">
        <v>212</v>
      </c>
      <c r="C540" s="529"/>
      <c r="D540" s="219" t="s">
        <v>212</v>
      </c>
      <c r="E540" s="222" t="s">
        <v>212</v>
      </c>
      <c r="F540" s="531" t="s">
        <v>212</v>
      </c>
      <c r="G540" s="531"/>
      <c r="H540" s="222" t="s">
        <v>212</v>
      </c>
      <c r="I540" s="531" t="s">
        <v>212</v>
      </c>
      <c r="J540" s="531"/>
      <c r="K540" s="222" t="s">
        <v>212</v>
      </c>
      <c r="L540" s="222" t="s">
        <v>212</v>
      </c>
      <c r="M540" s="222" t="s">
        <v>212</v>
      </c>
      <c r="N540" s="222" t="s">
        <v>212</v>
      </c>
      <c r="O540" s="222" t="s">
        <v>212</v>
      </c>
      <c r="P540" s="222" t="s">
        <v>212</v>
      </c>
      <c r="Q540" s="222" t="s">
        <v>212</v>
      </c>
      <c r="R540" s="222" t="s">
        <v>212</v>
      </c>
      <c r="S540" s="222" t="s">
        <v>212</v>
      </c>
      <c r="T540" s="531" t="s">
        <v>212</v>
      </c>
      <c r="U540" s="531"/>
      <c r="V540" s="222" t="s">
        <v>212</v>
      </c>
      <c r="W540" s="222" t="s">
        <v>212</v>
      </c>
      <c r="X540" s="531" t="s">
        <v>212</v>
      </c>
      <c r="Y540" s="531"/>
      <c r="Z540" s="222" t="s">
        <v>212</v>
      </c>
      <c r="AA540" s="222" t="s">
        <v>212</v>
      </c>
      <c r="AB540" s="222" t="s">
        <v>212</v>
      </c>
      <c r="AC540" s="215"/>
    </row>
    <row r="541" spans="1:29" ht="13.5" customHeight="1">
      <c r="A541" s="215"/>
      <c r="B541" s="532">
        <v>39345</v>
      </c>
      <c r="C541" s="532"/>
      <c r="D541" s="219" t="s">
        <v>212</v>
      </c>
      <c r="E541" s="224">
        <v>240</v>
      </c>
      <c r="F541" s="533">
        <v>24</v>
      </c>
      <c r="G541" s="533"/>
      <c r="H541" s="224">
        <v>272.5</v>
      </c>
      <c r="I541" s="533">
        <v>24</v>
      </c>
      <c r="J541" s="533"/>
      <c r="K541" s="224">
        <v>0</v>
      </c>
      <c r="L541" s="225">
        <v>0</v>
      </c>
      <c r="M541" s="224">
        <v>0</v>
      </c>
      <c r="N541" s="225">
        <v>0</v>
      </c>
      <c r="O541" s="226">
        <v>512.5</v>
      </c>
      <c r="P541" s="222" t="s">
        <v>212</v>
      </c>
      <c r="Q541" s="224">
        <v>0</v>
      </c>
      <c r="R541" s="225">
        <v>0</v>
      </c>
      <c r="S541" s="224">
        <v>0</v>
      </c>
      <c r="T541" s="533">
        <v>0</v>
      </c>
      <c r="U541" s="533"/>
      <c r="V541" s="224">
        <v>0</v>
      </c>
      <c r="W541" s="222" t="s">
        <v>212</v>
      </c>
      <c r="X541" s="534">
        <v>512.5</v>
      </c>
      <c r="Y541" s="534"/>
      <c r="Z541" s="222" t="s">
        <v>212</v>
      </c>
      <c r="AA541" s="227">
        <v>7381100</v>
      </c>
      <c r="AB541" s="228">
        <v>0</v>
      </c>
      <c r="AC541" s="215"/>
    </row>
    <row r="542" spans="1:29" ht="2.25" customHeight="1">
      <c r="A542" s="215"/>
      <c r="B542" s="529" t="s">
        <v>212</v>
      </c>
      <c r="C542" s="529"/>
      <c r="D542" s="219" t="s">
        <v>212</v>
      </c>
      <c r="E542" s="222" t="s">
        <v>212</v>
      </c>
      <c r="F542" s="531" t="s">
        <v>212</v>
      </c>
      <c r="G542" s="531"/>
      <c r="H542" s="222" t="s">
        <v>212</v>
      </c>
      <c r="I542" s="531" t="s">
        <v>212</v>
      </c>
      <c r="J542" s="531"/>
      <c r="K542" s="222" t="s">
        <v>212</v>
      </c>
      <c r="L542" s="222" t="s">
        <v>212</v>
      </c>
      <c r="M542" s="222" t="s">
        <v>212</v>
      </c>
      <c r="N542" s="222" t="s">
        <v>212</v>
      </c>
      <c r="O542" s="222" t="s">
        <v>212</v>
      </c>
      <c r="P542" s="222" t="s">
        <v>212</v>
      </c>
      <c r="Q542" s="222" t="s">
        <v>212</v>
      </c>
      <c r="R542" s="222" t="s">
        <v>212</v>
      </c>
      <c r="S542" s="222" t="s">
        <v>212</v>
      </c>
      <c r="T542" s="531" t="s">
        <v>212</v>
      </c>
      <c r="U542" s="531"/>
      <c r="V542" s="222" t="s">
        <v>212</v>
      </c>
      <c r="W542" s="222" t="s">
        <v>212</v>
      </c>
      <c r="X542" s="531" t="s">
        <v>212</v>
      </c>
      <c r="Y542" s="531"/>
      <c r="Z542" s="222" t="s">
        <v>212</v>
      </c>
      <c r="AA542" s="222" t="s">
        <v>212</v>
      </c>
      <c r="AB542" s="222" t="s">
        <v>212</v>
      </c>
      <c r="AC542" s="215"/>
    </row>
    <row r="543" spans="1:29" ht="13.5" customHeight="1">
      <c r="A543" s="215"/>
      <c r="B543" s="535">
        <v>39346</v>
      </c>
      <c r="C543" s="535"/>
      <c r="D543" s="219" t="s">
        <v>212</v>
      </c>
      <c r="E543" s="229">
        <v>283.10000000000002</v>
      </c>
      <c r="F543" s="536">
        <v>24</v>
      </c>
      <c r="G543" s="536"/>
      <c r="H543" s="229">
        <v>320.7</v>
      </c>
      <c r="I543" s="536">
        <v>24</v>
      </c>
      <c r="J543" s="536"/>
      <c r="K543" s="229">
        <v>0</v>
      </c>
      <c r="L543" s="230">
        <v>6</v>
      </c>
      <c r="M543" s="229">
        <v>0</v>
      </c>
      <c r="N543" s="230">
        <v>0</v>
      </c>
      <c r="O543" s="231">
        <v>603.79999999999995</v>
      </c>
      <c r="P543" s="222" t="s">
        <v>212</v>
      </c>
      <c r="Q543" s="229">
        <v>0</v>
      </c>
      <c r="R543" s="230">
        <v>0</v>
      </c>
      <c r="S543" s="229">
        <v>0</v>
      </c>
      <c r="T543" s="536">
        <v>0</v>
      </c>
      <c r="U543" s="536"/>
      <c r="V543" s="229">
        <v>0</v>
      </c>
      <c r="W543" s="222" t="s">
        <v>212</v>
      </c>
      <c r="X543" s="530">
        <v>603.79999999999995</v>
      </c>
      <c r="Y543" s="530"/>
      <c r="Z543" s="222" t="s">
        <v>212</v>
      </c>
      <c r="AA543" s="232">
        <v>8582000</v>
      </c>
      <c r="AB543" s="233">
        <v>1571</v>
      </c>
      <c r="AC543" s="215"/>
    </row>
    <row r="544" spans="1:29" ht="2.25" customHeight="1">
      <c r="A544" s="215"/>
      <c r="B544" s="529" t="s">
        <v>212</v>
      </c>
      <c r="C544" s="529"/>
      <c r="D544" s="219" t="s">
        <v>212</v>
      </c>
      <c r="E544" s="222" t="s">
        <v>212</v>
      </c>
      <c r="F544" s="531" t="s">
        <v>212</v>
      </c>
      <c r="G544" s="531"/>
      <c r="H544" s="222" t="s">
        <v>212</v>
      </c>
      <c r="I544" s="531" t="s">
        <v>212</v>
      </c>
      <c r="J544" s="531"/>
      <c r="K544" s="222" t="s">
        <v>212</v>
      </c>
      <c r="L544" s="222" t="s">
        <v>212</v>
      </c>
      <c r="M544" s="222" t="s">
        <v>212</v>
      </c>
      <c r="N544" s="222" t="s">
        <v>212</v>
      </c>
      <c r="O544" s="222" t="s">
        <v>212</v>
      </c>
      <c r="P544" s="222" t="s">
        <v>212</v>
      </c>
      <c r="Q544" s="222" t="s">
        <v>212</v>
      </c>
      <c r="R544" s="222" t="s">
        <v>212</v>
      </c>
      <c r="S544" s="222" t="s">
        <v>212</v>
      </c>
      <c r="T544" s="531" t="s">
        <v>212</v>
      </c>
      <c r="U544" s="531"/>
      <c r="V544" s="222" t="s">
        <v>212</v>
      </c>
      <c r="W544" s="222" t="s">
        <v>212</v>
      </c>
      <c r="X544" s="531" t="s">
        <v>212</v>
      </c>
      <c r="Y544" s="531"/>
      <c r="Z544" s="222" t="s">
        <v>212</v>
      </c>
      <c r="AA544" s="222" t="s">
        <v>212</v>
      </c>
      <c r="AB544" s="222" t="s">
        <v>212</v>
      </c>
      <c r="AC544" s="215"/>
    </row>
    <row r="545" spans="1:29" ht="13.5" customHeight="1">
      <c r="A545" s="215"/>
      <c r="B545" s="532">
        <v>39347</v>
      </c>
      <c r="C545" s="532"/>
      <c r="D545" s="219" t="s">
        <v>212</v>
      </c>
      <c r="E545" s="224">
        <v>320.2</v>
      </c>
      <c r="F545" s="533">
        <v>24</v>
      </c>
      <c r="G545" s="533"/>
      <c r="H545" s="224">
        <v>370.2</v>
      </c>
      <c r="I545" s="533">
        <v>24</v>
      </c>
      <c r="J545" s="533"/>
      <c r="K545" s="224">
        <v>0</v>
      </c>
      <c r="L545" s="225">
        <v>7</v>
      </c>
      <c r="M545" s="224">
        <v>0</v>
      </c>
      <c r="N545" s="225">
        <v>0</v>
      </c>
      <c r="O545" s="226">
        <v>690.4</v>
      </c>
      <c r="P545" s="222" t="s">
        <v>212</v>
      </c>
      <c r="Q545" s="224">
        <v>0</v>
      </c>
      <c r="R545" s="225">
        <v>0</v>
      </c>
      <c r="S545" s="224">
        <v>0</v>
      </c>
      <c r="T545" s="533">
        <v>0</v>
      </c>
      <c r="U545" s="533"/>
      <c r="V545" s="224">
        <v>0</v>
      </c>
      <c r="W545" s="222" t="s">
        <v>212</v>
      </c>
      <c r="X545" s="534">
        <v>690.4</v>
      </c>
      <c r="Y545" s="534"/>
      <c r="Z545" s="222" t="s">
        <v>212</v>
      </c>
      <c r="AA545" s="227">
        <v>9412000</v>
      </c>
      <c r="AB545" s="228">
        <v>0</v>
      </c>
      <c r="AC545" s="215"/>
    </row>
    <row r="546" spans="1:29" ht="2.25" customHeight="1">
      <c r="A546" s="215"/>
      <c r="B546" s="529" t="s">
        <v>212</v>
      </c>
      <c r="C546" s="529"/>
      <c r="D546" s="219" t="s">
        <v>212</v>
      </c>
      <c r="E546" s="222" t="s">
        <v>212</v>
      </c>
      <c r="F546" s="531" t="s">
        <v>212</v>
      </c>
      <c r="G546" s="531"/>
      <c r="H546" s="222" t="s">
        <v>212</v>
      </c>
      <c r="I546" s="531" t="s">
        <v>212</v>
      </c>
      <c r="J546" s="531"/>
      <c r="K546" s="222" t="s">
        <v>212</v>
      </c>
      <c r="L546" s="222" t="s">
        <v>212</v>
      </c>
      <c r="M546" s="222" t="s">
        <v>212</v>
      </c>
      <c r="N546" s="222" t="s">
        <v>212</v>
      </c>
      <c r="O546" s="222" t="s">
        <v>212</v>
      </c>
      <c r="P546" s="222" t="s">
        <v>212</v>
      </c>
      <c r="Q546" s="222" t="s">
        <v>212</v>
      </c>
      <c r="R546" s="222" t="s">
        <v>212</v>
      </c>
      <c r="S546" s="222" t="s">
        <v>212</v>
      </c>
      <c r="T546" s="531" t="s">
        <v>212</v>
      </c>
      <c r="U546" s="531"/>
      <c r="V546" s="222" t="s">
        <v>212</v>
      </c>
      <c r="W546" s="222" t="s">
        <v>212</v>
      </c>
      <c r="X546" s="531" t="s">
        <v>212</v>
      </c>
      <c r="Y546" s="531"/>
      <c r="Z546" s="222" t="s">
        <v>212</v>
      </c>
      <c r="AA546" s="222" t="s">
        <v>212</v>
      </c>
      <c r="AB546" s="222" t="s">
        <v>212</v>
      </c>
      <c r="AC546" s="215"/>
    </row>
    <row r="547" spans="1:29" ht="13.5" customHeight="1">
      <c r="A547" s="215"/>
      <c r="B547" s="535">
        <v>39348</v>
      </c>
      <c r="C547" s="535"/>
      <c r="D547" s="219" t="s">
        <v>212</v>
      </c>
      <c r="E547" s="229">
        <v>277.7</v>
      </c>
      <c r="F547" s="536">
        <v>24</v>
      </c>
      <c r="G547" s="536"/>
      <c r="H547" s="229">
        <v>337.6</v>
      </c>
      <c r="I547" s="536">
        <v>24</v>
      </c>
      <c r="J547" s="536"/>
      <c r="K547" s="229">
        <v>1.4</v>
      </c>
      <c r="L547" s="230">
        <v>9</v>
      </c>
      <c r="M547" s="229">
        <v>0</v>
      </c>
      <c r="N547" s="230">
        <v>0</v>
      </c>
      <c r="O547" s="231">
        <v>616.70000000000005</v>
      </c>
      <c r="P547" s="222" t="s">
        <v>212</v>
      </c>
      <c r="Q547" s="229">
        <v>0</v>
      </c>
      <c r="R547" s="230">
        <v>0</v>
      </c>
      <c r="S547" s="229">
        <v>0</v>
      </c>
      <c r="T547" s="536">
        <v>0</v>
      </c>
      <c r="U547" s="536"/>
      <c r="V547" s="229">
        <v>0</v>
      </c>
      <c r="W547" s="222" t="s">
        <v>212</v>
      </c>
      <c r="X547" s="530">
        <v>616.70000000000005</v>
      </c>
      <c r="Y547" s="530"/>
      <c r="Z547" s="222" t="s">
        <v>212</v>
      </c>
      <c r="AA547" s="232">
        <v>8957600</v>
      </c>
      <c r="AB547" s="233">
        <v>548</v>
      </c>
      <c r="AC547" s="215"/>
    </row>
    <row r="548" spans="1:29" ht="2.25" customHeight="1">
      <c r="A548" s="215"/>
      <c r="B548" s="529" t="s">
        <v>212</v>
      </c>
      <c r="C548" s="529"/>
      <c r="D548" s="219" t="s">
        <v>212</v>
      </c>
      <c r="E548" s="222" t="s">
        <v>212</v>
      </c>
      <c r="F548" s="531" t="s">
        <v>212</v>
      </c>
      <c r="G548" s="531"/>
      <c r="H548" s="222" t="s">
        <v>212</v>
      </c>
      <c r="I548" s="531" t="s">
        <v>212</v>
      </c>
      <c r="J548" s="531"/>
      <c r="K548" s="222" t="s">
        <v>212</v>
      </c>
      <c r="L548" s="222" t="s">
        <v>212</v>
      </c>
      <c r="M548" s="222" t="s">
        <v>212</v>
      </c>
      <c r="N548" s="222" t="s">
        <v>212</v>
      </c>
      <c r="O548" s="222" t="s">
        <v>212</v>
      </c>
      <c r="P548" s="222" t="s">
        <v>212</v>
      </c>
      <c r="Q548" s="222" t="s">
        <v>212</v>
      </c>
      <c r="R548" s="222" t="s">
        <v>212</v>
      </c>
      <c r="S548" s="222" t="s">
        <v>212</v>
      </c>
      <c r="T548" s="531" t="s">
        <v>212</v>
      </c>
      <c r="U548" s="531"/>
      <c r="V548" s="222" t="s">
        <v>212</v>
      </c>
      <c r="W548" s="222" t="s">
        <v>212</v>
      </c>
      <c r="X548" s="531" t="s">
        <v>212</v>
      </c>
      <c r="Y548" s="531"/>
      <c r="Z548" s="222" t="s">
        <v>212</v>
      </c>
      <c r="AA548" s="222" t="s">
        <v>212</v>
      </c>
      <c r="AB548" s="222" t="s">
        <v>212</v>
      </c>
      <c r="AC548" s="215"/>
    </row>
    <row r="549" spans="1:29" ht="13.5" customHeight="1">
      <c r="A549" s="215"/>
      <c r="B549" s="532">
        <v>39349</v>
      </c>
      <c r="C549" s="532"/>
      <c r="D549" s="219" t="s">
        <v>212</v>
      </c>
      <c r="E549" s="224">
        <v>289</v>
      </c>
      <c r="F549" s="533">
        <v>24</v>
      </c>
      <c r="G549" s="533"/>
      <c r="H549" s="224">
        <v>312</v>
      </c>
      <c r="I549" s="533">
        <v>24</v>
      </c>
      <c r="J549" s="533"/>
      <c r="K549" s="224">
        <v>0</v>
      </c>
      <c r="L549" s="225">
        <v>0</v>
      </c>
      <c r="M549" s="224">
        <v>0</v>
      </c>
      <c r="N549" s="225">
        <v>0</v>
      </c>
      <c r="O549" s="226">
        <v>601</v>
      </c>
      <c r="P549" s="222" t="s">
        <v>212</v>
      </c>
      <c r="Q549" s="224">
        <v>0</v>
      </c>
      <c r="R549" s="225">
        <v>0</v>
      </c>
      <c r="S549" s="224">
        <v>0</v>
      </c>
      <c r="T549" s="533">
        <v>0</v>
      </c>
      <c r="U549" s="533"/>
      <c r="V549" s="224">
        <v>0</v>
      </c>
      <c r="W549" s="222" t="s">
        <v>212</v>
      </c>
      <c r="X549" s="534">
        <v>601</v>
      </c>
      <c r="Y549" s="534"/>
      <c r="Z549" s="222" t="s">
        <v>212</v>
      </c>
      <c r="AA549" s="227">
        <v>8101800</v>
      </c>
      <c r="AB549" s="228">
        <v>0</v>
      </c>
      <c r="AC549" s="215"/>
    </row>
    <row r="550" spans="1:29" ht="2.25" customHeight="1">
      <c r="A550" s="215"/>
      <c r="B550" s="529" t="s">
        <v>212</v>
      </c>
      <c r="C550" s="529"/>
      <c r="D550" s="219" t="s">
        <v>212</v>
      </c>
      <c r="E550" s="222" t="s">
        <v>212</v>
      </c>
      <c r="F550" s="531" t="s">
        <v>212</v>
      </c>
      <c r="G550" s="531"/>
      <c r="H550" s="222" t="s">
        <v>212</v>
      </c>
      <c r="I550" s="531" t="s">
        <v>212</v>
      </c>
      <c r="J550" s="531"/>
      <c r="K550" s="222" t="s">
        <v>212</v>
      </c>
      <c r="L550" s="222" t="s">
        <v>212</v>
      </c>
      <c r="M550" s="222" t="s">
        <v>212</v>
      </c>
      <c r="N550" s="222" t="s">
        <v>212</v>
      </c>
      <c r="O550" s="222" t="s">
        <v>212</v>
      </c>
      <c r="P550" s="222" t="s">
        <v>212</v>
      </c>
      <c r="Q550" s="222" t="s">
        <v>212</v>
      </c>
      <c r="R550" s="222" t="s">
        <v>212</v>
      </c>
      <c r="S550" s="222" t="s">
        <v>212</v>
      </c>
      <c r="T550" s="531" t="s">
        <v>212</v>
      </c>
      <c r="U550" s="531"/>
      <c r="V550" s="222" t="s">
        <v>212</v>
      </c>
      <c r="W550" s="222" t="s">
        <v>212</v>
      </c>
      <c r="X550" s="531" t="s">
        <v>212</v>
      </c>
      <c r="Y550" s="531"/>
      <c r="Z550" s="222" t="s">
        <v>212</v>
      </c>
      <c r="AA550" s="222" t="s">
        <v>212</v>
      </c>
      <c r="AB550" s="222" t="s">
        <v>212</v>
      </c>
      <c r="AC550" s="215"/>
    </row>
    <row r="551" spans="1:29" ht="13.5" customHeight="1">
      <c r="A551" s="215"/>
      <c r="B551" s="535">
        <v>39350</v>
      </c>
      <c r="C551" s="535"/>
      <c r="D551" s="219" t="s">
        <v>212</v>
      </c>
      <c r="E551" s="229">
        <v>274.10000000000002</v>
      </c>
      <c r="F551" s="536">
        <v>24</v>
      </c>
      <c r="G551" s="536"/>
      <c r="H551" s="229">
        <v>302.5</v>
      </c>
      <c r="I551" s="536">
        <v>24</v>
      </c>
      <c r="J551" s="536"/>
      <c r="K551" s="229">
        <v>0</v>
      </c>
      <c r="L551" s="230">
        <v>2</v>
      </c>
      <c r="M551" s="229">
        <v>0</v>
      </c>
      <c r="N551" s="230">
        <v>0</v>
      </c>
      <c r="O551" s="231">
        <v>576.6</v>
      </c>
      <c r="P551" s="222" t="s">
        <v>212</v>
      </c>
      <c r="Q551" s="229">
        <v>0</v>
      </c>
      <c r="R551" s="230">
        <v>0</v>
      </c>
      <c r="S551" s="229">
        <v>0</v>
      </c>
      <c r="T551" s="536">
        <v>0</v>
      </c>
      <c r="U551" s="536"/>
      <c r="V551" s="229">
        <v>0</v>
      </c>
      <c r="W551" s="222" t="s">
        <v>212</v>
      </c>
      <c r="X551" s="530">
        <v>576.6</v>
      </c>
      <c r="Y551" s="530"/>
      <c r="Z551" s="222" t="s">
        <v>212</v>
      </c>
      <c r="AA551" s="232">
        <v>7991300</v>
      </c>
      <c r="AB551" s="233">
        <v>0</v>
      </c>
      <c r="AC551" s="215"/>
    </row>
    <row r="552" spans="1:29" ht="2.25" customHeight="1">
      <c r="A552" s="215"/>
      <c r="B552" s="529" t="s">
        <v>212</v>
      </c>
      <c r="C552" s="529"/>
      <c r="D552" s="219" t="s">
        <v>212</v>
      </c>
      <c r="E552" s="222" t="s">
        <v>212</v>
      </c>
      <c r="F552" s="531" t="s">
        <v>212</v>
      </c>
      <c r="G552" s="531"/>
      <c r="H552" s="222" t="s">
        <v>212</v>
      </c>
      <c r="I552" s="531" t="s">
        <v>212</v>
      </c>
      <c r="J552" s="531"/>
      <c r="K552" s="222" t="s">
        <v>212</v>
      </c>
      <c r="L552" s="222" t="s">
        <v>212</v>
      </c>
      <c r="M552" s="222" t="s">
        <v>212</v>
      </c>
      <c r="N552" s="222" t="s">
        <v>212</v>
      </c>
      <c r="O552" s="222" t="s">
        <v>212</v>
      </c>
      <c r="P552" s="222" t="s">
        <v>212</v>
      </c>
      <c r="Q552" s="222" t="s">
        <v>212</v>
      </c>
      <c r="R552" s="222" t="s">
        <v>212</v>
      </c>
      <c r="S552" s="222" t="s">
        <v>212</v>
      </c>
      <c r="T552" s="531" t="s">
        <v>212</v>
      </c>
      <c r="U552" s="531"/>
      <c r="V552" s="222" t="s">
        <v>212</v>
      </c>
      <c r="W552" s="222" t="s">
        <v>212</v>
      </c>
      <c r="X552" s="531" t="s">
        <v>212</v>
      </c>
      <c r="Y552" s="531"/>
      <c r="Z552" s="222" t="s">
        <v>212</v>
      </c>
      <c r="AA552" s="222" t="s">
        <v>212</v>
      </c>
      <c r="AB552" s="222" t="s">
        <v>212</v>
      </c>
      <c r="AC552" s="215"/>
    </row>
    <row r="553" spans="1:29" ht="13.5" customHeight="1">
      <c r="A553" s="215"/>
      <c r="B553" s="532">
        <v>39351</v>
      </c>
      <c r="C553" s="532"/>
      <c r="D553" s="219" t="s">
        <v>212</v>
      </c>
      <c r="E553" s="224">
        <v>292.39999999999998</v>
      </c>
      <c r="F553" s="533">
        <v>24</v>
      </c>
      <c r="G553" s="533"/>
      <c r="H553" s="224">
        <v>339.5</v>
      </c>
      <c r="I553" s="533">
        <v>24</v>
      </c>
      <c r="J553" s="533"/>
      <c r="K553" s="224">
        <v>0</v>
      </c>
      <c r="L553" s="225">
        <v>0</v>
      </c>
      <c r="M553" s="224">
        <v>0</v>
      </c>
      <c r="N553" s="225">
        <v>0</v>
      </c>
      <c r="O553" s="226">
        <v>631.9</v>
      </c>
      <c r="P553" s="222" t="s">
        <v>212</v>
      </c>
      <c r="Q553" s="224">
        <v>0</v>
      </c>
      <c r="R553" s="225">
        <v>0</v>
      </c>
      <c r="S553" s="224">
        <v>0</v>
      </c>
      <c r="T553" s="533">
        <v>0</v>
      </c>
      <c r="U553" s="533"/>
      <c r="V553" s="224">
        <v>0</v>
      </c>
      <c r="W553" s="222" t="s">
        <v>212</v>
      </c>
      <c r="X553" s="534">
        <v>631.9</v>
      </c>
      <c r="Y553" s="534"/>
      <c r="Z553" s="222" t="s">
        <v>212</v>
      </c>
      <c r="AA553" s="227">
        <v>8377500</v>
      </c>
      <c r="AB553" s="228">
        <v>0</v>
      </c>
      <c r="AC553" s="215"/>
    </row>
    <row r="554" spans="1:29" ht="2.25" customHeight="1">
      <c r="A554" s="215"/>
      <c r="B554" s="529" t="s">
        <v>212</v>
      </c>
      <c r="C554" s="529"/>
      <c r="D554" s="219" t="s">
        <v>212</v>
      </c>
      <c r="E554" s="222" t="s">
        <v>212</v>
      </c>
      <c r="F554" s="531" t="s">
        <v>212</v>
      </c>
      <c r="G554" s="531"/>
      <c r="H554" s="222" t="s">
        <v>212</v>
      </c>
      <c r="I554" s="531" t="s">
        <v>212</v>
      </c>
      <c r="J554" s="531"/>
      <c r="K554" s="222" t="s">
        <v>212</v>
      </c>
      <c r="L554" s="222" t="s">
        <v>212</v>
      </c>
      <c r="M554" s="222" t="s">
        <v>212</v>
      </c>
      <c r="N554" s="222" t="s">
        <v>212</v>
      </c>
      <c r="O554" s="222" t="s">
        <v>212</v>
      </c>
      <c r="P554" s="222" t="s">
        <v>212</v>
      </c>
      <c r="Q554" s="222" t="s">
        <v>212</v>
      </c>
      <c r="R554" s="222" t="s">
        <v>212</v>
      </c>
      <c r="S554" s="222" t="s">
        <v>212</v>
      </c>
      <c r="T554" s="531" t="s">
        <v>212</v>
      </c>
      <c r="U554" s="531"/>
      <c r="V554" s="222" t="s">
        <v>212</v>
      </c>
      <c r="W554" s="222" t="s">
        <v>212</v>
      </c>
      <c r="X554" s="531" t="s">
        <v>212</v>
      </c>
      <c r="Y554" s="531"/>
      <c r="Z554" s="222" t="s">
        <v>212</v>
      </c>
      <c r="AA554" s="222" t="s">
        <v>212</v>
      </c>
      <c r="AB554" s="222" t="s">
        <v>212</v>
      </c>
      <c r="AC554" s="215"/>
    </row>
    <row r="555" spans="1:29" ht="13.5" customHeight="1">
      <c r="A555" s="215"/>
      <c r="B555" s="535">
        <v>39352</v>
      </c>
      <c r="C555" s="535"/>
      <c r="D555" s="219" t="s">
        <v>212</v>
      </c>
      <c r="E555" s="229">
        <v>262.5</v>
      </c>
      <c r="F555" s="536">
        <v>24</v>
      </c>
      <c r="G555" s="536"/>
      <c r="H555" s="229">
        <v>319</v>
      </c>
      <c r="I555" s="536">
        <v>24</v>
      </c>
      <c r="J555" s="536"/>
      <c r="K555" s="229">
        <v>0.4</v>
      </c>
      <c r="L555" s="230">
        <v>1</v>
      </c>
      <c r="M555" s="229">
        <v>0</v>
      </c>
      <c r="N555" s="230">
        <v>0</v>
      </c>
      <c r="O555" s="231">
        <v>581.9</v>
      </c>
      <c r="P555" s="222" t="s">
        <v>212</v>
      </c>
      <c r="Q555" s="229">
        <v>0</v>
      </c>
      <c r="R555" s="230">
        <v>0</v>
      </c>
      <c r="S555" s="229">
        <v>0</v>
      </c>
      <c r="T555" s="536">
        <v>0</v>
      </c>
      <c r="U555" s="536"/>
      <c r="V555" s="229">
        <v>0</v>
      </c>
      <c r="W555" s="222" t="s">
        <v>212</v>
      </c>
      <c r="X555" s="530">
        <v>581.9</v>
      </c>
      <c r="Y555" s="530"/>
      <c r="Z555" s="222" t="s">
        <v>212</v>
      </c>
      <c r="AA555" s="232">
        <v>8000200</v>
      </c>
      <c r="AB555" s="233">
        <v>2490</v>
      </c>
      <c r="AC555" s="215"/>
    </row>
    <row r="556" spans="1:29" ht="2.25" customHeight="1">
      <c r="A556" s="215"/>
      <c r="B556" s="529" t="s">
        <v>212</v>
      </c>
      <c r="C556" s="529"/>
      <c r="D556" s="219" t="s">
        <v>212</v>
      </c>
      <c r="E556" s="222" t="s">
        <v>212</v>
      </c>
      <c r="F556" s="531" t="s">
        <v>212</v>
      </c>
      <c r="G556" s="531"/>
      <c r="H556" s="222" t="s">
        <v>212</v>
      </c>
      <c r="I556" s="531" t="s">
        <v>212</v>
      </c>
      <c r="J556" s="531"/>
      <c r="K556" s="222" t="s">
        <v>212</v>
      </c>
      <c r="L556" s="222" t="s">
        <v>212</v>
      </c>
      <c r="M556" s="222" t="s">
        <v>212</v>
      </c>
      <c r="N556" s="222" t="s">
        <v>212</v>
      </c>
      <c r="O556" s="222" t="s">
        <v>212</v>
      </c>
      <c r="P556" s="222" t="s">
        <v>212</v>
      </c>
      <c r="Q556" s="222" t="s">
        <v>212</v>
      </c>
      <c r="R556" s="222" t="s">
        <v>212</v>
      </c>
      <c r="S556" s="222" t="s">
        <v>212</v>
      </c>
      <c r="T556" s="531" t="s">
        <v>212</v>
      </c>
      <c r="U556" s="531"/>
      <c r="V556" s="222" t="s">
        <v>212</v>
      </c>
      <c r="W556" s="222" t="s">
        <v>212</v>
      </c>
      <c r="X556" s="531" t="s">
        <v>212</v>
      </c>
      <c r="Y556" s="531"/>
      <c r="Z556" s="222" t="s">
        <v>212</v>
      </c>
      <c r="AA556" s="222" t="s">
        <v>212</v>
      </c>
      <c r="AB556" s="222" t="s">
        <v>212</v>
      </c>
      <c r="AC556" s="215"/>
    </row>
    <row r="557" spans="1:29" ht="13.5" customHeight="1">
      <c r="A557" s="215"/>
      <c r="B557" s="532">
        <v>39353</v>
      </c>
      <c r="C557" s="532"/>
      <c r="D557" s="219" t="s">
        <v>212</v>
      </c>
      <c r="E557" s="224">
        <v>268.89999999999998</v>
      </c>
      <c r="F557" s="533">
        <v>24</v>
      </c>
      <c r="G557" s="533"/>
      <c r="H557" s="224">
        <v>303.60000000000002</v>
      </c>
      <c r="I557" s="533">
        <v>24</v>
      </c>
      <c r="J557" s="533"/>
      <c r="K557" s="224">
        <v>45.6</v>
      </c>
      <c r="L557" s="225">
        <v>8</v>
      </c>
      <c r="M557" s="224">
        <v>0</v>
      </c>
      <c r="N557" s="225">
        <v>0</v>
      </c>
      <c r="O557" s="226">
        <v>618.1</v>
      </c>
      <c r="P557" s="222" t="s">
        <v>212</v>
      </c>
      <c r="Q557" s="224">
        <v>0</v>
      </c>
      <c r="R557" s="225">
        <v>0</v>
      </c>
      <c r="S557" s="224">
        <v>0</v>
      </c>
      <c r="T557" s="533">
        <v>0</v>
      </c>
      <c r="U557" s="533"/>
      <c r="V557" s="224">
        <v>0</v>
      </c>
      <c r="W557" s="222" t="s">
        <v>212</v>
      </c>
      <c r="X557" s="534">
        <v>618.1</v>
      </c>
      <c r="Y557" s="534"/>
      <c r="Z557" s="222" t="s">
        <v>212</v>
      </c>
      <c r="AA557" s="227">
        <v>8830900</v>
      </c>
      <c r="AB557" s="228">
        <v>0</v>
      </c>
      <c r="AC557" s="215"/>
    </row>
    <row r="558" spans="1:29" ht="2.25" customHeight="1">
      <c r="A558" s="215"/>
      <c r="B558" s="529" t="s">
        <v>212</v>
      </c>
      <c r="C558" s="529"/>
      <c r="D558" s="219" t="s">
        <v>212</v>
      </c>
      <c r="E558" s="222" t="s">
        <v>212</v>
      </c>
      <c r="F558" s="531" t="s">
        <v>212</v>
      </c>
      <c r="G558" s="531"/>
      <c r="H558" s="222" t="s">
        <v>212</v>
      </c>
      <c r="I558" s="531" t="s">
        <v>212</v>
      </c>
      <c r="J558" s="531"/>
      <c r="K558" s="222" t="s">
        <v>212</v>
      </c>
      <c r="L558" s="222" t="s">
        <v>212</v>
      </c>
      <c r="M558" s="222" t="s">
        <v>212</v>
      </c>
      <c r="N558" s="222" t="s">
        <v>212</v>
      </c>
      <c r="O558" s="222" t="s">
        <v>212</v>
      </c>
      <c r="P558" s="222" t="s">
        <v>212</v>
      </c>
      <c r="Q558" s="222" t="s">
        <v>212</v>
      </c>
      <c r="R558" s="222" t="s">
        <v>212</v>
      </c>
      <c r="S558" s="222" t="s">
        <v>212</v>
      </c>
      <c r="T558" s="531" t="s">
        <v>212</v>
      </c>
      <c r="U558" s="531"/>
      <c r="V558" s="222" t="s">
        <v>212</v>
      </c>
      <c r="W558" s="222" t="s">
        <v>212</v>
      </c>
      <c r="X558" s="531" t="s">
        <v>212</v>
      </c>
      <c r="Y558" s="531"/>
      <c r="Z558" s="222" t="s">
        <v>212</v>
      </c>
      <c r="AA558" s="222" t="s">
        <v>212</v>
      </c>
      <c r="AB558" s="222" t="s">
        <v>212</v>
      </c>
      <c r="AC558" s="215"/>
    </row>
    <row r="559" spans="1:29" ht="13.5" customHeight="1">
      <c r="A559" s="215"/>
      <c r="B559" s="535">
        <v>39354</v>
      </c>
      <c r="C559" s="535"/>
      <c r="D559" s="219" t="s">
        <v>212</v>
      </c>
      <c r="E559" s="229">
        <v>67.7</v>
      </c>
      <c r="F559" s="536">
        <v>10</v>
      </c>
      <c r="G559" s="536"/>
      <c r="H559" s="229">
        <v>194.5</v>
      </c>
      <c r="I559" s="536">
        <v>24</v>
      </c>
      <c r="J559" s="536"/>
      <c r="K559" s="229">
        <v>184.2</v>
      </c>
      <c r="L559" s="230">
        <v>24</v>
      </c>
      <c r="M559" s="229">
        <v>0</v>
      </c>
      <c r="N559" s="230">
        <v>0</v>
      </c>
      <c r="O559" s="231">
        <v>446.4</v>
      </c>
      <c r="P559" s="222" t="s">
        <v>212</v>
      </c>
      <c r="Q559" s="229">
        <v>0</v>
      </c>
      <c r="R559" s="230">
        <v>0</v>
      </c>
      <c r="S559" s="229">
        <v>0</v>
      </c>
      <c r="T559" s="536">
        <v>0</v>
      </c>
      <c r="U559" s="536"/>
      <c r="V559" s="229">
        <v>0</v>
      </c>
      <c r="W559" s="222" t="s">
        <v>212</v>
      </c>
      <c r="X559" s="530">
        <v>446.4</v>
      </c>
      <c r="Y559" s="530"/>
      <c r="Z559" s="222" t="s">
        <v>212</v>
      </c>
      <c r="AA559" s="232">
        <v>7774700</v>
      </c>
      <c r="AB559" s="233">
        <v>4180</v>
      </c>
      <c r="AC559" s="215"/>
    </row>
    <row r="560" spans="1:29" ht="2.25" customHeight="1">
      <c r="A560" s="215"/>
      <c r="B560" s="529" t="s">
        <v>212</v>
      </c>
      <c r="C560" s="529"/>
      <c r="D560" s="219" t="s">
        <v>212</v>
      </c>
      <c r="E560" s="222" t="s">
        <v>212</v>
      </c>
      <c r="F560" s="531" t="s">
        <v>212</v>
      </c>
      <c r="G560" s="531"/>
      <c r="H560" s="222" t="s">
        <v>212</v>
      </c>
      <c r="I560" s="531" t="s">
        <v>212</v>
      </c>
      <c r="J560" s="531"/>
      <c r="K560" s="222" t="s">
        <v>212</v>
      </c>
      <c r="L560" s="222" t="s">
        <v>212</v>
      </c>
      <c r="M560" s="222" t="s">
        <v>212</v>
      </c>
      <c r="N560" s="222" t="s">
        <v>212</v>
      </c>
      <c r="O560" s="222" t="s">
        <v>212</v>
      </c>
      <c r="P560" s="222" t="s">
        <v>212</v>
      </c>
      <c r="Q560" s="222" t="s">
        <v>212</v>
      </c>
      <c r="R560" s="222" t="s">
        <v>212</v>
      </c>
      <c r="S560" s="222" t="s">
        <v>212</v>
      </c>
      <c r="T560" s="531" t="s">
        <v>212</v>
      </c>
      <c r="U560" s="531"/>
      <c r="V560" s="222" t="s">
        <v>212</v>
      </c>
      <c r="W560" s="222" t="s">
        <v>212</v>
      </c>
      <c r="X560" s="531" t="s">
        <v>212</v>
      </c>
      <c r="Y560" s="531"/>
      <c r="Z560" s="222" t="s">
        <v>212</v>
      </c>
      <c r="AA560" s="222" t="s">
        <v>212</v>
      </c>
      <c r="AB560" s="222" t="s">
        <v>212</v>
      </c>
      <c r="AC560" s="215"/>
    </row>
    <row r="561" spans="1:29" ht="13.5" customHeight="1">
      <c r="A561" s="215"/>
      <c r="B561" s="532">
        <v>39355</v>
      </c>
      <c r="C561" s="532"/>
      <c r="D561" s="219" t="s">
        <v>212</v>
      </c>
      <c r="E561" s="224">
        <v>0</v>
      </c>
      <c r="F561" s="533">
        <v>0</v>
      </c>
      <c r="G561" s="533"/>
      <c r="H561" s="224">
        <v>304.39999999999998</v>
      </c>
      <c r="I561" s="533">
        <v>24</v>
      </c>
      <c r="J561" s="533"/>
      <c r="K561" s="224">
        <v>283.89999999999998</v>
      </c>
      <c r="L561" s="225">
        <v>24</v>
      </c>
      <c r="M561" s="224">
        <v>0</v>
      </c>
      <c r="N561" s="225">
        <v>0</v>
      </c>
      <c r="O561" s="226">
        <v>588.29999999999995</v>
      </c>
      <c r="P561" s="222" t="s">
        <v>212</v>
      </c>
      <c r="Q561" s="224">
        <v>0</v>
      </c>
      <c r="R561" s="225">
        <v>0</v>
      </c>
      <c r="S561" s="224">
        <v>0</v>
      </c>
      <c r="T561" s="533">
        <v>0</v>
      </c>
      <c r="U561" s="533"/>
      <c r="V561" s="224">
        <v>0</v>
      </c>
      <c r="W561" s="222" t="s">
        <v>212</v>
      </c>
      <c r="X561" s="534">
        <v>588.29999999999995</v>
      </c>
      <c r="Y561" s="534"/>
      <c r="Z561" s="222" t="s">
        <v>212</v>
      </c>
      <c r="AA561" s="227">
        <v>8242800</v>
      </c>
      <c r="AB561" s="228">
        <v>0</v>
      </c>
      <c r="AC561" s="215"/>
    </row>
    <row r="562" spans="1:29" ht="2.25" customHeight="1">
      <c r="A562" s="215"/>
      <c r="B562" s="529" t="s">
        <v>212</v>
      </c>
      <c r="C562" s="529"/>
      <c r="D562" s="219" t="s">
        <v>212</v>
      </c>
      <c r="E562" s="222" t="s">
        <v>212</v>
      </c>
      <c r="F562" s="531" t="s">
        <v>212</v>
      </c>
      <c r="G562" s="531"/>
      <c r="H562" s="222" t="s">
        <v>212</v>
      </c>
      <c r="I562" s="531" t="s">
        <v>212</v>
      </c>
      <c r="J562" s="531"/>
      <c r="K562" s="222" t="s">
        <v>212</v>
      </c>
      <c r="L562" s="222" t="s">
        <v>212</v>
      </c>
      <c r="M562" s="222" t="s">
        <v>212</v>
      </c>
      <c r="N562" s="222" t="s">
        <v>212</v>
      </c>
      <c r="O562" s="222" t="s">
        <v>212</v>
      </c>
      <c r="P562" s="222" t="s">
        <v>212</v>
      </c>
      <c r="Q562" s="222" t="s">
        <v>212</v>
      </c>
      <c r="R562" s="222" t="s">
        <v>212</v>
      </c>
      <c r="S562" s="222" t="s">
        <v>212</v>
      </c>
      <c r="T562" s="531" t="s">
        <v>212</v>
      </c>
      <c r="U562" s="531"/>
      <c r="V562" s="222" t="s">
        <v>212</v>
      </c>
      <c r="W562" s="222" t="s">
        <v>212</v>
      </c>
      <c r="X562" s="531" t="s">
        <v>212</v>
      </c>
      <c r="Y562" s="531"/>
      <c r="Z562" s="222" t="s">
        <v>212</v>
      </c>
      <c r="AA562" s="222" t="s">
        <v>212</v>
      </c>
      <c r="AB562" s="222" t="s">
        <v>212</v>
      </c>
      <c r="AC562" s="215"/>
    </row>
    <row r="563" spans="1:29" ht="13.5" customHeight="1">
      <c r="A563" s="215"/>
      <c r="B563" s="535">
        <v>39356</v>
      </c>
      <c r="C563" s="535"/>
      <c r="D563" s="219" t="s">
        <v>212</v>
      </c>
      <c r="E563" s="229">
        <v>0</v>
      </c>
      <c r="F563" s="536">
        <v>0</v>
      </c>
      <c r="G563" s="536"/>
      <c r="H563" s="229">
        <v>345.8</v>
      </c>
      <c r="I563" s="536">
        <v>24</v>
      </c>
      <c r="J563" s="536"/>
      <c r="K563" s="229">
        <v>309.2</v>
      </c>
      <c r="L563" s="230">
        <v>24</v>
      </c>
      <c r="M563" s="229">
        <v>0</v>
      </c>
      <c r="N563" s="230">
        <v>0</v>
      </c>
      <c r="O563" s="231">
        <v>655</v>
      </c>
      <c r="P563" s="222" t="s">
        <v>212</v>
      </c>
      <c r="Q563" s="229">
        <v>0</v>
      </c>
      <c r="R563" s="230">
        <v>0</v>
      </c>
      <c r="S563" s="229">
        <v>0</v>
      </c>
      <c r="T563" s="536">
        <v>0</v>
      </c>
      <c r="U563" s="536"/>
      <c r="V563" s="229">
        <v>0</v>
      </c>
      <c r="W563" s="222" t="s">
        <v>212</v>
      </c>
      <c r="X563" s="530">
        <v>655</v>
      </c>
      <c r="Y563" s="530"/>
      <c r="Z563" s="222" t="s">
        <v>212</v>
      </c>
      <c r="AA563" s="232">
        <v>8551700</v>
      </c>
      <c r="AB563" s="233">
        <v>0</v>
      </c>
      <c r="AC563" s="215"/>
    </row>
    <row r="564" spans="1:29" ht="2.25" customHeight="1">
      <c r="A564" s="215"/>
      <c r="B564" s="529" t="s">
        <v>212</v>
      </c>
      <c r="C564" s="529"/>
      <c r="D564" s="219" t="s">
        <v>212</v>
      </c>
      <c r="E564" s="222" t="s">
        <v>212</v>
      </c>
      <c r="F564" s="531" t="s">
        <v>212</v>
      </c>
      <c r="G564" s="531"/>
      <c r="H564" s="222" t="s">
        <v>212</v>
      </c>
      <c r="I564" s="531" t="s">
        <v>212</v>
      </c>
      <c r="J564" s="531"/>
      <c r="K564" s="222" t="s">
        <v>212</v>
      </c>
      <c r="L564" s="222" t="s">
        <v>212</v>
      </c>
      <c r="M564" s="222" t="s">
        <v>212</v>
      </c>
      <c r="N564" s="222" t="s">
        <v>212</v>
      </c>
      <c r="O564" s="222" t="s">
        <v>212</v>
      </c>
      <c r="P564" s="222" t="s">
        <v>212</v>
      </c>
      <c r="Q564" s="222" t="s">
        <v>212</v>
      </c>
      <c r="R564" s="222" t="s">
        <v>212</v>
      </c>
      <c r="S564" s="222" t="s">
        <v>212</v>
      </c>
      <c r="T564" s="531" t="s">
        <v>212</v>
      </c>
      <c r="U564" s="531"/>
      <c r="V564" s="222" t="s">
        <v>212</v>
      </c>
      <c r="W564" s="222" t="s">
        <v>212</v>
      </c>
      <c r="X564" s="531" t="s">
        <v>212</v>
      </c>
      <c r="Y564" s="531"/>
      <c r="Z564" s="222" t="s">
        <v>212</v>
      </c>
      <c r="AA564" s="222" t="s">
        <v>212</v>
      </c>
      <c r="AB564" s="222" t="s">
        <v>212</v>
      </c>
      <c r="AC564" s="215"/>
    </row>
    <row r="565" spans="1:29" ht="13.5" customHeight="1">
      <c r="A565" s="215"/>
      <c r="B565" s="532">
        <v>39357</v>
      </c>
      <c r="C565" s="532"/>
      <c r="D565" s="219" t="s">
        <v>212</v>
      </c>
      <c r="E565" s="224">
        <v>9.1999999999999993</v>
      </c>
      <c r="F565" s="533">
        <v>2</v>
      </c>
      <c r="G565" s="533"/>
      <c r="H565" s="224">
        <v>296.60000000000002</v>
      </c>
      <c r="I565" s="533">
        <v>24</v>
      </c>
      <c r="J565" s="533"/>
      <c r="K565" s="224">
        <v>252.9</v>
      </c>
      <c r="L565" s="225">
        <v>24</v>
      </c>
      <c r="M565" s="224">
        <v>0</v>
      </c>
      <c r="N565" s="225">
        <v>0</v>
      </c>
      <c r="O565" s="226">
        <v>558.70000000000005</v>
      </c>
      <c r="P565" s="222" t="s">
        <v>212</v>
      </c>
      <c r="Q565" s="224">
        <v>0</v>
      </c>
      <c r="R565" s="225">
        <v>0</v>
      </c>
      <c r="S565" s="224">
        <v>0</v>
      </c>
      <c r="T565" s="533">
        <v>0</v>
      </c>
      <c r="U565" s="533"/>
      <c r="V565" s="224">
        <v>0</v>
      </c>
      <c r="W565" s="222" t="s">
        <v>212</v>
      </c>
      <c r="X565" s="534">
        <v>558.70000000000005</v>
      </c>
      <c r="Y565" s="534"/>
      <c r="Z565" s="222" t="s">
        <v>212</v>
      </c>
      <c r="AA565" s="227">
        <v>7883500</v>
      </c>
      <c r="AB565" s="228">
        <v>848</v>
      </c>
      <c r="AC565" s="215"/>
    </row>
    <row r="566" spans="1:29" ht="2.25" customHeight="1">
      <c r="A566" s="215"/>
      <c r="B566" s="529" t="s">
        <v>212</v>
      </c>
      <c r="C566" s="529"/>
      <c r="D566" s="219" t="s">
        <v>212</v>
      </c>
      <c r="E566" s="222" t="s">
        <v>212</v>
      </c>
      <c r="F566" s="531" t="s">
        <v>212</v>
      </c>
      <c r="G566" s="531"/>
      <c r="H566" s="222" t="s">
        <v>212</v>
      </c>
      <c r="I566" s="531" t="s">
        <v>212</v>
      </c>
      <c r="J566" s="531"/>
      <c r="K566" s="222" t="s">
        <v>212</v>
      </c>
      <c r="L566" s="222" t="s">
        <v>212</v>
      </c>
      <c r="M566" s="222" t="s">
        <v>212</v>
      </c>
      <c r="N566" s="222" t="s">
        <v>212</v>
      </c>
      <c r="O566" s="222" t="s">
        <v>212</v>
      </c>
      <c r="P566" s="222" t="s">
        <v>212</v>
      </c>
      <c r="Q566" s="222" t="s">
        <v>212</v>
      </c>
      <c r="R566" s="222" t="s">
        <v>212</v>
      </c>
      <c r="S566" s="222" t="s">
        <v>212</v>
      </c>
      <c r="T566" s="531" t="s">
        <v>212</v>
      </c>
      <c r="U566" s="531"/>
      <c r="V566" s="222" t="s">
        <v>212</v>
      </c>
      <c r="W566" s="222" t="s">
        <v>212</v>
      </c>
      <c r="X566" s="531" t="s">
        <v>212</v>
      </c>
      <c r="Y566" s="531"/>
      <c r="Z566" s="222" t="s">
        <v>212</v>
      </c>
      <c r="AA566" s="222" t="s">
        <v>212</v>
      </c>
      <c r="AB566" s="222" t="s">
        <v>212</v>
      </c>
      <c r="AC566" s="215"/>
    </row>
    <row r="567" spans="1:29" ht="13.5" customHeight="1">
      <c r="A567" s="215"/>
      <c r="B567" s="535">
        <v>39358</v>
      </c>
      <c r="C567" s="535"/>
      <c r="D567" s="219" t="s">
        <v>212</v>
      </c>
      <c r="E567" s="229">
        <v>0</v>
      </c>
      <c r="F567" s="536">
        <v>0</v>
      </c>
      <c r="G567" s="536"/>
      <c r="H567" s="229">
        <v>313.10000000000002</v>
      </c>
      <c r="I567" s="536">
        <v>24</v>
      </c>
      <c r="J567" s="536"/>
      <c r="K567" s="229">
        <v>244.9</v>
      </c>
      <c r="L567" s="230">
        <v>24</v>
      </c>
      <c r="M567" s="229">
        <v>0</v>
      </c>
      <c r="N567" s="230">
        <v>0</v>
      </c>
      <c r="O567" s="231">
        <v>558</v>
      </c>
      <c r="P567" s="222" t="s">
        <v>212</v>
      </c>
      <c r="Q567" s="229">
        <v>0</v>
      </c>
      <c r="R567" s="230">
        <v>0</v>
      </c>
      <c r="S567" s="229">
        <v>0</v>
      </c>
      <c r="T567" s="536">
        <v>0</v>
      </c>
      <c r="U567" s="536"/>
      <c r="V567" s="229">
        <v>0</v>
      </c>
      <c r="W567" s="222" t="s">
        <v>212</v>
      </c>
      <c r="X567" s="530">
        <v>558</v>
      </c>
      <c r="Y567" s="530"/>
      <c r="Z567" s="222" t="s">
        <v>212</v>
      </c>
      <c r="AA567" s="232">
        <v>7780200</v>
      </c>
      <c r="AB567" s="233">
        <v>0</v>
      </c>
      <c r="AC567" s="215"/>
    </row>
    <row r="568" spans="1:29" ht="2.25" customHeight="1">
      <c r="A568" s="215"/>
      <c r="B568" s="529" t="s">
        <v>212</v>
      </c>
      <c r="C568" s="529"/>
      <c r="D568" s="219" t="s">
        <v>212</v>
      </c>
      <c r="E568" s="222" t="s">
        <v>212</v>
      </c>
      <c r="F568" s="531" t="s">
        <v>212</v>
      </c>
      <c r="G568" s="531"/>
      <c r="H568" s="222" t="s">
        <v>212</v>
      </c>
      <c r="I568" s="531" t="s">
        <v>212</v>
      </c>
      <c r="J568" s="531"/>
      <c r="K568" s="222" t="s">
        <v>212</v>
      </c>
      <c r="L568" s="222" t="s">
        <v>212</v>
      </c>
      <c r="M568" s="222" t="s">
        <v>212</v>
      </c>
      <c r="N568" s="222" t="s">
        <v>212</v>
      </c>
      <c r="O568" s="222" t="s">
        <v>212</v>
      </c>
      <c r="P568" s="222" t="s">
        <v>212</v>
      </c>
      <c r="Q568" s="222" t="s">
        <v>212</v>
      </c>
      <c r="R568" s="222" t="s">
        <v>212</v>
      </c>
      <c r="S568" s="222" t="s">
        <v>212</v>
      </c>
      <c r="T568" s="531" t="s">
        <v>212</v>
      </c>
      <c r="U568" s="531"/>
      <c r="V568" s="222" t="s">
        <v>212</v>
      </c>
      <c r="W568" s="222" t="s">
        <v>212</v>
      </c>
      <c r="X568" s="531" t="s">
        <v>212</v>
      </c>
      <c r="Y568" s="531"/>
      <c r="Z568" s="222" t="s">
        <v>212</v>
      </c>
      <c r="AA568" s="222" t="s">
        <v>212</v>
      </c>
      <c r="AB568" s="222" t="s">
        <v>212</v>
      </c>
      <c r="AC568" s="215"/>
    </row>
    <row r="569" spans="1:29" ht="13.5" customHeight="1">
      <c r="A569" s="215"/>
      <c r="B569" s="532">
        <v>39359</v>
      </c>
      <c r="C569" s="532"/>
      <c r="D569" s="219" t="s">
        <v>212</v>
      </c>
      <c r="E569" s="224">
        <v>0</v>
      </c>
      <c r="F569" s="533">
        <v>0</v>
      </c>
      <c r="G569" s="533"/>
      <c r="H569" s="224">
        <v>337.5</v>
      </c>
      <c r="I569" s="533">
        <v>24</v>
      </c>
      <c r="J569" s="533"/>
      <c r="K569" s="224">
        <v>268</v>
      </c>
      <c r="L569" s="225">
        <v>24</v>
      </c>
      <c r="M569" s="224">
        <v>0</v>
      </c>
      <c r="N569" s="225">
        <v>0</v>
      </c>
      <c r="O569" s="226">
        <v>605.5</v>
      </c>
      <c r="P569" s="222" t="s">
        <v>212</v>
      </c>
      <c r="Q569" s="224">
        <v>0</v>
      </c>
      <c r="R569" s="225">
        <v>0</v>
      </c>
      <c r="S569" s="224">
        <v>0</v>
      </c>
      <c r="T569" s="533">
        <v>0</v>
      </c>
      <c r="U569" s="533"/>
      <c r="V569" s="224">
        <v>0</v>
      </c>
      <c r="W569" s="222" t="s">
        <v>212</v>
      </c>
      <c r="X569" s="534">
        <v>605.5</v>
      </c>
      <c r="Y569" s="534"/>
      <c r="Z569" s="222" t="s">
        <v>212</v>
      </c>
      <c r="AA569" s="227">
        <v>8118300</v>
      </c>
      <c r="AB569" s="228">
        <v>0</v>
      </c>
      <c r="AC569" s="215"/>
    </row>
    <row r="570" spans="1:29" ht="2.25" customHeight="1">
      <c r="A570" s="215"/>
      <c r="B570" s="529" t="s">
        <v>212</v>
      </c>
      <c r="C570" s="529"/>
      <c r="D570" s="219" t="s">
        <v>212</v>
      </c>
      <c r="E570" s="222" t="s">
        <v>212</v>
      </c>
      <c r="F570" s="531" t="s">
        <v>212</v>
      </c>
      <c r="G570" s="531"/>
      <c r="H570" s="222" t="s">
        <v>212</v>
      </c>
      <c r="I570" s="531" t="s">
        <v>212</v>
      </c>
      <c r="J570" s="531"/>
      <c r="K570" s="222" t="s">
        <v>212</v>
      </c>
      <c r="L570" s="222" t="s">
        <v>212</v>
      </c>
      <c r="M570" s="222" t="s">
        <v>212</v>
      </c>
      <c r="N570" s="222" t="s">
        <v>212</v>
      </c>
      <c r="O570" s="222" t="s">
        <v>212</v>
      </c>
      <c r="P570" s="222" t="s">
        <v>212</v>
      </c>
      <c r="Q570" s="222" t="s">
        <v>212</v>
      </c>
      <c r="R570" s="222" t="s">
        <v>212</v>
      </c>
      <c r="S570" s="222" t="s">
        <v>212</v>
      </c>
      <c r="T570" s="531" t="s">
        <v>212</v>
      </c>
      <c r="U570" s="531"/>
      <c r="V570" s="222" t="s">
        <v>212</v>
      </c>
      <c r="W570" s="222" t="s">
        <v>212</v>
      </c>
      <c r="X570" s="531" t="s">
        <v>212</v>
      </c>
      <c r="Y570" s="531"/>
      <c r="Z570" s="222" t="s">
        <v>212</v>
      </c>
      <c r="AA570" s="222" t="s">
        <v>212</v>
      </c>
      <c r="AB570" s="222" t="s">
        <v>212</v>
      </c>
      <c r="AC570" s="215"/>
    </row>
    <row r="571" spans="1:29" ht="13.5" customHeight="1">
      <c r="A571" s="215"/>
      <c r="B571" s="535">
        <v>39360</v>
      </c>
      <c r="C571" s="535"/>
      <c r="D571" s="219" t="s">
        <v>212</v>
      </c>
      <c r="E571" s="229">
        <v>0</v>
      </c>
      <c r="F571" s="536">
        <v>0</v>
      </c>
      <c r="G571" s="536"/>
      <c r="H571" s="229">
        <v>357.8</v>
      </c>
      <c r="I571" s="536">
        <v>24</v>
      </c>
      <c r="J571" s="536"/>
      <c r="K571" s="229">
        <v>290.3</v>
      </c>
      <c r="L571" s="230">
        <v>24</v>
      </c>
      <c r="M571" s="229">
        <v>0</v>
      </c>
      <c r="N571" s="230">
        <v>0</v>
      </c>
      <c r="O571" s="231">
        <v>648.1</v>
      </c>
      <c r="P571" s="222" t="s">
        <v>212</v>
      </c>
      <c r="Q571" s="229">
        <v>0</v>
      </c>
      <c r="R571" s="230">
        <v>0</v>
      </c>
      <c r="S571" s="229">
        <v>0</v>
      </c>
      <c r="T571" s="536">
        <v>0</v>
      </c>
      <c r="U571" s="536"/>
      <c r="V571" s="229">
        <v>0</v>
      </c>
      <c r="W571" s="222" t="s">
        <v>212</v>
      </c>
      <c r="X571" s="530">
        <v>648.1</v>
      </c>
      <c r="Y571" s="530"/>
      <c r="Z571" s="222" t="s">
        <v>212</v>
      </c>
      <c r="AA571" s="232">
        <v>8542500</v>
      </c>
      <c r="AB571" s="233">
        <v>0</v>
      </c>
      <c r="AC571" s="215"/>
    </row>
    <row r="572" spans="1:29" ht="2.25" customHeight="1">
      <c r="A572" s="215"/>
      <c r="B572" s="529" t="s">
        <v>212</v>
      </c>
      <c r="C572" s="529"/>
      <c r="D572" s="219" t="s">
        <v>212</v>
      </c>
      <c r="E572" s="222" t="s">
        <v>212</v>
      </c>
      <c r="F572" s="531" t="s">
        <v>212</v>
      </c>
      <c r="G572" s="531"/>
      <c r="H572" s="222" t="s">
        <v>212</v>
      </c>
      <c r="I572" s="531" t="s">
        <v>212</v>
      </c>
      <c r="J572" s="531"/>
      <c r="K572" s="222" t="s">
        <v>212</v>
      </c>
      <c r="L572" s="222" t="s">
        <v>212</v>
      </c>
      <c r="M572" s="222" t="s">
        <v>212</v>
      </c>
      <c r="N572" s="222" t="s">
        <v>212</v>
      </c>
      <c r="O572" s="222" t="s">
        <v>212</v>
      </c>
      <c r="P572" s="222" t="s">
        <v>212</v>
      </c>
      <c r="Q572" s="222" t="s">
        <v>212</v>
      </c>
      <c r="R572" s="222" t="s">
        <v>212</v>
      </c>
      <c r="S572" s="222" t="s">
        <v>212</v>
      </c>
      <c r="T572" s="531" t="s">
        <v>212</v>
      </c>
      <c r="U572" s="531"/>
      <c r="V572" s="222" t="s">
        <v>212</v>
      </c>
      <c r="W572" s="222" t="s">
        <v>212</v>
      </c>
      <c r="X572" s="531" t="s">
        <v>212</v>
      </c>
      <c r="Y572" s="531"/>
      <c r="Z572" s="222" t="s">
        <v>212</v>
      </c>
      <c r="AA572" s="222" t="s">
        <v>212</v>
      </c>
      <c r="AB572" s="222" t="s">
        <v>212</v>
      </c>
      <c r="AC572" s="215"/>
    </row>
    <row r="573" spans="1:29" ht="13.5" customHeight="1">
      <c r="A573" s="215"/>
      <c r="B573" s="532">
        <v>39361</v>
      </c>
      <c r="C573" s="532"/>
      <c r="D573" s="219" t="s">
        <v>212</v>
      </c>
      <c r="E573" s="224">
        <v>77.7</v>
      </c>
      <c r="F573" s="533">
        <v>8</v>
      </c>
      <c r="G573" s="533"/>
      <c r="H573" s="224">
        <v>361.8</v>
      </c>
      <c r="I573" s="533">
        <v>24</v>
      </c>
      <c r="J573" s="533"/>
      <c r="K573" s="224">
        <v>211.6</v>
      </c>
      <c r="L573" s="225">
        <v>19</v>
      </c>
      <c r="M573" s="224">
        <v>0</v>
      </c>
      <c r="N573" s="225">
        <v>0</v>
      </c>
      <c r="O573" s="226">
        <v>651.1</v>
      </c>
      <c r="P573" s="222" t="s">
        <v>212</v>
      </c>
      <c r="Q573" s="224">
        <v>0</v>
      </c>
      <c r="R573" s="225">
        <v>0</v>
      </c>
      <c r="S573" s="224">
        <v>0</v>
      </c>
      <c r="T573" s="533">
        <v>0</v>
      </c>
      <c r="U573" s="533"/>
      <c r="V573" s="224">
        <v>0</v>
      </c>
      <c r="W573" s="222" t="s">
        <v>212</v>
      </c>
      <c r="X573" s="534">
        <v>651.1</v>
      </c>
      <c r="Y573" s="534"/>
      <c r="Z573" s="222" t="s">
        <v>212</v>
      </c>
      <c r="AA573" s="227">
        <v>8476400</v>
      </c>
      <c r="AB573" s="228">
        <v>11410</v>
      </c>
      <c r="AC573" s="215"/>
    </row>
    <row r="574" spans="1:29" ht="2.25" customHeight="1">
      <c r="A574" s="215"/>
      <c r="B574" s="529" t="s">
        <v>212</v>
      </c>
      <c r="C574" s="529"/>
      <c r="D574" s="219" t="s">
        <v>212</v>
      </c>
      <c r="E574" s="222" t="s">
        <v>212</v>
      </c>
      <c r="F574" s="531" t="s">
        <v>212</v>
      </c>
      <c r="G574" s="531"/>
      <c r="H574" s="222" t="s">
        <v>212</v>
      </c>
      <c r="I574" s="531" t="s">
        <v>212</v>
      </c>
      <c r="J574" s="531"/>
      <c r="K574" s="222" t="s">
        <v>212</v>
      </c>
      <c r="L574" s="222" t="s">
        <v>212</v>
      </c>
      <c r="M574" s="222" t="s">
        <v>212</v>
      </c>
      <c r="N574" s="222" t="s">
        <v>212</v>
      </c>
      <c r="O574" s="222" t="s">
        <v>212</v>
      </c>
      <c r="P574" s="222" t="s">
        <v>212</v>
      </c>
      <c r="Q574" s="222" t="s">
        <v>212</v>
      </c>
      <c r="R574" s="222" t="s">
        <v>212</v>
      </c>
      <c r="S574" s="222" t="s">
        <v>212</v>
      </c>
      <c r="T574" s="531" t="s">
        <v>212</v>
      </c>
      <c r="U574" s="531"/>
      <c r="V574" s="222" t="s">
        <v>212</v>
      </c>
      <c r="W574" s="222" t="s">
        <v>212</v>
      </c>
      <c r="X574" s="531" t="s">
        <v>212</v>
      </c>
      <c r="Y574" s="531"/>
      <c r="Z574" s="222" t="s">
        <v>212</v>
      </c>
      <c r="AA574" s="222" t="s">
        <v>212</v>
      </c>
      <c r="AB574" s="222" t="s">
        <v>212</v>
      </c>
      <c r="AC574" s="215"/>
    </row>
    <row r="575" spans="1:29" ht="13.5" customHeight="1">
      <c r="A575" s="215"/>
      <c r="B575" s="535">
        <v>39362</v>
      </c>
      <c r="C575" s="535"/>
      <c r="D575" s="219" t="s">
        <v>212</v>
      </c>
      <c r="E575" s="229">
        <v>260.5</v>
      </c>
      <c r="F575" s="536">
        <v>24</v>
      </c>
      <c r="G575" s="536"/>
      <c r="H575" s="229">
        <v>326.39999999999998</v>
      </c>
      <c r="I575" s="536">
        <v>24</v>
      </c>
      <c r="J575" s="536"/>
      <c r="K575" s="229">
        <v>0</v>
      </c>
      <c r="L575" s="230">
        <v>0</v>
      </c>
      <c r="M575" s="229">
        <v>0</v>
      </c>
      <c r="N575" s="230">
        <v>0</v>
      </c>
      <c r="O575" s="231">
        <v>586.9</v>
      </c>
      <c r="P575" s="222" t="s">
        <v>212</v>
      </c>
      <c r="Q575" s="229">
        <v>0</v>
      </c>
      <c r="R575" s="230">
        <v>0</v>
      </c>
      <c r="S575" s="229">
        <v>0</v>
      </c>
      <c r="T575" s="536">
        <v>0</v>
      </c>
      <c r="U575" s="536"/>
      <c r="V575" s="229">
        <v>0</v>
      </c>
      <c r="W575" s="222" t="s">
        <v>212</v>
      </c>
      <c r="X575" s="530">
        <v>586.9</v>
      </c>
      <c r="Y575" s="530"/>
      <c r="Z575" s="222" t="s">
        <v>212</v>
      </c>
      <c r="AA575" s="232">
        <v>8018500</v>
      </c>
      <c r="AB575" s="233">
        <v>0</v>
      </c>
      <c r="AC575" s="215"/>
    </row>
    <row r="576" spans="1:29" ht="2.25" customHeight="1">
      <c r="A576" s="215"/>
      <c r="B576" s="529" t="s">
        <v>212</v>
      </c>
      <c r="C576" s="529"/>
      <c r="D576" s="219" t="s">
        <v>212</v>
      </c>
      <c r="E576" s="222" t="s">
        <v>212</v>
      </c>
      <c r="F576" s="531" t="s">
        <v>212</v>
      </c>
      <c r="G576" s="531"/>
      <c r="H576" s="222" t="s">
        <v>212</v>
      </c>
      <c r="I576" s="531" t="s">
        <v>212</v>
      </c>
      <c r="J576" s="531"/>
      <c r="K576" s="222" t="s">
        <v>212</v>
      </c>
      <c r="L576" s="222" t="s">
        <v>212</v>
      </c>
      <c r="M576" s="222" t="s">
        <v>212</v>
      </c>
      <c r="N576" s="222" t="s">
        <v>212</v>
      </c>
      <c r="O576" s="222" t="s">
        <v>212</v>
      </c>
      <c r="P576" s="222" t="s">
        <v>212</v>
      </c>
      <c r="Q576" s="222" t="s">
        <v>212</v>
      </c>
      <c r="R576" s="222" t="s">
        <v>212</v>
      </c>
      <c r="S576" s="222" t="s">
        <v>212</v>
      </c>
      <c r="T576" s="531" t="s">
        <v>212</v>
      </c>
      <c r="U576" s="531"/>
      <c r="V576" s="222" t="s">
        <v>212</v>
      </c>
      <c r="W576" s="222" t="s">
        <v>212</v>
      </c>
      <c r="X576" s="531" t="s">
        <v>212</v>
      </c>
      <c r="Y576" s="531"/>
      <c r="Z576" s="222" t="s">
        <v>212</v>
      </c>
      <c r="AA576" s="222" t="s">
        <v>212</v>
      </c>
      <c r="AB576" s="222" t="s">
        <v>212</v>
      </c>
      <c r="AC576" s="215"/>
    </row>
    <row r="577" spans="1:29" ht="13.5" customHeight="1">
      <c r="A577" s="215"/>
      <c r="B577" s="532">
        <v>39363</v>
      </c>
      <c r="C577" s="532"/>
      <c r="D577" s="219" t="s">
        <v>212</v>
      </c>
      <c r="E577" s="224">
        <v>303</v>
      </c>
      <c r="F577" s="533">
        <v>24</v>
      </c>
      <c r="G577" s="533"/>
      <c r="H577" s="224">
        <v>346</v>
      </c>
      <c r="I577" s="533">
        <v>24</v>
      </c>
      <c r="J577" s="533"/>
      <c r="K577" s="224">
        <v>0</v>
      </c>
      <c r="L577" s="225">
        <v>0</v>
      </c>
      <c r="M577" s="224">
        <v>0</v>
      </c>
      <c r="N577" s="225">
        <v>0</v>
      </c>
      <c r="O577" s="226">
        <v>649</v>
      </c>
      <c r="P577" s="222" t="s">
        <v>212</v>
      </c>
      <c r="Q577" s="224">
        <v>0</v>
      </c>
      <c r="R577" s="225">
        <v>0</v>
      </c>
      <c r="S577" s="224">
        <v>0</v>
      </c>
      <c r="T577" s="533">
        <v>0</v>
      </c>
      <c r="U577" s="533"/>
      <c r="V577" s="224">
        <v>0</v>
      </c>
      <c r="W577" s="222" t="s">
        <v>212</v>
      </c>
      <c r="X577" s="534">
        <v>649</v>
      </c>
      <c r="Y577" s="534"/>
      <c r="Z577" s="222" t="s">
        <v>212</v>
      </c>
      <c r="AA577" s="227">
        <v>8469500</v>
      </c>
      <c r="AB577" s="228">
        <v>0</v>
      </c>
      <c r="AC577" s="215"/>
    </row>
    <row r="578" spans="1:29" ht="2.25" customHeight="1">
      <c r="A578" s="215"/>
      <c r="B578" s="529" t="s">
        <v>212</v>
      </c>
      <c r="C578" s="529"/>
      <c r="D578" s="219" t="s">
        <v>212</v>
      </c>
      <c r="E578" s="222" t="s">
        <v>212</v>
      </c>
      <c r="F578" s="531" t="s">
        <v>212</v>
      </c>
      <c r="G578" s="531"/>
      <c r="H578" s="222" t="s">
        <v>212</v>
      </c>
      <c r="I578" s="531" t="s">
        <v>212</v>
      </c>
      <c r="J578" s="531"/>
      <c r="K578" s="222" t="s">
        <v>212</v>
      </c>
      <c r="L578" s="222" t="s">
        <v>212</v>
      </c>
      <c r="M578" s="222" t="s">
        <v>212</v>
      </c>
      <c r="N578" s="222" t="s">
        <v>212</v>
      </c>
      <c r="O578" s="222" t="s">
        <v>212</v>
      </c>
      <c r="P578" s="222" t="s">
        <v>212</v>
      </c>
      <c r="Q578" s="222" t="s">
        <v>212</v>
      </c>
      <c r="R578" s="222" t="s">
        <v>212</v>
      </c>
      <c r="S578" s="222" t="s">
        <v>212</v>
      </c>
      <c r="T578" s="531" t="s">
        <v>212</v>
      </c>
      <c r="U578" s="531"/>
      <c r="V578" s="222" t="s">
        <v>212</v>
      </c>
      <c r="W578" s="222" t="s">
        <v>212</v>
      </c>
      <c r="X578" s="531" t="s">
        <v>212</v>
      </c>
      <c r="Y578" s="531"/>
      <c r="Z578" s="222" t="s">
        <v>212</v>
      </c>
      <c r="AA578" s="222" t="s">
        <v>212</v>
      </c>
      <c r="AB578" s="222" t="s">
        <v>212</v>
      </c>
      <c r="AC578" s="215"/>
    </row>
    <row r="579" spans="1:29" ht="13.5" customHeight="1">
      <c r="A579" s="215"/>
      <c r="B579" s="535">
        <v>39364</v>
      </c>
      <c r="C579" s="535"/>
      <c r="D579" s="219" t="s">
        <v>212</v>
      </c>
      <c r="E579" s="229">
        <v>302</v>
      </c>
      <c r="F579" s="536">
        <v>24</v>
      </c>
      <c r="G579" s="536"/>
      <c r="H579" s="229">
        <v>341.9</v>
      </c>
      <c r="I579" s="536">
        <v>24</v>
      </c>
      <c r="J579" s="536"/>
      <c r="K579" s="229">
        <v>0</v>
      </c>
      <c r="L579" s="230">
        <v>0</v>
      </c>
      <c r="M579" s="229">
        <v>0</v>
      </c>
      <c r="N579" s="230">
        <v>0</v>
      </c>
      <c r="O579" s="231">
        <v>643.9</v>
      </c>
      <c r="P579" s="222" t="s">
        <v>212</v>
      </c>
      <c r="Q579" s="229">
        <v>0</v>
      </c>
      <c r="R579" s="230">
        <v>0</v>
      </c>
      <c r="S579" s="229">
        <v>0</v>
      </c>
      <c r="T579" s="536">
        <v>0</v>
      </c>
      <c r="U579" s="536"/>
      <c r="V579" s="229">
        <v>0</v>
      </c>
      <c r="W579" s="222" t="s">
        <v>212</v>
      </c>
      <c r="X579" s="530">
        <v>643.9</v>
      </c>
      <c r="Y579" s="530"/>
      <c r="Z579" s="222" t="s">
        <v>212</v>
      </c>
      <c r="AA579" s="232">
        <v>8476300</v>
      </c>
      <c r="AB579" s="233">
        <v>0</v>
      </c>
      <c r="AC579" s="215"/>
    </row>
    <row r="580" spans="1:29" ht="2.25" customHeight="1">
      <c r="A580" s="215"/>
      <c r="B580" s="529" t="s">
        <v>212</v>
      </c>
      <c r="C580" s="529"/>
      <c r="D580" s="219" t="s">
        <v>212</v>
      </c>
      <c r="E580" s="222" t="s">
        <v>212</v>
      </c>
      <c r="F580" s="531" t="s">
        <v>212</v>
      </c>
      <c r="G580" s="531"/>
      <c r="H580" s="222" t="s">
        <v>212</v>
      </c>
      <c r="I580" s="531" t="s">
        <v>212</v>
      </c>
      <c r="J580" s="531"/>
      <c r="K580" s="222" t="s">
        <v>212</v>
      </c>
      <c r="L580" s="222" t="s">
        <v>212</v>
      </c>
      <c r="M580" s="222" t="s">
        <v>212</v>
      </c>
      <c r="N580" s="222" t="s">
        <v>212</v>
      </c>
      <c r="O580" s="222" t="s">
        <v>212</v>
      </c>
      <c r="P580" s="222" t="s">
        <v>212</v>
      </c>
      <c r="Q580" s="222" t="s">
        <v>212</v>
      </c>
      <c r="R580" s="222" t="s">
        <v>212</v>
      </c>
      <c r="S580" s="222" t="s">
        <v>212</v>
      </c>
      <c r="T580" s="531" t="s">
        <v>212</v>
      </c>
      <c r="U580" s="531"/>
      <c r="V580" s="222" t="s">
        <v>212</v>
      </c>
      <c r="W580" s="222" t="s">
        <v>212</v>
      </c>
      <c r="X580" s="531" t="s">
        <v>212</v>
      </c>
      <c r="Y580" s="531"/>
      <c r="Z580" s="222" t="s">
        <v>212</v>
      </c>
      <c r="AA580" s="222" t="s">
        <v>212</v>
      </c>
      <c r="AB580" s="222" t="s">
        <v>212</v>
      </c>
      <c r="AC580" s="215"/>
    </row>
    <row r="581" spans="1:29" ht="13.5" customHeight="1">
      <c r="A581" s="215"/>
      <c r="B581" s="532">
        <v>39365</v>
      </c>
      <c r="C581" s="532"/>
      <c r="D581" s="219" t="s">
        <v>212</v>
      </c>
      <c r="E581" s="224">
        <v>278.8</v>
      </c>
      <c r="F581" s="533">
        <v>24</v>
      </c>
      <c r="G581" s="533"/>
      <c r="H581" s="224">
        <v>313.5</v>
      </c>
      <c r="I581" s="533">
        <v>24</v>
      </c>
      <c r="J581" s="533"/>
      <c r="K581" s="224">
        <v>59</v>
      </c>
      <c r="L581" s="225">
        <v>5</v>
      </c>
      <c r="M581" s="224">
        <v>0</v>
      </c>
      <c r="N581" s="225">
        <v>0</v>
      </c>
      <c r="O581" s="226">
        <v>651.29999999999995</v>
      </c>
      <c r="P581" s="222" t="s">
        <v>212</v>
      </c>
      <c r="Q581" s="224">
        <v>0</v>
      </c>
      <c r="R581" s="225">
        <v>0</v>
      </c>
      <c r="S581" s="224">
        <v>0</v>
      </c>
      <c r="T581" s="533">
        <v>0</v>
      </c>
      <c r="U581" s="533"/>
      <c r="V581" s="224">
        <v>0</v>
      </c>
      <c r="W581" s="222" t="s">
        <v>212</v>
      </c>
      <c r="X581" s="534">
        <v>651.29999999999995</v>
      </c>
      <c r="Y581" s="534"/>
      <c r="Z581" s="222" t="s">
        <v>212</v>
      </c>
      <c r="AA581" s="227">
        <v>4349400</v>
      </c>
      <c r="AB581" s="228">
        <v>165185</v>
      </c>
      <c r="AC581" s="215"/>
    </row>
    <row r="582" spans="1:29" ht="2.25" customHeight="1">
      <c r="A582" s="215"/>
      <c r="B582" s="529" t="s">
        <v>212</v>
      </c>
      <c r="C582" s="529"/>
      <c r="D582" s="219" t="s">
        <v>212</v>
      </c>
      <c r="E582" s="222" t="s">
        <v>212</v>
      </c>
      <c r="F582" s="531" t="s">
        <v>212</v>
      </c>
      <c r="G582" s="531"/>
      <c r="H582" s="222" t="s">
        <v>212</v>
      </c>
      <c r="I582" s="531" t="s">
        <v>212</v>
      </c>
      <c r="J582" s="531"/>
      <c r="K582" s="222" t="s">
        <v>212</v>
      </c>
      <c r="L582" s="222" t="s">
        <v>212</v>
      </c>
      <c r="M582" s="222" t="s">
        <v>212</v>
      </c>
      <c r="N582" s="222" t="s">
        <v>212</v>
      </c>
      <c r="O582" s="222" t="s">
        <v>212</v>
      </c>
      <c r="P582" s="222" t="s">
        <v>212</v>
      </c>
      <c r="Q582" s="222" t="s">
        <v>212</v>
      </c>
      <c r="R582" s="222" t="s">
        <v>212</v>
      </c>
      <c r="S582" s="222" t="s">
        <v>212</v>
      </c>
      <c r="T582" s="531" t="s">
        <v>212</v>
      </c>
      <c r="U582" s="531"/>
      <c r="V582" s="222" t="s">
        <v>212</v>
      </c>
      <c r="W582" s="222" t="s">
        <v>212</v>
      </c>
      <c r="X582" s="531" t="s">
        <v>212</v>
      </c>
      <c r="Y582" s="531"/>
      <c r="Z582" s="222" t="s">
        <v>212</v>
      </c>
      <c r="AA582" s="222" t="s">
        <v>212</v>
      </c>
      <c r="AB582" s="222" t="s">
        <v>212</v>
      </c>
      <c r="AC582" s="215"/>
    </row>
    <row r="583" spans="1:29" ht="13.5" customHeight="1">
      <c r="A583" s="215"/>
      <c r="B583" s="535">
        <v>39366</v>
      </c>
      <c r="C583" s="535"/>
      <c r="D583" s="219" t="s">
        <v>212</v>
      </c>
      <c r="E583" s="229">
        <v>268.7</v>
      </c>
      <c r="F583" s="536">
        <v>24</v>
      </c>
      <c r="G583" s="536"/>
      <c r="H583" s="229">
        <v>309.60000000000002</v>
      </c>
      <c r="I583" s="536">
        <v>24</v>
      </c>
      <c r="J583" s="536"/>
      <c r="K583" s="229">
        <v>0</v>
      </c>
      <c r="L583" s="230">
        <v>0</v>
      </c>
      <c r="M583" s="229">
        <v>0</v>
      </c>
      <c r="N583" s="230">
        <v>0</v>
      </c>
      <c r="O583" s="231">
        <v>578.29999999999995</v>
      </c>
      <c r="P583" s="222" t="s">
        <v>212</v>
      </c>
      <c r="Q583" s="229">
        <v>0</v>
      </c>
      <c r="R583" s="230">
        <v>0</v>
      </c>
      <c r="S583" s="229">
        <v>0</v>
      </c>
      <c r="T583" s="536">
        <v>0</v>
      </c>
      <c r="U583" s="536"/>
      <c r="V583" s="229">
        <v>0</v>
      </c>
      <c r="W583" s="222" t="s">
        <v>212</v>
      </c>
      <c r="X583" s="530">
        <v>578.29999999999995</v>
      </c>
      <c r="Y583" s="530"/>
      <c r="Z583" s="222" t="s">
        <v>212</v>
      </c>
      <c r="AA583" s="232">
        <v>0</v>
      </c>
      <c r="AB583" s="233">
        <v>255629</v>
      </c>
      <c r="AC583" s="215"/>
    </row>
    <row r="584" spans="1:29" ht="2.25" customHeight="1">
      <c r="A584" s="215"/>
      <c r="B584" s="529" t="s">
        <v>212</v>
      </c>
      <c r="C584" s="529"/>
      <c r="D584" s="219" t="s">
        <v>212</v>
      </c>
      <c r="E584" s="222" t="s">
        <v>212</v>
      </c>
      <c r="F584" s="531" t="s">
        <v>212</v>
      </c>
      <c r="G584" s="531"/>
      <c r="H584" s="222" t="s">
        <v>212</v>
      </c>
      <c r="I584" s="531" t="s">
        <v>212</v>
      </c>
      <c r="J584" s="531"/>
      <c r="K584" s="222" t="s">
        <v>212</v>
      </c>
      <c r="L584" s="222" t="s">
        <v>212</v>
      </c>
      <c r="M584" s="222" t="s">
        <v>212</v>
      </c>
      <c r="N584" s="222" t="s">
        <v>212</v>
      </c>
      <c r="O584" s="222" t="s">
        <v>212</v>
      </c>
      <c r="P584" s="222" t="s">
        <v>212</v>
      </c>
      <c r="Q584" s="222" t="s">
        <v>212</v>
      </c>
      <c r="R584" s="222" t="s">
        <v>212</v>
      </c>
      <c r="S584" s="222" t="s">
        <v>212</v>
      </c>
      <c r="T584" s="531" t="s">
        <v>212</v>
      </c>
      <c r="U584" s="531"/>
      <c r="V584" s="222" t="s">
        <v>212</v>
      </c>
      <c r="W584" s="222" t="s">
        <v>212</v>
      </c>
      <c r="X584" s="531" t="s">
        <v>212</v>
      </c>
      <c r="Y584" s="531"/>
      <c r="Z584" s="222" t="s">
        <v>212</v>
      </c>
      <c r="AA584" s="222" t="s">
        <v>212</v>
      </c>
      <c r="AB584" s="222" t="s">
        <v>212</v>
      </c>
      <c r="AC584" s="215"/>
    </row>
    <row r="585" spans="1:29" ht="13.5" customHeight="1">
      <c r="A585" s="215"/>
      <c r="B585" s="532">
        <v>39367</v>
      </c>
      <c r="C585" s="532"/>
      <c r="D585" s="219" t="s">
        <v>212</v>
      </c>
      <c r="E585" s="224">
        <v>238.7</v>
      </c>
      <c r="F585" s="533">
        <v>24</v>
      </c>
      <c r="G585" s="533"/>
      <c r="H585" s="224">
        <v>271.89999999999998</v>
      </c>
      <c r="I585" s="533">
        <v>24</v>
      </c>
      <c r="J585" s="533"/>
      <c r="K585" s="224">
        <v>0</v>
      </c>
      <c r="L585" s="225">
        <v>0</v>
      </c>
      <c r="M585" s="224">
        <v>0</v>
      </c>
      <c r="N585" s="225">
        <v>0</v>
      </c>
      <c r="O585" s="226">
        <v>510.6</v>
      </c>
      <c r="P585" s="222" t="s">
        <v>212</v>
      </c>
      <c r="Q585" s="224">
        <v>0</v>
      </c>
      <c r="R585" s="225">
        <v>0</v>
      </c>
      <c r="S585" s="224">
        <v>0</v>
      </c>
      <c r="T585" s="533">
        <v>0</v>
      </c>
      <c r="U585" s="533"/>
      <c r="V585" s="224">
        <v>0</v>
      </c>
      <c r="W585" s="222" t="s">
        <v>212</v>
      </c>
      <c r="X585" s="534">
        <v>510.6</v>
      </c>
      <c r="Y585" s="534"/>
      <c r="Z585" s="222" t="s">
        <v>212</v>
      </c>
      <c r="AA585" s="227">
        <v>0</v>
      </c>
      <c r="AB585" s="228">
        <v>269796</v>
      </c>
      <c r="AC585" s="215"/>
    </row>
    <row r="586" spans="1:29" ht="2.25" customHeight="1">
      <c r="A586" s="215"/>
      <c r="B586" s="529" t="s">
        <v>212</v>
      </c>
      <c r="C586" s="529"/>
      <c r="D586" s="219" t="s">
        <v>212</v>
      </c>
      <c r="E586" s="222" t="s">
        <v>212</v>
      </c>
      <c r="F586" s="531" t="s">
        <v>212</v>
      </c>
      <c r="G586" s="531"/>
      <c r="H586" s="222" t="s">
        <v>212</v>
      </c>
      <c r="I586" s="531" t="s">
        <v>212</v>
      </c>
      <c r="J586" s="531"/>
      <c r="K586" s="222" t="s">
        <v>212</v>
      </c>
      <c r="L586" s="222" t="s">
        <v>212</v>
      </c>
      <c r="M586" s="222" t="s">
        <v>212</v>
      </c>
      <c r="N586" s="222" t="s">
        <v>212</v>
      </c>
      <c r="O586" s="222" t="s">
        <v>212</v>
      </c>
      <c r="P586" s="222" t="s">
        <v>212</v>
      </c>
      <c r="Q586" s="222" t="s">
        <v>212</v>
      </c>
      <c r="R586" s="222" t="s">
        <v>212</v>
      </c>
      <c r="S586" s="222" t="s">
        <v>212</v>
      </c>
      <c r="T586" s="531" t="s">
        <v>212</v>
      </c>
      <c r="U586" s="531"/>
      <c r="V586" s="222" t="s">
        <v>212</v>
      </c>
      <c r="W586" s="222" t="s">
        <v>212</v>
      </c>
      <c r="X586" s="531" t="s">
        <v>212</v>
      </c>
      <c r="Y586" s="531"/>
      <c r="Z586" s="222" t="s">
        <v>212</v>
      </c>
      <c r="AA586" s="222" t="s">
        <v>212</v>
      </c>
      <c r="AB586" s="222" t="s">
        <v>212</v>
      </c>
      <c r="AC586" s="215"/>
    </row>
    <row r="587" spans="1:29" ht="13.5" customHeight="1">
      <c r="A587" s="215"/>
      <c r="B587" s="535">
        <v>39368</v>
      </c>
      <c r="C587" s="535"/>
      <c r="D587" s="219" t="s">
        <v>212</v>
      </c>
      <c r="E587" s="229">
        <v>297.89999999999998</v>
      </c>
      <c r="F587" s="536">
        <v>24</v>
      </c>
      <c r="G587" s="536"/>
      <c r="H587" s="229">
        <v>340.6</v>
      </c>
      <c r="I587" s="536">
        <v>24</v>
      </c>
      <c r="J587" s="536"/>
      <c r="K587" s="229">
        <v>0</v>
      </c>
      <c r="L587" s="230">
        <v>0</v>
      </c>
      <c r="M587" s="229">
        <v>0</v>
      </c>
      <c r="N587" s="230">
        <v>0</v>
      </c>
      <c r="O587" s="231">
        <v>638.5</v>
      </c>
      <c r="P587" s="222" t="s">
        <v>212</v>
      </c>
      <c r="Q587" s="229">
        <v>0</v>
      </c>
      <c r="R587" s="230">
        <v>0</v>
      </c>
      <c r="S587" s="229">
        <v>0</v>
      </c>
      <c r="T587" s="536">
        <v>0</v>
      </c>
      <c r="U587" s="536"/>
      <c r="V587" s="229">
        <v>0</v>
      </c>
      <c r="W587" s="222" t="s">
        <v>212</v>
      </c>
      <c r="X587" s="530">
        <v>638.5</v>
      </c>
      <c r="Y587" s="530"/>
      <c r="Z587" s="222" t="s">
        <v>212</v>
      </c>
      <c r="AA587" s="232">
        <v>0</v>
      </c>
      <c r="AB587" s="233">
        <v>306248</v>
      </c>
      <c r="AC587" s="215"/>
    </row>
    <row r="588" spans="1:29" ht="2.25" customHeight="1">
      <c r="A588" s="215"/>
      <c r="B588" s="529" t="s">
        <v>212</v>
      </c>
      <c r="C588" s="529"/>
      <c r="D588" s="219" t="s">
        <v>212</v>
      </c>
      <c r="E588" s="222" t="s">
        <v>212</v>
      </c>
      <c r="F588" s="531" t="s">
        <v>212</v>
      </c>
      <c r="G588" s="531"/>
      <c r="H588" s="222" t="s">
        <v>212</v>
      </c>
      <c r="I588" s="531" t="s">
        <v>212</v>
      </c>
      <c r="J588" s="531"/>
      <c r="K588" s="222" t="s">
        <v>212</v>
      </c>
      <c r="L588" s="222" t="s">
        <v>212</v>
      </c>
      <c r="M588" s="222" t="s">
        <v>212</v>
      </c>
      <c r="N588" s="222" t="s">
        <v>212</v>
      </c>
      <c r="O588" s="222" t="s">
        <v>212</v>
      </c>
      <c r="P588" s="222" t="s">
        <v>212</v>
      </c>
      <c r="Q588" s="222" t="s">
        <v>212</v>
      </c>
      <c r="R588" s="222" t="s">
        <v>212</v>
      </c>
      <c r="S588" s="222" t="s">
        <v>212</v>
      </c>
      <c r="T588" s="531" t="s">
        <v>212</v>
      </c>
      <c r="U588" s="531"/>
      <c r="V588" s="222" t="s">
        <v>212</v>
      </c>
      <c r="W588" s="222" t="s">
        <v>212</v>
      </c>
      <c r="X588" s="531" t="s">
        <v>212</v>
      </c>
      <c r="Y588" s="531"/>
      <c r="Z588" s="222" t="s">
        <v>212</v>
      </c>
      <c r="AA588" s="222" t="s">
        <v>212</v>
      </c>
      <c r="AB588" s="222" t="s">
        <v>212</v>
      </c>
      <c r="AC588" s="215"/>
    </row>
    <row r="589" spans="1:29" ht="13.5" customHeight="1">
      <c r="A589" s="215"/>
      <c r="B589" s="532">
        <v>39369</v>
      </c>
      <c r="C589" s="532"/>
      <c r="D589" s="219" t="s">
        <v>212</v>
      </c>
      <c r="E589" s="224">
        <v>261.89999999999998</v>
      </c>
      <c r="F589" s="533">
        <v>24</v>
      </c>
      <c r="G589" s="533"/>
      <c r="H589" s="224">
        <v>318.5</v>
      </c>
      <c r="I589" s="533">
        <v>24</v>
      </c>
      <c r="J589" s="533"/>
      <c r="K589" s="224">
        <v>0</v>
      </c>
      <c r="L589" s="225">
        <v>0</v>
      </c>
      <c r="M589" s="224">
        <v>0</v>
      </c>
      <c r="N589" s="225">
        <v>0</v>
      </c>
      <c r="O589" s="226">
        <v>580.4</v>
      </c>
      <c r="P589" s="222" t="s">
        <v>212</v>
      </c>
      <c r="Q589" s="224">
        <v>0</v>
      </c>
      <c r="R589" s="225">
        <v>0</v>
      </c>
      <c r="S589" s="224">
        <v>0</v>
      </c>
      <c r="T589" s="533">
        <v>0</v>
      </c>
      <c r="U589" s="533"/>
      <c r="V589" s="224">
        <v>0</v>
      </c>
      <c r="W589" s="222" t="s">
        <v>212</v>
      </c>
      <c r="X589" s="534">
        <v>580.4</v>
      </c>
      <c r="Y589" s="534"/>
      <c r="Z589" s="222" t="s">
        <v>212</v>
      </c>
      <c r="AA589" s="227">
        <v>0</v>
      </c>
      <c r="AB589" s="228">
        <v>289141</v>
      </c>
      <c r="AC589" s="215"/>
    </row>
    <row r="590" spans="1:29" ht="2.25" customHeight="1">
      <c r="A590" s="215"/>
      <c r="B590" s="529" t="s">
        <v>212</v>
      </c>
      <c r="C590" s="529"/>
      <c r="D590" s="219" t="s">
        <v>212</v>
      </c>
      <c r="E590" s="222" t="s">
        <v>212</v>
      </c>
      <c r="F590" s="531" t="s">
        <v>212</v>
      </c>
      <c r="G590" s="531"/>
      <c r="H590" s="222" t="s">
        <v>212</v>
      </c>
      <c r="I590" s="531" t="s">
        <v>212</v>
      </c>
      <c r="J590" s="531"/>
      <c r="K590" s="222" t="s">
        <v>212</v>
      </c>
      <c r="L590" s="222" t="s">
        <v>212</v>
      </c>
      <c r="M590" s="222" t="s">
        <v>212</v>
      </c>
      <c r="N590" s="222" t="s">
        <v>212</v>
      </c>
      <c r="O590" s="222" t="s">
        <v>212</v>
      </c>
      <c r="P590" s="222" t="s">
        <v>212</v>
      </c>
      <c r="Q590" s="222" t="s">
        <v>212</v>
      </c>
      <c r="R590" s="222" t="s">
        <v>212</v>
      </c>
      <c r="S590" s="222" t="s">
        <v>212</v>
      </c>
      <c r="T590" s="531" t="s">
        <v>212</v>
      </c>
      <c r="U590" s="531"/>
      <c r="V590" s="222" t="s">
        <v>212</v>
      </c>
      <c r="W590" s="222" t="s">
        <v>212</v>
      </c>
      <c r="X590" s="531" t="s">
        <v>212</v>
      </c>
      <c r="Y590" s="531"/>
      <c r="Z590" s="222" t="s">
        <v>212</v>
      </c>
      <c r="AA590" s="222" t="s">
        <v>212</v>
      </c>
      <c r="AB590" s="222" t="s">
        <v>212</v>
      </c>
      <c r="AC590" s="215"/>
    </row>
    <row r="591" spans="1:29" ht="13.5" customHeight="1">
      <c r="A591" s="215"/>
      <c r="B591" s="535">
        <v>39370</v>
      </c>
      <c r="C591" s="535"/>
      <c r="D591" s="219" t="s">
        <v>212</v>
      </c>
      <c r="E591" s="229">
        <v>286.8</v>
      </c>
      <c r="F591" s="536">
        <v>24</v>
      </c>
      <c r="G591" s="536"/>
      <c r="H591" s="229">
        <v>333.9</v>
      </c>
      <c r="I591" s="536">
        <v>24</v>
      </c>
      <c r="J591" s="536"/>
      <c r="K591" s="229">
        <v>0</v>
      </c>
      <c r="L591" s="230">
        <v>0</v>
      </c>
      <c r="M591" s="229">
        <v>0</v>
      </c>
      <c r="N591" s="230">
        <v>0</v>
      </c>
      <c r="O591" s="231">
        <v>620.70000000000005</v>
      </c>
      <c r="P591" s="222" t="s">
        <v>212</v>
      </c>
      <c r="Q591" s="229">
        <v>0</v>
      </c>
      <c r="R591" s="230">
        <v>0</v>
      </c>
      <c r="S591" s="229">
        <v>0</v>
      </c>
      <c r="T591" s="536">
        <v>0</v>
      </c>
      <c r="U591" s="536"/>
      <c r="V591" s="229">
        <v>0</v>
      </c>
      <c r="W591" s="222" t="s">
        <v>212</v>
      </c>
      <c r="X591" s="530">
        <v>620.70000000000005</v>
      </c>
      <c r="Y591" s="530"/>
      <c r="Z591" s="222" t="s">
        <v>212</v>
      </c>
      <c r="AA591" s="232">
        <v>0</v>
      </c>
      <c r="AB591" s="233">
        <v>302564</v>
      </c>
      <c r="AC591" s="215"/>
    </row>
    <row r="592" spans="1:29" ht="2.25" customHeight="1">
      <c r="A592" s="215"/>
      <c r="B592" s="529" t="s">
        <v>212</v>
      </c>
      <c r="C592" s="529"/>
      <c r="D592" s="219" t="s">
        <v>212</v>
      </c>
      <c r="E592" s="222" t="s">
        <v>212</v>
      </c>
      <c r="F592" s="531" t="s">
        <v>212</v>
      </c>
      <c r="G592" s="531"/>
      <c r="H592" s="222" t="s">
        <v>212</v>
      </c>
      <c r="I592" s="531" t="s">
        <v>212</v>
      </c>
      <c r="J592" s="531"/>
      <c r="K592" s="222" t="s">
        <v>212</v>
      </c>
      <c r="L592" s="222" t="s">
        <v>212</v>
      </c>
      <c r="M592" s="222" t="s">
        <v>212</v>
      </c>
      <c r="N592" s="222" t="s">
        <v>212</v>
      </c>
      <c r="O592" s="222" t="s">
        <v>212</v>
      </c>
      <c r="P592" s="222" t="s">
        <v>212</v>
      </c>
      <c r="Q592" s="222" t="s">
        <v>212</v>
      </c>
      <c r="R592" s="222" t="s">
        <v>212</v>
      </c>
      <c r="S592" s="222" t="s">
        <v>212</v>
      </c>
      <c r="T592" s="531" t="s">
        <v>212</v>
      </c>
      <c r="U592" s="531"/>
      <c r="V592" s="222" t="s">
        <v>212</v>
      </c>
      <c r="W592" s="222" t="s">
        <v>212</v>
      </c>
      <c r="X592" s="531" t="s">
        <v>212</v>
      </c>
      <c r="Y592" s="531"/>
      <c r="Z592" s="222" t="s">
        <v>212</v>
      </c>
      <c r="AA592" s="222" t="s">
        <v>212</v>
      </c>
      <c r="AB592" s="222" t="s">
        <v>212</v>
      </c>
      <c r="AC592" s="215"/>
    </row>
    <row r="593" spans="1:29" ht="13.5" customHeight="1">
      <c r="A593" s="215"/>
      <c r="B593" s="532">
        <v>39371</v>
      </c>
      <c r="C593" s="532"/>
      <c r="D593" s="219" t="s">
        <v>212</v>
      </c>
      <c r="E593" s="224">
        <v>121.8</v>
      </c>
      <c r="F593" s="533">
        <v>10</v>
      </c>
      <c r="G593" s="533"/>
      <c r="H593" s="224">
        <v>327.60000000000002</v>
      </c>
      <c r="I593" s="533">
        <v>24</v>
      </c>
      <c r="J593" s="533"/>
      <c r="K593" s="224">
        <v>171.5</v>
      </c>
      <c r="L593" s="225">
        <v>14</v>
      </c>
      <c r="M593" s="224">
        <v>0</v>
      </c>
      <c r="N593" s="225">
        <v>0</v>
      </c>
      <c r="O593" s="226">
        <v>620.9</v>
      </c>
      <c r="P593" s="222" t="s">
        <v>212</v>
      </c>
      <c r="Q593" s="224">
        <v>0</v>
      </c>
      <c r="R593" s="225">
        <v>0</v>
      </c>
      <c r="S593" s="224">
        <v>0</v>
      </c>
      <c r="T593" s="533">
        <v>0</v>
      </c>
      <c r="U593" s="533"/>
      <c r="V593" s="224">
        <v>0</v>
      </c>
      <c r="W593" s="222" t="s">
        <v>212</v>
      </c>
      <c r="X593" s="534">
        <v>620.9</v>
      </c>
      <c r="Y593" s="534"/>
      <c r="Z593" s="222" t="s">
        <v>212</v>
      </c>
      <c r="AA593" s="227">
        <v>5118400</v>
      </c>
      <c r="AB593" s="228">
        <v>114926</v>
      </c>
      <c r="AC593" s="215"/>
    </row>
    <row r="594" spans="1:29" ht="2.25" customHeight="1">
      <c r="A594" s="215"/>
      <c r="B594" s="529" t="s">
        <v>212</v>
      </c>
      <c r="C594" s="529"/>
      <c r="D594" s="219" t="s">
        <v>212</v>
      </c>
      <c r="E594" s="222" t="s">
        <v>212</v>
      </c>
      <c r="F594" s="531" t="s">
        <v>212</v>
      </c>
      <c r="G594" s="531"/>
      <c r="H594" s="222" t="s">
        <v>212</v>
      </c>
      <c r="I594" s="531" t="s">
        <v>212</v>
      </c>
      <c r="J594" s="531"/>
      <c r="K594" s="222" t="s">
        <v>212</v>
      </c>
      <c r="L594" s="222" t="s">
        <v>212</v>
      </c>
      <c r="M594" s="222" t="s">
        <v>212</v>
      </c>
      <c r="N594" s="222" t="s">
        <v>212</v>
      </c>
      <c r="O594" s="222" t="s">
        <v>212</v>
      </c>
      <c r="P594" s="222" t="s">
        <v>212</v>
      </c>
      <c r="Q594" s="222" t="s">
        <v>212</v>
      </c>
      <c r="R594" s="222" t="s">
        <v>212</v>
      </c>
      <c r="S594" s="222" t="s">
        <v>212</v>
      </c>
      <c r="T594" s="531" t="s">
        <v>212</v>
      </c>
      <c r="U594" s="531"/>
      <c r="V594" s="222" t="s">
        <v>212</v>
      </c>
      <c r="W594" s="222" t="s">
        <v>212</v>
      </c>
      <c r="X594" s="531" t="s">
        <v>212</v>
      </c>
      <c r="Y594" s="531"/>
      <c r="Z594" s="222" t="s">
        <v>212</v>
      </c>
      <c r="AA594" s="222" t="s">
        <v>212</v>
      </c>
      <c r="AB594" s="222" t="s">
        <v>212</v>
      </c>
      <c r="AC594" s="215"/>
    </row>
    <row r="595" spans="1:29" ht="13.5" customHeight="1">
      <c r="A595" s="215"/>
      <c r="B595" s="535">
        <v>39372</v>
      </c>
      <c r="C595" s="535"/>
      <c r="D595" s="219" t="s">
        <v>212</v>
      </c>
      <c r="E595" s="229">
        <v>0</v>
      </c>
      <c r="F595" s="536">
        <v>0</v>
      </c>
      <c r="G595" s="536"/>
      <c r="H595" s="229">
        <v>281.5</v>
      </c>
      <c r="I595" s="536">
        <v>24</v>
      </c>
      <c r="J595" s="536"/>
      <c r="K595" s="229">
        <v>218.1</v>
      </c>
      <c r="L595" s="230">
        <v>24</v>
      </c>
      <c r="M595" s="229">
        <v>0</v>
      </c>
      <c r="N595" s="230">
        <v>0</v>
      </c>
      <c r="O595" s="231">
        <v>499.6</v>
      </c>
      <c r="P595" s="222" t="s">
        <v>212</v>
      </c>
      <c r="Q595" s="229">
        <v>0</v>
      </c>
      <c r="R595" s="230">
        <v>0</v>
      </c>
      <c r="S595" s="229">
        <v>0</v>
      </c>
      <c r="T595" s="536">
        <v>0</v>
      </c>
      <c r="U595" s="536"/>
      <c r="V595" s="229">
        <v>0</v>
      </c>
      <c r="W595" s="222" t="s">
        <v>212</v>
      </c>
      <c r="X595" s="530">
        <v>499.6</v>
      </c>
      <c r="Y595" s="530"/>
      <c r="Z595" s="222" t="s">
        <v>212</v>
      </c>
      <c r="AA595" s="232">
        <v>7314500</v>
      </c>
      <c r="AB595" s="233">
        <v>0</v>
      </c>
      <c r="AC595" s="215"/>
    </row>
    <row r="596" spans="1:29" ht="2.25" customHeight="1">
      <c r="A596" s="215"/>
      <c r="B596" s="529" t="s">
        <v>212</v>
      </c>
      <c r="C596" s="529"/>
      <c r="D596" s="219" t="s">
        <v>212</v>
      </c>
      <c r="E596" s="222" t="s">
        <v>212</v>
      </c>
      <c r="F596" s="531" t="s">
        <v>212</v>
      </c>
      <c r="G596" s="531"/>
      <c r="H596" s="222" t="s">
        <v>212</v>
      </c>
      <c r="I596" s="531" t="s">
        <v>212</v>
      </c>
      <c r="J596" s="531"/>
      <c r="K596" s="222" t="s">
        <v>212</v>
      </c>
      <c r="L596" s="222" t="s">
        <v>212</v>
      </c>
      <c r="M596" s="222" t="s">
        <v>212</v>
      </c>
      <c r="N596" s="222" t="s">
        <v>212</v>
      </c>
      <c r="O596" s="222" t="s">
        <v>212</v>
      </c>
      <c r="P596" s="222" t="s">
        <v>212</v>
      </c>
      <c r="Q596" s="222" t="s">
        <v>212</v>
      </c>
      <c r="R596" s="222" t="s">
        <v>212</v>
      </c>
      <c r="S596" s="222" t="s">
        <v>212</v>
      </c>
      <c r="T596" s="531" t="s">
        <v>212</v>
      </c>
      <c r="U596" s="531"/>
      <c r="V596" s="222" t="s">
        <v>212</v>
      </c>
      <c r="W596" s="222" t="s">
        <v>212</v>
      </c>
      <c r="X596" s="531" t="s">
        <v>212</v>
      </c>
      <c r="Y596" s="531"/>
      <c r="Z596" s="222" t="s">
        <v>212</v>
      </c>
      <c r="AA596" s="222" t="s">
        <v>212</v>
      </c>
      <c r="AB596" s="222" t="s">
        <v>212</v>
      </c>
      <c r="AC596" s="215"/>
    </row>
    <row r="597" spans="1:29" ht="13.5" customHeight="1">
      <c r="A597" s="215"/>
      <c r="B597" s="532">
        <v>39373</v>
      </c>
      <c r="C597" s="532"/>
      <c r="D597" s="219" t="s">
        <v>212</v>
      </c>
      <c r="E597" s="224">
        <v>0</v>
      </c>
      <c r="F597" s="533">
        <v>0</v>
      </c>
      <c r="G597" s="533"/>
      <c r="H597" s="224">
        <v>276</v>
      </c>
      <c r="I597" s="533">
        <v>24</v>
      </c>
      <c r="J597" s="533"/>
      <c r="K597" s="224">
        <v>222.5</v>
      </c>
      <c r="L597" s="225">
        <v>24</v>
      </c>
      <c r="M597" s="224">
        <v>0</v>
      </c>
      <c r="N597" s="225">
        <v>0</v>
      </c>
      <c r="O597" s="226">
        <v>498.5</v>
      </c>
      <c r="P597" s="222" t="s">
        <v>212</v>
      </c>
      <c r="Q597" s="224">
        <v>0</v>
      </c>
      <c r="R597" s="225">
        <v>0</v>
      </c>
      <c r="S597" s="224">
        <v>0</v>
      </c>
      <c r="T597" s="533">
        <v>0</v>
      </c>
      <c r="U597" s="533"/>
      <c r="V597" s="224">
        <v>0</v>
      </c>
      <c r="W597" s="222" t="s">
        <v>212</v>
      </c>
      <c r="X597" s="534">
        <v>498.5</v>
      </c>
      <c r="Y597" s="534"/>
      <c r="Z597" s="222" t="s">
        <v>212</v>
      </c>
      <c r="AA597" s="227">
        <v>7343200</v>
      </c>
      <c r="AB597" s="228">
        <v>0</v>
      </c>
      <c r="AC597" s="215"/>
    </row>
    <row r="598" spans="1:29" ht="2.25" customHeight="1">
      <c r="A598" s="215"/>
      <c r="B598" s="529" t="s">
        <v>212</v>
      </c>
      <c r="C598" s="529"/>
      <c r="D598" s="219" t="s">
        <v>212</v>
      </c>
      <c r="E598" s="222" t="s">
        <v>212</v>
      </c>
      <c r="F598" s="531" t="s">
        <v>212</v>
      </c>
      <c r="G598" s="531"/>
      <c r="H598" s="222" t="s">
        <v>212</v>
      </c>
      <c r="I598" s="531" t="s">
        <v>212</v>
      </c>
      <c r="J598" s="531"/>
      <c r="K598" s="222" t="s">
        <v>212</v>
      </c>
      <c r="L598" s="222" t="s">
        <v>212</v>
      </c>
      <c r="M598" s="222" t="s">
        <v>212</v>
      </c>
      <c r="N598" s="222" t="s">
        <v>212</v>
      </c>
      <c r="O598" s="222" t="s">
        <v>212</v>
      </c>
      <c r="P598" s="222" t="s">
        <v>212</v>
      </c>
      <c r="Q598" s="222" t="s">
        <v>212</v>
      </c>
      <c r="R598" s="222" t="s">
        <v>212</v>
      </c>
      <c r="S598" s="222" t="s">
        <v>212</v>
      </c>
      <c r="T598" s="531" t="s">
        <v>212</v>
      </c>
      <c r="U598" s="531"/>
      <c r="V598" s="222" t="s">
        <v>212</v>
      </c>
      <c r="W598" s="222" t="s">
        <v>212</v>
      </c>
      <c r="X598" s="531" t="s">
        <v>212</v>
      </c>
      <c r="Y598" s="531"/>
      <c r="Z598" s="222" t="s">
        <v>212</v>
      </c>
      <c r="AA598" s="222" t="s">
        <v>212</v>
      </c>
      <c r="AB598" s="222" t="s">
        <v>212</v>
      </c>
      <c r="AC598" s="215"/>
    </row>
    <row r="599" spans="1:29" ht="13.5" customHeight="1">
      <c r="A599" s="215"/>
      <c r="B599" s="535">
        <v>39374</v>
      </c>
      <c r="C599" s="535"/>
      <c r="D599" s="219" t="s">
        <v>212</v>
      </c>
      <c r="E599" s="229">
        <v>0</v>
      </c>
      <c r="F599" s="536">
        <v>0</v>
      </c>
      <c r="G599" s="536"/>
      <c r="H599" s="229">
        <v>295.5</v>
      </c>
      <c r="I599" s="536">
        <v>24</v>
      </c>
      <c r="J599" s="536"/>
      <c r="K599" s="229">
        <v>266.7</v>
      </c>
      <c r="L599" s="230">
        <v>24</v>
      </c>
      <c r="M599" s="229">
        <v>0</v>
      </c>
      <c r="N599" s="230">
        <v>0</v>
      </c>
      <c r="O599" s="231">
        <v>562.20000000000005</v>
      </c>
      <c r="P599" s="222" t="s">
        <v>212</v>
      </c>
      <c r="Q599" s="229">
        <v>0</v>
      </c>
      <c r="R599" s="230">
        <v>0</v>
      </c>
      <c r="S599" s="229">
        <v>0</v>
      </c>
      <c r="T599" s="536">
        <v>0</v>
      </c>
      <c r="U599" s="536"/>
      <c r="V599" s="229">
        <v>0</v>
      </c>
      <c r="W599" s="222" t="s">
        <v>212</v>
      </c>
      <c r="X599" s="530">
        <v>562.20000000000005</v>
      </c>
      <c r="Y599" s="530"/>
      <c r="Z599" s="222" t="s">
        <v>212</v>
      </c>
      <c r="AA599" s="232">
        <v>7764500</v>
      </c>
      <c r="AB599" s="233">
        <v>0</v>
      </c>
      <c r="AC599" s="215"/>
    </row>
    <row r="600" spans="1:29" ht="2.25" customHeight="1">
      <c r="A600" s="215"/>
      <c r="B600" s="529" t="s">
        <v>212</v>
      </c>
      <c r="C600" s="529"/>
      <c r="D600" s="219" t="s">
        <v>212</v>
      </c>
      <c r="E600" s="222" t="s">
        <v>212</v>
      </c>
      <c r="F600" s="531" t="s">
        <v>212</v>
      </c>
      <c r="G600" s="531"/>
      <c r="H600" s="222" t="s">
        <v>212</v>
      </c>
      <c r="I600" s="531" t="s">
        <v>212</v>
      </c>
      <c r="J600" s="531"/>
      <c r="K600" s="222" t="s">
        <v>212</v>
      </c>
      <c r="L600" s="222" t="s">
        <v>212</v>
      </c>
      <c r="M600" s="222" t="s">
        <v>212</v>
      </c>
      <c r="N600" s="222" t="s">
        <v>212</v>
      </c>
      <c r="O600" s="222" t="s">
        <v>212</v>
      </c>
      <c r="P600" s="222" t="s">
        <v>212</v>
      </c>
      <c r="Q600" s="222" t="s">
        <v>212</v>
      </c>
      <c r="R600" s="222" t="s">
        <v>212</v>
      </c>
      <c r="S600" s="222" t="s">
        <v>212</v>
      </c>
      <c r="T600" s="531" t="s">
        <v>212</v>
      </c>
      <c r="U600" s="531"/>
      <c r="V600" s="222" t="s">
        <v>212</v>
      </c>
      <c r="W600" s="222" t="s">
        <v>212</v>
      </c>
      <c r="X600" s="531" t="s">
        <v>212</v>
      </c>
      <c r="Y600" s="531"/>
      <c r="Z600" s="222" t="s">
        <v>212</v>
      </c>
      <c r="AA600" s="222" t="s">
        <v>212</v>
      </c>
      <c r="AB600" s="222" t="s">
        <v>212</v>
      </c>
      <c r="AC600" s="215"/>
    </row>
    <row r="601" spans="1:29" ht="13.5" customHeight="1">
      <c r="A601" s="215"/>
      <c r="B601" s="532">
        <v>39375</v>
      </c>
      <c r="C601" s="532"/>
      <c r="D601" s="219" t="s">
        <v>212</v>
      </c>
      <c r="E601" s="224">
        <v>0</v>
      </c>
      <c r="F601" s="533">
        <v>0</v>
      </c>
      <c r="G601" s="533"/>
      <c r="H601" s="224">
        <v>290.89999999999998</v>
      </c>
      <c r="I601" s="533">
        <v>24</v>
      </c>
      <c r="J601" s="533"/>
      <c r="K601" s="224">
        <v>255.4</v>
      </c>
      <c r="L601" s="225">
        <v>24</v>
      </c>
      <c r="M601" s="224">
        <v>0</v>
      </c>
      <c r="N601" s="225">
        <v>0</v>
      </c>
      <c r="O601" s="226">
        <v>546.29999999999995</v>
      </c>
      <c r="P601" s="222" t="s">
        <v>212</v>
      </c>
      <c r="Q601" s="224">
        <v>0</v>
      </c>
      <c r="R601" s="225">
        <v>0</v>
      </c>
      <c r="S601" s="224">
        <v>0</v>
      </c>
      <c r="T601" s="533">
        <v>0</v>
      </c>
      <c r="U601" s="533"/>
      <c r="V601" s="224">
        <v>0</v>
      </c>
      <c r="W601" s="222" t="s">
        <v>212</v>
      </c>
      <c r="X601" s="534">
        <v>546.29999999999995</v>
      </c>
      <c r="Y601" s="534"/>
      <c r="Z601" s="222" t="s">
        <v>212</v>
      </c>
      <c r="AA601" s="227">
        <v>7734100</v>
      </c>
      <c r="AB601" s="228">
        <v>0</v>
      </c>
      <c r="AC601" s="215"/>
    </row>
    <row r="602" spans="1:29" ht="2.25" customHeight="1">
      <c r="A602" s="215"/>
      <c r="B602" s="529" t="s">
        <v>212</v>
      </c>
      <c r="C602" s="529"/>
      <c r="D602" s="219" t="s">
        <v>212</v>
      </c>
      <c r="E602" s="222" t="s">
        <v>212</v>
      </c>
      <c r="F602" s="531" t="s">
        <v>212</v>
      </c>
      <c r="G602" s="531"/>
      <c r="H602" s="222" t="s">
        <v>212</v>
      </c>
      <c r="I602" s="531" t="s">
        <v>212</v>
      </c>
      <c r="J602" s="531"/>
      <c r="K602" s="222" t="s">
        <v>212</v>
      </c>
      <c r="L602" s="222" t="s">
        <v>212</v>
      </c>
      <c r="M602" s="222" t="s">
        <v>212</v>
      </c>
      <c r="N602" s="222" t="s">
        <v>212</v>
      </c>
      <c r="O602" s="222" t="s">
        <v>212</v>
      </c>
      <c r="P602" s="222" t="s">
        <v>212</v>
      </c>
      <c r="Q602" s="222" t="s">
        <v>212</v>
      </c>
      <c r="R602" s="222" t="s">
        <v>212</v>
      </c>
      <c r="S602" s="222" t="s">
        <v>212</v>
      </c>
      <c r="T602" s="531" t="s">
        <v>212</v>
      </c>
      <c r="U602" s="531"/>
      <c r="V602" s="222" t="s">
        <v>212</v>
      </c>
      <c r="W602" s="222" t="s">
        <v>212</v>
      </c>
      <c r="X602" s="531" t="s">
        <v>212</v>
      </c>
      <c r="Y602" s="531"/>
      <c r="Z602" s="222" t="s">
        <v>212</v>
      </c>
      <c r="AA602" s="222" t="s">
        <v>212</v>
      </c>
      <c r="AB602" s="222" t="s">
        <v>212</v>
      </c>
      <c r="AC602" s="215"/>
    </row>
    <row r="603" spans="1:29" ht="13.5" customHeight="1">
      <c r="A603" s="215"/>
      <c r="B603" s="535">
        <v>39376</v>
      </c>
      <c r="C603" s="535"/>
      <c r="D603" s="219" t="s">
        <v>212</v>
      </c>
      <c r="E603" s="229">
        <v>56</v>
      </c>
      <c r="F603" s="536">
        <v>13</v>
      </c>
      <c r="G603" s="536"/>
      <c r="H603" s="229">
        <v>196.7</v>
      </c>
      <c r="I603" s="536">
        <v>19</v>
      </c>
      <c r="J603" s="536"/>
      <c r="K603" s="229">
        <v>215.4</v>
      </c>
      <c r="L603" s="230">
        <v>24</v>
      </c>
      <c r="M603" s="229">
        <v>0</v>
      </c>
      <c r="N603" s="230">
        <v>0</v>
      </c>
      <c r="O603" s="231">
        <v>468.1</v>
      </c>
      <c r="P603" s="222" t="s">
        <v>212</v>
      </c>
      <c r="Q603" s="229">
        <v>0</v>
      </c>
      <c r="R603" s="230">
        <v>0</v>
      </c>
      <c r="S603" s="229">
        <v>0</v>
      </c>
      <c r="T603" s="536">
        <v>0</v>
      </c>
      <c r="U603" s="536"/>
      <c r="V603" s="229">
        <v>0</v>
      </c>
      <c r="W603" s="222" t="s">
        <v>212</v>
      </c>
      <c r="X603" s="530">
        <v>468.1</v>
      </c>
      <c r="Y603" s="530"/>
      <c r="Z603" s="222" t="s">
        <v>212</v>
      </c>
      <c r="AA603" s="232">
        <v>7836500</v>
      </c>
      <c r="AB603" s="233">
        <v>560</v>
      </c>
      <c r="AC603" s="215"/>
    </row>
    <row r="604" spans="1:29" ht="2.25" customHeight="1">
      <c r="A604" s="215"/>
      <c r="B604" s="529" t="s">
        <v>212</v>
      </c>
      <c r="C604" s="529"/>
      <c r="D604" s="219" t="s">
        <v>212</v>
      </c>
      <c r="E604" s="222" t="s">
        <v>212</v>
      </c>
      <c r="F604" s="531" t="s">
        <v>212</v>
      </c>
      <c r="G604" s="531"/>
      <c r="H604" s="222" t="s">
        <v>212</v>
      </c>
      <c r="I604" s="531" t="s">
        <v>212</v>
      </c>
      <c r="J604" s="531"/>
      <c r="K604" s="222" t="s">
        <v>212</v>
      </c>
      <c r="L604" s="222" t="s">
        <v>212</v>
      </c>
      <c r="M604" s="222" t="s">
        <v>212</v>
      </c>
      <c r="N604" s="222" t="s">
        <v>212</v>
      </c>
      <c r="O604" s="222" t="s">
        <v>212</v>
      </c>
      <c r="P604" s="222" t="s">
        <v>212</v>
      </c>
      <c r="Q604" s="222" t="s">
        <v>212</v>
      </c>
      <c r="R604" s="222" t="s">
        <v>212</v>
      </c>
      <c r="S604" s="222" t="s">
        <v>212</v>
      </c>
      <c r="T604" s="531" t="s">
        <v>212</v>
      </c>
      <c r="U604" s="531"/>
      <c r="V604" s="222" t="s">
        <v>212</v>
      </c>
      <c r="W604" s="222" t="s">
        <v>212</v>
      </c>
      <c r="X604" s="531" t="s">
        <v>212</v>
      </c>
      <c r="Y604" s="531"/>
      <c r="Z604" s="222" t="s">
        <v>212</v>
      </c>
      <c r="AA604" s="222" t="s">
        <v>212</v>
      </c>
      <c r="AB604" s="222" t="s">
        <v>212</v>
      </c>
      <c r="AC604" s="215"/>
    </row>
    <row r="605" spans="1:29" ht="13.5" customHeight="1">
      <c r="A605" s="215"/>
      <c r="B605" s="532">
        <v>39377</v>
      </c>
      <c r="C605" s="532"/>
      <c r="D605" s="219" t="s">
        <v>212</v>
      </c>
      <c r="E605" s="224">
        <v>237.2</v>
      </c>
      <c r="F605" s="533">
        <v>24</v>
      </c>
      <c r="G605" s="533"/>
      <c r="H605" s="224">
        <v>0</v>
      </c>
      <c r="I605" s="533">
        <v>0</v>
      </c>
      <c r="J605" s="533"/>
      <c r="K605" s="224">
        <v>207.5</v>
      </c>
      <c r="L605" s="225">
        <v>24</v>
      </c>
      <c r="M605" s="224">
        <v>0</v>
      </c>
      <c r="N605" s="225">
        <v>0</v>
      </c>
      <c r="O605" s="226">
        <v>444.7</v>
      </c>
      <c r="P605" s="222" t="s">
        <v>212</v>
      </c>
      <c r="Q605" s="224">
        <v>0</v>
      </c>
      <c r="R605" s="225">
        <v>0</v>
      </c>
      <c r="S605" s="224">
        <v>0</v>
      </c>
      <c r="T605" s="533">
        <v>0</v>
      </c>
      <c r="U605" s="533"/>
      <c r="V605" s="224">
        <v>0</v>
      </c>
      <c r="W605" s="222" t="s">
        <v>212</v>
      </c>
      <c r="X605" s="534">
        <v>444.7</v>
      </c>
      <c r="Y605" s="534"/>
      <c r="Z605" s="222" t="s">
        <v>212</v>
      </c>
      <c r="AA605" s="227">
        <v>6991100</v>
      </c>
      <c r="AB605" s="228">
        <v>0</v>
      </c>
      <c r="AC605" s="215"/>
    </row>
    <row r="606" spans="1:29" ht="2.25" customHeight="1">
      <c r="A606" s="215"/>
      <c r="B606" s="529" t="s">
        <v>212</v>
      </c>
      <c r="C606" s="529"/>
      <c r="D606" s="219" t="s">
        <v>212</v>
      </c>
      <c r="E606" s="222" t="s">
        <v>212</v>
      </c>
      <c r="F606" s="531" t="s">
        <v>212</v>
      </c>
      <c r="G606" s="531"/>
      <c r="H606" s="222" t="s">
        <v>212</v>
      </c>
      <c r="I606" s="531" t="s">
        <v>212</v>
      </c>
      <c r="J606" s="531"/>
      <c r="K606" s="222" t="s">
        <v>212</v>
      </c>
      <c r="L606" s="222" t="s">
        <v>212</v>
      </c>
      <c r="M606" s="222" t="s">
        <v>212</v>
      </c>
      <c r="N606" s="222" t="s">
        <v>212</v>
      </c>
      <c r="O606" s="222" t="s">
        <v>212</v>
      </c>
      <c r="P606" s="222" t="s">
        <v>212</v>
      </c>
      <c r="Q606" s="222" t="s">
        <v>212</v>
      </c>
      <c r="R606" s="222" t="s">
        <v>212</v>
      </c>
      <c r="S606" s="222" t="s">
        <v>212</v>
      </c>
      <c r="T606" s="531" t="s">
        <v>212</v>
      </c>
      <c r="U606" s="531"/>
      <c r="V606" s="222" t="s">
        <v>212</v>
      </c>
      <c r="W606" s="222" t="s">
        <v>212</v>
      </c>
      <c r="X606" s="531" t="s">
        <v>212</v>
      </c>
      <c r="Y606" s="531"/>
      <c r="Z606" s="222" t="s">
        <v>212</v>
      </c>
      <c r="AA606" s="222" t="s">
        <v>212</v>
      </c>
      <c r="AB606" s="222" t="s">
        <v>212</v>
      </c>
      <c r="AC606" s="215"/>
    </row>
    <row r="607" spans="1:29" ht="13.5" customHeight="1">
      <c r="A607" s="215"/>
      <c r="B607" s="535">
        <v>39378</v>
      </c>
      <c r="C607" s="535"/>
      <c r="D607" s="219" t="s">
        <v>212</v>
      </c>
      <c r="E607" s="229">
        <v>272.2</v>
      </c>
      <c r="F607" s="536">
        <v>24</v>
      </c>
      <c r="G607" s="536"/>
      <c r="H607" s="229">
        <v>4.2</v>
      </c>
      <c r="I607" s="536">
        <v>2</v>
      </c>
      <c r="J607" s="536"/>
      <c r="K607" s="229">
        <v>270.2</v>
      </c>
      <c r="L607" s="230">
        <v>24</v>
      </c>
      <c r="M607" s="229">
        <v>0</v>
      </c>
      <c r="N607" s="230">
        <v>0</v>
      </c>
      <c r="O607" s="231">
        <v>546.6</v>
      </c>
      <c r="P607" s="222" t="s">
        <v>212</v>
      </c>
      <c r="Q607" s="229">
        <v>0</v>
      </c>
      <c r="R607" s="230">
        <v>0</v>
      </c>
      <c r="S607" s="229">
        <v>0</v>
      </c>
      <c r="T607" s="536">
        <v>0</v>
      </c>
      <c r="U607" s="536"/>
      <c r="V607" s="229">
        <v>0</v>
      </c>
      <c r="W607" s="222" t="s">
        <v>212</v>
      </c>
      <c r="X607" s="530">
        <v>546.6</v>
      </c>
      <c r="Y607" s="530"/>
      <c r="Z607" s="222" t="s">
        <v>212</v>
      </c>
      <c r="AA607" s="232">
        <v>6392100</v>
      </c>
      <c r="AB607" s="233">
        <v>65556</v>
      </c>
      <c r="AC607" s="215"/>
    </row>
    <row r="608" spans="1:29" ht="2.25" customHeight="1">
      <c r="A608" s="215"/>
      <c r="B608" s="529" t="s">
        <v>212</v>
      </c>
      <c r="C608" s="529"/>
      <c r="D608" s="219" t="s">
        <v>212</v>
      </c>
      <c r="E608" s="222" t="s">
        <v>212</v>
      </c>
      <c r="F608" s="531" t="s">
        <v>212</v>
      </c>
      <c r="G608" s="531"/>
      <c r="H608" s="222" t="s">
        <v>212</v>
      </c>
      <c r="I608" s="531" t="s">
        <v>212</v>
      </c>
      <c r="J608" s="531"/>
      <c r="K608" s="222" t="s">
        <v>212</v>
      </c>
      <c r="L608" s="222" t="s">
        <v>212</v>
      </c>
      <c r="M608" s="222" t="s">
        <v>212</v>
      </c>
      <c r="N608" s="222" t="s">
        <v>212</v>
      </c>
      <c r="O608" s="222" t="s">
        <v>212</v>
      </c>
      <c r="P608" s="222" t="s">
        <v>212</v>
      </c>
      <c r="Q608" s="222" t="s">
        <v>212</v>
      </c>
      <c r="R608" s="222" t="s">
        <v>212</v>
      </c>
      <c r="S608" s="222" t="s">
        <v>212</v>
      </c>
      <c r="T608" s="531" t="s">
        <v>212</v>
      </c>
      <c r="U608" s="531"/>
      <c r="V608" s="222" t="s">
        <v>212</v>
      </c>
      <c r="W608" s="222" t="s">
        <v>212</v>
      </c>
      <c r="X608" s="531" t="s">
        <v>212</v>
      </c>
      <c r="Y608" s="531"/>
      <c r="Z608" s="222" t="s">
        <v>212</v>
      </c>
      <c r="AA608" s="222" t="s">
        <v>212</v>
      </c>
      <c r="AB608" s="222" t="s">
        <v>212</v>
      </c>
      <c r="AC608" s="215"/>
    </row>
    <row r="609" spans="1:29" ht="13.5" customHeight="1">
      <c r="A609" s="215"/>
      <c r="B609" s="532">
        <v>39379</v>
      </c>
      <c r="C609" s="532"/>
      <c r="D609" s="219" t="s">
        <v>212</v>
      </c>
      <c r="E609" s="224">
        <v>328.1</v>
      </c>
      <c r="F609" s="533">
        <v>24</v>
      </c>
      <c r="G609" s="533"/>
      <c r="H609" s="224">
        <v>0</v>
      </c>
      <c r="I609" s="533">
        <v>1</v>
      </c>
      <c r="J609" s="533"/>
      <c r="K609" s="224">
        <v>327.3</v>
      </c>
      <c r="L609" s="225">
        <v>24</v>
      </c>
      <c r="M609" s="224">
        <v>0</v>
      </c>
      <c r="N609" s="225">
        <v>0</v>
      </c>
      <c r="O609" s="226">
        <v>655.4</v>
      </c>
      <c r="P609" s="222" t="s">
        <v>212</v>
      </c>
      <c r="Q609" s="224">
        <v>0</v>
      </c>
      <c r="R609" s="225">
        <v>0</v>
      </c>
      <c r="S609" s="224">
        <v>0</v>
      </c>
      <c r="T609" s="533">
        <v>0</v>
      </c>
      <c r="U609" s="533"/>
      <c r="V609" s="224">
        <v>0</v>
      </c>
      <c r="W609" s="222" t="s">
        <v>212</v>
      </c>
      <c r="X609" s="534">
        <v>655.4</v>
      </c>
      <c r="Y609" s="534"/>
      <c r="Z609" s="222" t="s">
        <v>212</v>
      </c>
      <c r="AA609" s="227">
        <v>9074000</v>
      </c>
      <c r="AB609" s="228">
        <v>3185</v>
      </c>
      <c r="AC609" s="215"/>
    </row>
    <row r="610" spans="1:29" ht="2.25" customHeight="1">
      <c r="A610" s="215"/>
      <c r="B610" s="529" t="s">
        <v>212</v>
      </c>
      <c r="C610" s="529"/>
      <c r="D610" s="219" t="s">
        <v>212</v>
      </c>
      <c r="E610" s="222" t="s">
        <v>212</v>
      </c>
      <c r="F610" s="531" t="s">
        <v>212</v>
      </c>
      <c r="G610" s="531"/>
      <c r="H610" s="222" t="s">
        <v>212</v>
      </c>
      <c r="I610" s="531" t="s">
        <v>212</v>
      </c>
      <c r="J610" s="531"/>
      <c r="K610" s="222" t="s">
        <v>212</v>
      </c>
      <c r="L610" s="222" t="s">
        <v>212</v>
      </c>
      <c r="M610" s="222" t="s">
        <v>212</v>
      </c>
      <c r="N610" s="222" t="s">
        <v>212</v>
      </c>
      <c r="O610" s="222" t="s">
        <v>212</v>
      </c>
      <c r="P610" s="222" t="s">
        <v>212</v>
      </c>
      <c r="Q610" s="222" t="s">
        <v>212</v>
      </c>
      <c r="R610" s="222" t="s">
        <v>212</v>
      </c>
      <c r="S610" s="222" t="s">
        <v>212</v>
      </c>
      <c r="T610" s="531" t="s">
        <v>212</v>
      </c>
      <c r="U610" s="531"/>
      <c r="V610" s="222" t="s">
        <v>212</v>
      </c>
      <c r="W610" s="222" t="s">
        <v>212</v>
      </c>
      <c r="X610" s="531" t="s">
        <v>212</v>
      </c>
      <c r="Y610" s="531"/>
      <c r="Z610" s="222" t="s">
        <v>212</v>
      </c>
      <c r="AA610" s="222" t="s">
        <v>212</v>
      </c>
      <c r="AB610" s="222" t="s">
        <v>212</v>
      </c>
      <c r="AC610" s="215"/>
    </row>
    <row r="611" spans="1:29" ht="13.5" customHeight="1">
      <c r="A611" s="215"/>
      <c r="B611" s="535">
        <v>39380</v>
      </c>
      <c r="C611" s="535"/>
      <c r="D611" s="219" t="s">
        <v>212</v>
      </c>
      <c r="E611" s="229">
        <v>310.5</v>
      </c>
      <c r="F611" s="536">
        <v>24</v>
      </c>
      <c r="G611" s="536"/>
      <c r="H611" s="229">
        <v>0</v>
      </c>
      <c r="I611" s="536">
        <v>0</v>
      </c>
      <c r="J611" s="536"/>
      <c r="K611" s="229">
        <v>305</v>
      </c>
      <c r="L611" s="230">
        <v>24</v>
      </c>
      <c r="M611" s="229">
        <v>0</v>
      </c>
      <c r="N611" s="230">
        <v>0</v>
      </c>
      <c r="O611" s="231">
        <v>615.5</v>
      </c>
      <c r="P611" s="222" t="s">
        <v>212</v>
      </c>
      <c r="Q611" s="229">
        <v>0</v>
      </c>
      <c r="R611" s="230">
        <v>0</v>
      </c>
      <c r="S611" s="229">
        <v>0</v>
      </c>
      <c r="T611" s="536">
        <v>0</v>
      </c>
      <c r="U611" s="536"/>
      <c r="V611" s="229">
        <v>0</v>
      </c>
      <c r="W611" s="222" t="s">
        <v>212</v>
      </c>
      <c r="X611" s="530">
        <v>615.5</v>
      </c>
      <c r="Y611" s="530"/>
      <c r="Z611" s="222" t="s">
        <v>212</v>
      </c>
      <c r="AA611" s="232">
        <v>8626600</v>
      </c>
      <c r="AB611" s="233">
        <v>0</v>
      </c>
      <c r="AC611" s="215"/>
    </row>
    <row r="612" spans="1:29" ht="2.25" customHeight="1">
      <c r="A612" s="215"/>
      <c r="B612" s="529" t="s">
        <v>212</v>
      </c>
      <c r="C612" s="529"/>
      <c r="D612" s="219" t="s">
        <v>212</v>
      </c>
      <c r="E612" s="222" t="s">
        <v>212</v>
      </c>
      <c r="F612" s="531" t="s">
        <v>212</v>
      </c>
      <c r="G612" s="531"/>
      <c r="H612" s="222" t="s">
        <v>212</v>
      </c>
      <c r="I612" s="531" t="s">
        <v>212</v>
      </c>
      <c r="J612" s="531"/>
      <c r="K612" s="222" t="s">
        <v>212</v>
      </c>
      <c r="L612" s="222" t="s">
        <v>212</v>
      </c>
      <c r="M612" s="222" t="s">
        <v>212</v>
      </c>
      <c r="N612" s="222" t="s">
        <v>212</v>
      </c>
      <c r="O612" s="222" t="s">
        <v>212</v>
      </c>
      <c r="P612" s="222" t="s">
        <v>212</v>
      </c>
      <c r="Q612" s="222" t="s">
        <v>212</v>
      </c>
      <c r="R612" s="222" t="s">
        <v>212</v>
      </c>
      <c r="S612" s="222" t="s">
        <v>212</v>
      </c>
      <c r="T612" s="531" t="s">
        <v>212</v>
      </c>
      <c r="U612" s="531"/>
      <c r="V612" s="222" t="s">
        <v>212</v>
      </c>
      <c r="W612" s="222" t="s">
        <v>212</v>
      </c>
      <c r="X612" s="531" t="s">
        <v>212</v>
      </c>
      <c r="Y612" s="531"/>
      <c r="Z612" s="222" t="s">
        <v>212</v>
      </c>
      <c r="AA612" s="222" t="s">
        <v>212</v>
      </c>
      <c r="AB612" s="222" t="s">
        <v>212</v>
      </c>
      <c r="AC612" s="215"/>
    </row>
    <row r="613" spans="1:29" ht="13.5" customHeight="1">
      <c r="A613" s="215"/>
      <c r="B613" s="532">
        <v>39381</v>
      </c>
      <c r="C613" s="532"/>
      <c r="D613" s="219" t="s">
        <v>212</v>
      </c>
      <c r="E613" s="224">
        <v>269.7</v>
      </c>
      <c r="F613" s="533">
        <v>24</v>
      </c>
      <c r="G613" s="533"/>
      <c r="H613" s="224">
        <v>0</v>
      </c>
      <c r="I613" s="533">
        <v>2</v>
      </c>
      <c r="J613" s="533"/>
      <c r="K613" s="224">
        <v>269.3</v>
      </c>
      <c r="L613" s="225">
        <v>24</v>
      </c>
      <c r="M613" s="224">
        <v>0</v>
      </c>
      <c r="N613" s="225">
        <v>0</v>
      </c>
      <c r="O613" s="226">
        <v>539</v>
      </c>
      <c r="P613" s="222" t="s">
        <v>212</v>
      </c>
      <c r="Q613" s="224">
        <v>0</v>
      </c>
      <c r="R613" s="225">
        <v>0</v>
      </c>
      <c r="S613" s="224">
        <v>0</v>
      </c>
      <c r="T613" s="533">
        <v>0</v>
      </c>
      <c r="U613" s="533"/>
      <c r="V613" s="224">
        <v>0</v>
      </c>
      <c r="W613" s="222" t="s">
        <v>212</v>
      </c>
      <c r="X613" s="534">
        <v>539</v>
      </c>
      <c r="Y613" s="534"/>
      <c r="Z613" s="222" t="s">
        <v>212</v>
      </c>
      <c r="AA613" s="227">
        <v>8007500</v>
      </c>
      <c r="AB613" s="228">
        <v>0</v>
      </c>
      <c r="AC613" s="215"/>
    </row>
    <row r="614" spans="1:29" ht="2.25" customHeight="1">
      <c r="A614" s="215"/>
      <c r="B614" s="529" t="s">
        <v>212</v>
      </c>
      <c r="C614" s="529"/>
      <c r="D614" s="219" t="s">
        <v>212</v>
      </c>
      <c r="E614" s="222" t="s">
        <v>212</v>
      </c>
      <c r="F614" s="531" t="s">
        <v>212</v>
      </c>
      <c r="G614" s="531"/>
      <c r="H614" s="222" t="s">
        <v>212</v>
      </c>
      <c r="I614" s="531" t="s">
        <v>212</v>
      </c>
      <c r="J614" s="531"/>
      <c r="K614" s="222" t="s">
        <v>212</v>
      </c>
      <c r="L614" s="222" t="s">
        <v>212</v>
      </c>
      <c r="M614" s="222" t="s">
        <v>212</v>
      </c>
      <c r="N614" s="222" t="s">
        <v>212</v>
      </c>
      <c r="O614" s="222" t="s">
        <v>212</v>
      </c>
      <c r="P614" s="222" t="s">
        <v>212</v>
      </c>
      <c r="Q614" s="222" t="s">
        <v>212</v>
      </c>
      <c r="R614" s="222" t="s">
        <v>212</v>
      </c>
      <c r="S614" s="222" t="s">
        <v>212</v>
      </c>
      <c r="T614" s="531" t="s">
        <v>212</v>
      </c>
      <c r="U614" s="531"/>
      <c r="V614" s="222" t="s">
        <v>212</v>
      </c>
      <c r="W614" s="222" t="s">
        <v>212</v>
      </c>
      <c r="X614" s="531" t="s">
        <v>212</v>
      </c>
      <c r="Y614" s="531"/>
      <c r="Z614" s="222" t="s">
        <v>212</v>
      </c>
      <c r="AA614" s="222" t="s">
        <v>212</v>
      </c>
      <c r="AB614" s="222" t="s">
        <v>212</v>
      </c>
      <c r="AC614" s="215"/>
    </row>
    <row r="615" spans="1:29" ht="13.5" customHeight="1">
      <c r="A615" s="215"/>
      <c r="B615" s="535">
        <v>39382</v>
      </c>
      <c r="C615" s="535"/>
      <c r="D615" s="219" t="s">
        <v>212</v>
      </c>
      <c r="E615" s="229">
        <v>277.5</v>
      </c>
      <c r="F615" s="536">
        <v>24</v>
      </c>
      <c r="G615" s="536"/>
      <c r="H615" s="229">
        <v>0</v>
      </c>
      <c r="I615" s="536">
        <v>0</v>
      </c>
      <c r="J615" s="536"/>
      <c r="K615" s="229">
        <v>272.7</v>
      </c>
      <c r="L615" s="230">
        <v>24</v>
      </c>
      <c r="M615" s="229">
        <v>0</v>
      </c>
      <c r="N615" s="230">
        <v>0</v>
      </c>
      <c r="O615" s="231">
        <v>550.20000000000005</v>
      </c>
      <c r="P615" s="222" t="s">
        <v>212</v>
      </c>
      <c r="Q615" s="229">
        <v>0</v>
      </c>
      <c r="R615" s="230">
        <v>0</v>
      </c>
      <c r="S615" s="229">
        <v>0</v>
      </c>
      <c r="T615" s="536">
        <v>0</v>
      </c>
      <c r="U615" s="536"/>
      <c r="V615" s="229">
        <v>0</v>
      </c>
      <c r="W615" s="222" t="s">
        <v>212</v>
      </c>
      <c r="X615" s="530">
        <v>550.20000000000005</v>
      </c>
      <c r="Y615" s="530"/>
      <c r="Z615" s="222" t="s">
        <v>212</v>
      </c>
      <c r="AA615" s="232">
        <v>7910900</v>
      </c>
      <c r="AB615" s="233">
        <v>0</v>
      </c>
      <c r="AC615" s="215"/>
    </row>
    <row r="616" spans="1:29" ht="2.25" customHeight="1">
      <c r="A616" s="215"/>
      <c r="B616" s="529" t="s">
        <v>212</v>
      </c>
      <c r="C616" s="529"/>
      <c r="D616" s="219" t="s">
        <v>212</v>
      </c>
      <c r="E616" s="222" t="s">
        <v>212</v>
      </c>
      <c r="F616" s="531" t="s">
        <v>212</v>
      </c>
      <c r="G616" s="531"/>
      <c r="H616" s="222" t="s">
        <v>212</v>
      </c>
      <c r="I616" s="531" t="s">
        <v>212</v>
      </c>
      <c r="J616" s="531"/>
      <c r="K616" s="222" t="s">
        <v>212</v>
      </c>
      <c r="L616" s="222" t="s">
        <v>212</v>
      </c>
      <c r="M616" s="222" t="s">
        <v>212</v>
      </c>
      <c r="N616" s="222" t="s">
        <v>212</v>
      </c>
      <c r="O616" s="222" t="s">
        <v>212</v>
      </c>
      <c r="P616" s="222" t="s">
        <v>212</v>
      </c>
      <c r="Q616" s="222" t="s">
        <v>212</v>
      </c>
      <c r="R616" s="222" t="s">
        <v>212</v>
      </c>
      <c r="S616" s="222" t="s">
        <v>212</v>
      </c>
      <c r="T616" s="531" t="s">
        <v>212</v>
      </c>
      <c r="U616" s="531"/>
      <c r="V616" s="222" t="s">
        <v>212</v>
      </c>
      <c r="W616" s="222" t="s">
        <v>212</v>
      </c>
      <c r="X616" s="531" t="s">
        <v>212</v>
      </c>
      <c r="Y616" s="531"/>
      <c r="Z616" s="222" t="s">
        <v>212</v>
      </c>
      <c r="AA616" s="222" t="s">
        <v>212</v>
      </c>
      <c r="AB616" s="222" t="s">
        <v>212</v>
      </c>
      <c r="AC616" s="215"/>
    </row>
    <row r="617" spans="1:29" ht="13.5" customHeight="1">
      <c r="A617" s="215"/>
      <c r="B617" s="532">
        <v>39383</v>
      </c>
      <c r="C617" s="532"/>
      <c r="D617" s="219" t="s">
        <v>212</v>
      </c>
      <c r="E617" s="224">
        <v>284.8</v>
      </c>
      <c r="F617" s="533">
        <v>24</v>
      </c>
      <c r="G617" s="533"/>
      <c r="H617" s="224">
        <v>0</v>
      </c>
      <c r="I617" s="533">
        <v>0</v>
      </c>
      <c r="J617" s="533"/>
      <c r="K617" s="224">
        <v>279.5</v>
      </c>
      <c r="L617" s="225">
        <v>24</v>
      </c>
      <c r="M617" s="224">
        <v>0</v>
      </c>
      <c r="N617" s="225">
        <v>0</v>
      </c>
      <c r="O617" s="226">
        <v>564.29999999999995</v>
      </c>
      <c r="P617" s="222" t="s">
        <v>212</v>
      </c>
      <c r="Q617" s="224">
        <v>0</v>
      </c>
      <c r="R617" s="225">
        <v>0</v>
      </c>
      <c r="S617" s="224">
        <v>0</v>
      </c>
      <c r="T617" s="533">
        <v>0</v>
      </c>
      <c r="U617" s="533"/>
      <c r="V617" s="224">
        <v>0</v>
      </c>
      <c r="W617" s="222" t="s">
        <v>212</v>
      </c>
      <c r="X617" s="534">
        <v>564.29999999999995</v>
      </c>
      <c r="Y617" s="534"/>
      <c r="Z617" s="222" t="s">
        <v>212</v>
      </c>
      <c r="AA617" s="227">
        <v>8052300</v>
      </c>
      <c r="AB617" s="228">
        <v>0</v>
      </c>
      <c r="AC617" s="215"/>
    </row>
    <row r="618" spans="1:29" ht="2.25" customHeight="1">
      <c r="A618" s="215"/>
      <c r="B618" s="529" t="s">
        <v>212</v>
      </c>
      <c r="C618" s="529"/>
      <c r="D618" s="219" t="s">
        <v>212</v>
      </c>
      <c r="E618" s="222" t="s">
        <v>212</v>
      </c>
      <c r="F618" s="531" t="s">
        <v>212</v>
      </c>
      <c r="G618" s="531"/>
      <c r="H618" s="222" t="s">
        <v>212</v>
      </c>
      <c r="I618" s="531" t="s">
        <v>212</v>
      </c>
      <c r="J618" s="531"/>
      <c r="K618" s="222" t="s">
        <v>212</v>
      </c>
      <c r="L618" s="222" t="s">
        <v>212</v>
      </c>
      <c r="M618" s="222" t="s">
        <v>212</v>
      </c>
      <c r="N618" s="222" t="s">
        <v>212</v>
      </c>
      <c r="O618" s="222" t="s">
        <v>212</v>
      </c>
      <c r="P618" s="222" t="s">
        <v>212</v>
      </c>
      <c r="Q618" s="222" t="s">
        <v>212</v>
      </c>
      <c r="R618" s="222" t="s">
        <v>212</v>
      </c>
      <c r="S618" s="222" t="s">
        <v>212</v>
      </c>
      <c r="T618" s="531" t="s">
        <v>212</v>
      </c>
      <c r="U618" s="531"/>
      <c r="V618" s="222" t="s">
        <v>212</v>
      </c>
      <c r="W618" s="222" t="s">
        <v>212</v>
      </c>
      <c r="X618" s="531" t="s">
        <v>212</v>
      </c>
      <c r="Y618" s="531"/>
      <c r="Z618" s="222" t="s">
        <v>212</v>
      </c>
      <c r="AA618" s="222" t="s">
        <v>212</v>
      </c>
      <c r="AB618" s="222" t="s">
        <v>212</v>
      </c>
      <c r="AC618" s="215"/>
    </row>
    <row r="619" spans="1:29" ht="13.5" customHeight="1">
      <c r="A619" s="215"/>
      <c r="B619" s="535">
        <v>39384</v>
      </c>
      <c r="C619" s="535"/>
      <c r="D619" s="219" t="s">
        <v>212</v>
      </c>
      <c r="E619" s="229">
        <v>329.3</v>
      </c>
      <c r="F619" s="536">
        <v>24</v>
      </c>
      <c r="G619" s="536"/>
      <c r="H619" s="229">
        <v>0</v>
      </c>
      <c r="I619" s="536">
        <v>0</v>
      </c>
      <c r="J619" s="536"/>
      <c r="K619" s="229">
        <v>314</v>
      </c>
      <c r="L619" s="230">
        <v>24</v>
      </c>
      <c r="M619" s="229">
        <v>0</v>
      </c>
      <c r="N619" s="230">
        <v>0</v>
      </c>
      <c r="O619" s="231">
        <v>643.29999999999995</v>
      </c>
      <c r="P619" s="222" t="s">
        <v>212</v>
      </c>
      <c r="Q619" s="229">
        <v>0</v>
      </c>
      <c r="R619" s="230">
        <v>0</v>
      </c>
      <c r="S619" s="229">
        <v>0</v>
      </c>
      <c r="T619" s="536">
        <v>0</v>
      </c>
      <c r="U619" s="536"/>
      <c r="V619" s="229">
        <v>0</v>
      </c>
      <c r="W619" s="222" t="s">
        <v>212</v>
      </c>
      <c r="X619" s="530">
        <v>643.29999999999995</v>
      </c>
      <c r="Y619" s="530"/>
      <c r="Z619" s="222" t="s">
        <v>212</v>
      </c>
      <c r="AA619" s="232">
        <v>8854600</v>
      </c>
      <c r="AB619" s="233">
        <v>0</v>
      </c>
      <c r="AC619" s="215"/>
    </row>
    <row r="620" spans="1:29" ht="2.25" customHeight="1">
      <c r="A620" s="215"/>
      <c r="B620" s="529" t="s">
        <v>212</v>
      </c>
      <c r="C620" s="529"/>
      <c r="D620" s="219" t="s">
        <v>212</v>
      </c>
      <c r="E620" s="222" t="s">
        <v>212</v>
      </c>
      <c r="F620" s="531" t="s">
        <v>212</v>
      </c>
      <c r="G620" s="531"/>
      <c r="H620" s="222" t="s">
        <v>212</v>
      </c>
      <c r="I620" s="531" t="s">
        <v>212</v>
      </c>
      <c r="J620" s="531"/>
      <c r="K620" s="222" t="s">
        <v>212</v>
      </c>
      <c r="L620" s="222" t="s">
        <v>212</v>
      </c>
      <c r="M620" s="222" t="s">
        <v>212</v>
      </c>
      <c r="N620" s="222" t="s">
        <v>212</v>
      </c>
      <c r="O620" s="222" t="s">
        <v>212</v>
      </c>
      <c r="P620" s="222" t="s">
        <v>212</v>
      </c>
      <c r="Q620" s="222" t="s">
        <v>212</v>
      </c>
      <c r="R620" s="222" t="s">
        <v>212</v>
      </c>
      <c r="S620" s="222" t="s">
        <v>212</v>
      </c>
      <c r="T620" s="531" t="s">
        <v>212</v>
      </c>
      <c r="U620" s="531"/>
      <c r="V620" s="222" t="s">
        <v>212</v>
      </c>
      <c r="W620" s="222" t="s">
        <v>212</v>
      </c>
      <c r="X620" s="531" t="s">
        <v>212</v>
      </c>
      <c r="Y620" s="531"/>
      <c r="Z620" s="222" t="s">
        <v>212</v>
      </c>
      <c r="AA620" s="222" t="s">
        <v>212</v>
      </c>
      <c r="AB620" s="222" t="s">
        <v>212</v>
      </c>
      <c r="AC620" s="215"/>
    </row>
    <row r="621" spans="1:29" ht="13.5" customHeight="1">
      <c r="A621" s="215"/>
      <c r="B621" s="532">
        <v>39385</v>
      </c>
      <c r="C621" s="532"/>
      <c r="D621" s="219" t="s">
        <v>212</v>
      </c>
      <c r="E621" s="224">
        <v>242.1</v>
      </c>
      <c r="F621" s="533">
        <v>21</v>
      </c>
      <c r="G621" s="533"/>
      <c r="H621" s="224">
        <v>73.099999999999994</v>
      </c>
      <c r="I621" s="533">
        <v>6</v>
      </c>
      <c r="J621" s="533"/>
      <c r="K621" s="224">
        <v>259.7</v>
      </c>
      <c r="L621" s="225">
        <v>21</v>
      </c>
      <c r="M621" s="224">
        <v>0</v>
      </c>
      <c r="N621" s="225">
        <v>0</v>
      </c>
      <c r="O621" s="226">
        <v>574.9</v>
      </c>
      <c r="P621" s="222" t="s">
        <v>212</v>
      </c>
      <c r="Q621" s="224">
        <v>0</v>
      </c>
      <c r="R621" s="225">
        <v>0</v>
      </c>
      <c r="S621" s="224">
        <v>14.1</v>
      </c>
      <c r="T621" s="533">
        <v>4</v>
      </c>
      <c r="U621" s="533"/>
      <c r="V621" s="224">
        <v>14.1</v>
      </c>
      <c r="W621" s="222" t="s">
        <v>212</v>
      </c>
      <c r="X621" s="534">
        <v>589</v>
      </c>
      <c r="Y621" s="534"/>
      <c r="Z621" s="222" t="s">
        <v>212</v>
      </c>
      <c r="AA621" s="227">
        <v>6210000</v>
      </c>
      <c r="AB621" s="228">
        <v>77093</v>
      </c>
      <c r="AC621" s="215"/>
    </row>
    <row r="622" spans="1:29" ht="2.25" customHeight="1">
      <c r="A622" s="215"/>
      <c r="B622" s="529" t="s">
        <v>212</v>
      </c>
      <c r="C622" s="529"/>
      <c r="D622" s="219" t="s">
        <v>212</v>
      </c>
      <c r="E622" s="222" t="s">
        <v>212</v>
      </c>
      <c r="F622" s="531" t="s">
        <v>212</v>
      </c>
      <c r="G622" s="531"/>
      <c r="H622" s="222" t="s">
        <v>212</v>
      </c>
      <c r="I622" s="531" t="s">
        <v>212</v>
      </c>
      <c r="J622" s="531"/>
      <c r="K622" s="222" t="s">
        <v>212</v>
      </c>
      <c r="L622" s="222" t="s">
        <v>212</v>
      </c>
      <c r="M622" s="222" t="s">
        <v>212</v>
      </c>
      <c r="N622" s="222" t="s">
        <v>212</v>
      </c>
      <c r="O622" s="222" t="s">
        <v>212</v>
      </c>
      <c r="P622" s="222" t="s">
        <v>212</v>
      </c>
      <c r="Q622" s="222" t="s">
        <v>212</v>
      </c>
      <c r="R622" s="222" t="s">
        <v>212</v>
      </c>
      <c r="S622" s="222" t="s">
        <v>212</v>
      </c>
      <c r="T622" s="531" t="s">
        <v>212</v>
      </c>
      <c r="U622" s="531"/>
      <c r="V622" s="222" t="s">
        <v>212</v>
      </c>
      <c r="W622" s="222" t="s">
        <v>212</v>
      </c>
      <c r="X622" s="531" t="s">
        <v>212</v>
      </c>
      <c r="Y622" s="531"/>
      <c r="Z622" s="222" t="s">
        <v>212</v>
      </c>
      <c r="AA622" s="222" t="s">
        <v>212</v>
      </c>
      <c r="AB622" s="222" t="s">
        <v>212</v>
      </c>
      <c r="AC622" s="215"/>
    </row>
    <row r="623" spans="1:29" ht="13.5" customHeight="1">
      <c r="A623" s="215"/>
      <c r="B623" s="535">
        <v>39386</v>
      </c>
      <c r="C623" s="535"/>
      <c r="D623" s="219" t="s">
        <v>212</v>
      </c>
      <c r="E623" s="229">
        <v>48.3</v>
      </c>
      <c r="F623" s="536">
        <v>6</v>
      </c>
      <c r="G623" s="536"/>
      <c r="H623" s="229">
        <v>317</v>
      </c>
      <c r="I623" s="536">
        <v>24</v>
      </c>
      <c r="J623" s="536"/>
      <c r="K623" s="229">
        <v>262.3</v>
      </c>
      <c r="L623" s="230">
        <v>22</v>
      </c>
      <c r="M623" s="229">
        <v>0</v>
      </c>
      <c r="N623" s="230">
        <v>0</v>
      </c>
      <c r="O623" s="231">
        <v>627.6</v>
      </c>
      <c r="P623" s="222" t="s">
        <v>212</v>
      </c>
      <c r="Q623" s="229">
        <v>0</v>
      </c>
      <c r="R623" s="230">
        <v>0</v>
      </c>
      <c r="S623" s="229">
        <v>0</v>
      </c>
      <c r="T623" s="536">
        <v>0</v>
      </c>
      <c r="U623" s="536"/>
      <c r="V623" s="229">
        <v>0</v>
      </c>
      <c r="W623" s="222" t="s">
        <v>212</v>
      </c>
      <c r="X623" s="530">
        <v>627.6</v>
      </c>
      <c r="Y623" s="530"/>
      <c r="Z623" s="222" t="s">
        <v>212</v>
      </c>
      <c r="AA623" s="232">
        <v>0</v>
      </c>
      <c r="AB623" s="233">
        <v>318225</v>
      </c>
      <c r="AC623" s="215"/>
    </row>
    <row r="624" spans="1:29" ht="2.25" customHeight="1">
      <c r="A624" s="215"/>
      <c r="B624" s="529" t="s">
        <v>212</v>
      </c>
      <c r="C624" s="529"/>
      <c r="D624" s="219" t="s">
        <v>212</v>
      </c>
      <c r="E624" s="222" t="s">
        <v>212</v>
      </c>
      <c r="F624" s="531" t="s">
        <v>212</v>
      </c>
      <c r="G624" s="531"/>
      <c r="H624" s="222" t="s">
        <v>212</v>
      </c>
      <c r="I624" s="531" t="s">
        <v>212</v>
      </c>
      <c r="J624" s="531"/>
      <c r="K624" s="222" t="s">
        <v>212</v>
      </c>
      <c r="L624" s="222" t="s">
        <v>212</v>
      </c>
      <c r="M624" s="222" t="s">
        <v>212</v>
      </c>
      <c r="N624" s="222" t="s">
        <v>212</v>
      </c>
      <c r="O624" s="222" t="s">
        <v>212</v>
      </c>
      <c r="P624" s="222" t="s">
        <v>212</v>
      </c>
      <c r="Q624" s="222" t="s">
        <v>212</v>
      </c>
      <c r="R624" s="222" t="s">
        <v>212</v>
      </c>
      <c r="S624" s="222" t="s">
        <v>212</v>
      </c>
      <c r="T624" s="531" t="s">
        <v>212</v>
      </c>
      <c r="U624" s="531"/>
      <c r="V624" s="222" t="s">
        <v>212</v>
      </c>
      <c r="W624" s="222" t="s">
        <v>212</v>
      </c>
      <c r="X624" s="531" t="s">
        <v>212</v>
      </c>
      <c r="Y624" s="531"/>
      <c r="Z624" s="222" t="s">
        <v>212</v>
      </c>
      <c r="AA624" s="222" t="s">
        <v>212</v>
      </c>
      <c r="AB624" s="222" t="s">
        <v>212</v>
      </c>
      <c r="AC624" s="215"/>
    </row>
    <row r="625" spans="1:29" ht="13.5" customHeight="1">
      <c r="A625" s="215"/>
      <c r="B625" s="532">
        <v>39387</v>
      </c>
      <c r="C625" s="532"/>
      <c r="D625" s="219" t="s">
        <v>212</v>
      </c>
      <c r="E625" s="224">
        <v>140.80000000000001</v>
      </c>
      <c r="F625" s="533">
        <v>13</v>
      </c>
      <c r="G625" s="533"/>
      <c r="H625" s="224">
        <v>286.5</v>
      </c>
      <c r="I625" s="533">
        <v>24</v>
      </c>
      <c r="J625" s="533"/>
      <c r="K625" s="224">
        <v>175.9</v>
      </c>
      <c r="L625" s="225">
        <v>20</v>
      </c>
      <c r="M625" s="224">
        <v>0</v>
      </c>
      <c r="N625" s="225">
        <v>0</v>
      </c>
      <c r="O625" s="226">
        <v>603.20000000000005</v>
      </c>
      <c r="P625" s="222" t="s">
        <v>212</v>
      </c>
      <c r="Q625" s="224">
        <v>0</v>
      </c>
      <c r="R625" s="225">
        <v>0</v>
      </c>
      <c r="S625" s="224">
        <v>0</v>
      </c>
      <c r="T625" s="533">
        <v>0</v>
      </c>
      <c r="U625" s="533"/>
      <c r="V625" s="224">
        <v>0</v>
      </c>
      <c r="W625" s="222" t="s">
        <v>212</v>
      </c>
      <c r="X625" s="534">
        <v>603.20000000000005</v>
      </c>
      <c r="Y625" s="534"/>
      <c r="Z625" s="222" t="s">
        <v>212</v>
      </c>
      <c r="AA625" s="227">
        <v>0</v>
      </c>
      <c r="AB625" s="228">
        <v>324522</v>
      </c>
      <c r="AC625" s="215"/>
    </row>
    <row r="626" spans="1:29" ht="2.25" customHeight="1">
      <c r="A626" s="215"/>
      <c r="B626" s="529" t="s">
        <v>212</v>
      </c>
      <c r="C626" s="529"/>
      <c r="D626" s="219" t="s">
        <v>212</v>
      </c>
      <c r="E626" s="222" t="s">
        <v>212</v>
      </c>
      <c r="F626" s="531" t="s">
        <v>212</v>
      </c>
      <c r="G626" s="531"/>
      <c r="H626" s="222" t="s">
        <v>212</v>
      </c>
      <c r="I626" s="531" t="s">
        <v>212</v>
      </c>
      <c r="J626" s="531"/>
      <c r="K626" s="222" t="s">
        <v>212</v>
      </c>
      <c r="L626" s="222" t="s">
        <v>212</v>
      </c>
      <c r="M626" s="222" t="s">
        <v>212</v>
      </c>
      <c r="N626" s="222" t="s">
        <v>212</v>
      </c>
      <c r="O626" s="222" t="s">
        <v>212</v>
      </c>
      <c r="P626" s="222" t="s">
        <v>212</v>
      </c>
      <c r="Q626" s="222" t="s">
        <v>212</v>
      </c>
      <c r="R626" s="222" t="s">
        <v>212</v>
      </c>
      <c r="S626" s="222" t="s">
        <v>212</v>
      </c>
      <c r="T626" s="531" t="s">
        <v>212</v>
      </c>
      <c r="U626" s="531"/>
      <c r="V626" s="222" t="s">
        <v>212</v>
      </c>
      <c r="W626" s="222" t="s">
        <v>212</v>
      </c>
      <c r="X626" s="531" t="s">
        <v>212</v>
      </c>
      <c r="Y626" s="531"/>
      <c r="Z626" s="222" t="s">
        <v>212</v>
      </c>
      <c r="AA626" s="222" t="s">
        <v>212</v>
      </c>
      <c r="AB626" s="222" t="s">
        <v>212</v>
      </c>
      <c r="AC626" s="215"/>
    </row>
    <row r="627" spans="1:29" ht="13.5" customHeight="1">
      <c r="A627" s="215"/>
      <c r="B627" s="535">
        <v>39388</v>
      </c>
      <c r="C627" s="535"/>
      <c r="D627" s="219" t="s">
        <v>212</v>
      </c>
      <c r="E627" s="229">
        <v>284.89999999999998</v>
      </c>
      <c r="F627" s="536">
        <v>24</v>
      </c>
      <c r="G627" s="536"/>
      <c r="H627" s="229">
        <v>312.5</v>
      </c>
      <c r="I627" s="536">
        <v>24</v>
      </c>
      <c r="J627" s="536"/>
      <c r="K627" s="229">
        <v>0</v>
      </c>
      <c r="L627" s="230">
        <v>0</v>
      </c>
      <c r="M627" s="229">
        <v>0</v>
      </c>
      <c r="N627" s="230">
        <v>0</v>
      </c>
      <c r="O627" s="231">
        <v>597.4</v>
      </c>
      <c r="P627" s="222" t="s">
        <v>212</v>
      </c>
      <c r="Q627" s="229">
        <v>0</v>
      </c>
      <c r="R627" s="230">
        <v>0</v>
      </c>
      <c r="S627" s="229">
        <v>0</v>
      </c>
      <c r="T627" s="536">
        <v>0</v>
      </c>
      <c r="U627" s="536"/>
      <c r="V627" s="229">
        <v>0</v>
      </c>
      <c r="W627" s="222" t="s">
        <v>212</v>
      </c>
      <c r="X627" s="530">
        <v>597.4</v>
      </c>
      <c r="Y627" s="530"/>
      <c r="Z627" s="222" t="s">
        <v>212</v>
      </c>
      <c r="AA627" s="232">
        <v>0</v>
      </c>
      <c r="AB627" s="233">
        <v>297702</v>
      </c>
      <c r="AC627" s="215"/>
    </row>
    <row r="628" spans="1:29" ht="2.25" customHeight="1">
      <c r="A628" s="215"/>
      <c r="B628" s="529" t="s">
        <v>212</v>
      </c>
      <c r="C628" s="529"/>
      <c r="D628" s="219" t="s">
        <v>212</v>
      </c>
      <c r="E628" s="222" t="s">
        <v>212</v>
      </c>
      <c r="F628" s="531" t="s">
        <v>212</v>
      </c>
      <c r="G628" s="531"/>
      <c r="H628" s="222" t="s">
        <v>212</v>
      </c>
      <c r="I628" s="531" t="s">
        <v>212</v>
      </c>
      <c r="J628" s="531"/>
      <c r="K628" s="222" t="s">
        <v>212</v>
      </c>
      <c r="L628" s="222" t="s">
        <v>212</v>
      </c>
      <c r="M628" s="222" t="s">
        <v>212</v>
      </c>
      <c r="N628" s="222" t="s">
        <v>212</v>
      </c>
      <c r="O628" s="222" t="s">
        <v>212</v>
      </c>
      <c r="P628" s="222" t="s">
        <v>212</v>
      </c>
      <c r="Q628" s="222" t="s">
        <v>212</v>
      </c>
      <c r="R628" s="222" t="s">
        <v>212</v>
      </c>
      <c r="S628" s="222" t="s">
        <v>212</v>
      </c>
      <c r="T628" s="531" t="s">
        <v>212</v>
      </c>
      <c r="U628" s="531"/>
      <c r="V628" s="222" t="s">
        <v>212</v>
      </c>
      <c r="W628" s="222" t="s">
        <v>212</v>
      </c>
      <c r="X628" s="531" t="s">
        <v>212</v>
      </c>
      <c r="Y628" s="531"/>
      <c r="Z628" s="222" t="s">
        <v>212</v>
      </c>
      <c r="AA628" s="222" t="s">
        <v>212</v>
      </c>
      <c r="AB628" s="222" t="s">
        <v>212</v>
      </c>
      <c r="AC628" s="215"/>
    </row>
    <row r="629" spans="1:29" ht="13.5" customHeight="1">
      <c r="A629" s="215"/>
      <c r="B629" s="532">
        <v>39389</v>
      </c>
      <c r="C629" s="532"/>
      <c r="D629" s="219" t="s">
        <v>212</v>
      </c>
      <c r="E629" s="224">
        <v>265.3</v>
      </c>
      <c r="F629" s="533">
        <v>24</v>
      </c>
      <c r="G629" s="533"/>
      <c r="H629" s="224">
        <v>292.10000000000002</v>
      </c>
      <c r="I629" s="533">
        <v>24</v>
      </c>
      <c r="J629" s="533"/>
      <c r="K629" s="224">
        <v>0</v>
      </c>
      <c r="L629" s="225">
        <v>0</v>
      </c>
      <c r="M629" s="224">
        <v>0</v>
      </c>
      <c r="N629" s="225">
        <v>0</v>
      </c>
      <c r="O629" s="226">
        <v>557.4</v>
      </c>
      <c r="P629" s="222" t="s">
        <v>212</v>
      </c>
      <c r="Q629" s="224">
        <v>0</v>
      </c>
      <c r="R629" s="225">
        <v>0</v>
      </c>
      <c r="S629" s="224">
        <v>0</v>
      </c>
      <c r="T629" s="533">
        <v>0</v>
      </c>
      <c r="U629" s="533"/>
      <c r="V629" s="224">
        <v>0</v>
      </c>
      <c r="W629" s="222" t="s">
        <v>212</v>
      </c>
      <c r="X629" s="534">
        <v>557.4</v>
      </c>
      <c r="Y629" s="534"/>
      <c r="Z629" s="222" t="s">
        <v>212</v>
      </c>
      <c r="AA629" s="227">
        <v>0</v>
      </c>
      <c r="AB629" s="228">
        <v>284761</v>
      </c>
      <c r="AC629" s="215"/>
    </row>
    <row r="630" spans="1:29" ht="2.25" customHeight="1">
      <c r="A630" s="215"/>
      <c r="B630" s="529" t="s">
        <v>212</v>
      </c>
      <c r="C630" s="529"/>
      <c r="D630" s="219" t="s">
        <v>212</v>
      </c>
      <c r="E630" s="222" t="s">
        <v>212</v>
      </c>
      <c r="F630" s="531" t="s">
        <v>212</v>
      </c>
      <c r="G630" s="531"/>
      <c r="H630" s="222" t="s">
        <v>212</v>
      </c>
      <c r="I630" s="531" t="s">
        <v>212</v>
      </c>
      <c r="J630" s="531"/>
      <c r="K630" s="222" t="s">
        <v>212</v>
      </c>
      <c r="L630" s="222" t="s">
        <v>212</v>
      </c>
      <c r="M630" s="222" t="s">
        <v>212</v>
      </c>
      <c r="N630" s="222" t="s">
        <v>212</v>
      </c>
      <c r="O630" s="222" t="s">
        <v>212</v>
      </c>
      <c r="P630" s="222" t="s">
        <v>212</v>
      </c>
      <c r="Q630" s="222" t="s">
        <v>212</v>
      </c>
      <c r="R630" s="222" t="s">
        <v>212</v>
      </c>
      <c r="S630" s="222" t="s">
        <v>212</v>
      </c>
      <c r="T630" s="531" t="s">
        <v>212</v>
      </c>
      <c r="U630" s="531"/>
      <c r="V630" s="222" t="s">
        <v>212</v>
      </c>
      <c r="W630" s="222" t="s">
        <v>212</v>
      </c>
      <c r="X630" s="531" t="s">
        <v>212</v>
      </c>
      <c r="Y630" s="531"/>
      <c r="Z630" s="222" t="s">
        <v>212</v>
      </c>
      <c r="AA630" s="222" t="s">
        <v>212</v>
      </c>
      <c r="AB630" s="222" t="s">
        <v>212</v>
      </c>
      <c r="AC630" s="215"/>
    </row>
    <row r="631" spans="1:29" ht="13.5" customHeight="1">
      <c r="A631" s="215"/>
      <c r="B631" s="535">
        <v>39390</v>
      </c>
      <c r="C631" s="535"/>
      <c r="D631" s="219" t="s">
        <v>212</v>
      </c>
      <c r="E631" s="229">
        <v>263.8</v>
      </c>
      <c r="F631" s="536">
        <v>24</v>
      </c>
      <c r="G631" s="536"/>
      <c r="H631" s="229">
        <v>291.89999999999998</v>
      </c>
      <c r="I631" s="536">
        <v>24</v>
      </c>
      <c r="J631" s="536"/>
      <c r="K631" s="229">
        <v>0</v>
      </c>
      <c r="L631" s="230">
        <v>0</v>
      </c>
      <c r="M631" s="229">
        <v>0</v>
      </c>
      <c r="N631" s="230">
        <v>0</v>
      </c>
      <c r="O631" s="231">
        <v>555.70000000000005</v>
      </c>
      <c r="P631" s="222" t="s">
        <v>212</v>
      </c>
      <c r="Q631" s="229">
        <v>0</v>
      </c>
      <c r="R631" s="230">
        <v>0</v>
      </c>
      <c r="S631" s="229">
        <v>0</v>
      </c>
      <c r="T631" s="536">
        <v>0</v>
      </c>
      <c r="U631" s="536"/>
      <c r="V631" s="229">
        <v>0</v>
      </c>
      <c r="W631" s="222" t="s">
        <v>212</v>
      </c>
      <c r="X631" s="530">
        <v>555.70000000000005</v>
      </c>
      <c r="Y631" s="530"/>
      <c r="Z631" s="222" t="s">
        <v>212</v>
      </c>
      <c r="AA631" s="232">
        <v>0</v>
      </c>
      <c r="AB631" s="233">
        <v>287003</v>
      </c>
      <c r="AC631" s="215"/>
    </row>
    <row r="632" spans="1:29" ht="2.25" customHeight="1">
      <c r="A632" s="215"/>
      <c r="B632" s="529" t="s">
        <v>212</v>
      </c>
      <c r="C632" s="529"/>
      <c r="D632" s="219" t="s">
        <v>212</v>
      </c>
      <c r="E632" s="222" t="s">
        <v>212</v>
      </c>
      <c r="F632" s="531" t="s">
        <v>212</v>
      </c>
      <c r="G632" s="531"/>
      <c r="H632" s="222" t="s">
        <v>212</v>
      </c>
      <c r="I632" s="531" t="s">
        <v>212</v>
      </c>
      <c r="J632" s="531"/>
      <c r="K632" s="222" t="s">
        <v>212</v>
      </c>
      <c r="L632" s="222" t="s">
        <v>212</v>
      </c>
      <c r="M632" s="222" t="s">
        <v>212</v>
      </c>
      <c r="N632" s="222" t="s">
        <v>212</v>
      </c>
      <c r="O632" s="222" t="s">
        <v>212</v>
      </c>
      <c r="P632" s="222" t="s">
        <v>212</v>
      </c>
      <c r="Q632" s="222" t="s">
        <v>212</v>
      </c>
      <c r="R632" s="222" t="s">
        <v>212</v>
      </c>
      <c r="S632" s="222" t="s">
        <v>212</v>
      </c>
      <c r="T632" s="531" t="s">
        <v>212</v>
      </c>
      <c r="U632" s="531"/>
      <c r="V632" s="222" t="s">
        <v>212</v>
      </c>
      <c r="W632" s="222" t="s">
        <v>212</v>
      </c>
      <c r="X632" s="531" t="s">
        <v>212</v>
      </c>
      <c r="Y632" s="531"/>
      <c r="Z632" s="222" t="s">
        <v>212</v>
      </c>
      <c r="AA632" s="222" t="s">
        <v>212</v>
      </c>
      <c r="AB632" s="222" t="s">
        <v>212</v>
      </c>
      <c r="AC632" s="215"/>
    </row>
    <row r="633" spans="1:29" ht="13.5" customHeight="1">
      <c r="A633" s="215"/>
      <c r="B633" s="532">
        <v>39391</v>
      </c>
      <c r="C633" s="532"/>
      <c r="D633" s="219" t="s">
        <v>212</v>
      </c>
      <c r="E633" s="224">
        <v>288.8</v>
      </c>
      <c r="F633" s="533">
        <v>24</v>
      </c>
      <c r="G633" s="533"/>
      <c r="H633" s="224">
        <v>310.7</v>
      </c>
      <c r="I633" s="533">
        <v>24</v>
      </c>
      <c r="J633" s="533"/>
      <c r="K633" s="224">
        <v>0</v>
      </c>
      <c r="L633" s="225">
        <v>0</v>
      </c>
      <c r="M633" s="224">
        <v>0</v>
      </c>
      <c r="N633" s="225">
        <v>0</v>
      </c>
      <c r="O633" s="226">
        <v>599.5</v>
      </c>
      <c r="P633" s="222" t="s">
        <v>212</v>
      </c>
      <c r="Q633" s="224">
        <v>0</v>
      </c>
      <c r="R633" s="225">
        <v>0</v>
      </c>
      <c r="S633" s="224">
        <v>0</v>
      </c>
      <c r="T633" s="533">
        <v>0</v>
      </c>
      <c r="U633" s="533"/>
      <c r="V633" s="224">
        <v>0</v>
      </c>
      <c r="W633" s="222" t="s">
        <v>212</v>
      </c>
      <c r="X633" s="534">
        <v>599.5</v>
      </c>
      <c r="Y633" s="534"/>
      <c r="Z633" s="222" t="s">
        <v>212</v>
      </c>
      <c r="AA633" s="227">
        <v>0</v>
      </c>
      <c r="AB633" s="228">
        <v>296663</v>
      </c>
      <c r="AC633" s="215"/>
    </row>
    <row r="634" spans="1:29" ht="2.25" customHeight="1">
      <c r="A634" s="215"/>
      <c r="B634" s="529" t="s">
        <v>212</v>
      </c>
      <c r="C634" s="529"/>
      <c r="D634" s="219" t="s">
        <v>212</v>
      </c>
      <c r="E634" s="222" t="s">
        <v>212</v>
      </c>
      <c r="F634" s="531" t="s">
        <v>212</v>
      </c>
      <c r="G634" s="531"/>
      <c r="H634" s="222" t="s">
        <v>212</v>
      </c>
      <c r="I634" s="531" t="s">
        <v>212</v>
      </c>
      <c r="J634" s="531"/>
      <c r="K634" s="222" t="s">
        <v>212</v>
      </c>
      <c r="L634" s="222" t="s">
        <v>212</v>
      </c>
      <c r="M634" s="222" t="s">
        <v>212</v>
      </c>
      <c r="N634" s="222" t="s">
        <v>212</v>
      </c>
      <c r="O634" s="222" t="s">
        <v>212</v>
      </c>
      <c r="P634" s="222" t="s">
        <v>212</v>
      </c>
      <c r="Q634" s="222" t="s">
        <v>212</v>
      </c>
      <c r="R634" s="222" t="s">
        <v>212</v>
      </c>
      <c r="S634" s="222" t="s">
        <v>212</v>
      </c>
      <c r="T634" s="531" t="s">
        <v>212</v>
      </c>
      <c r="U634" s="531"/>
      <c r="V634" s="222" t="s">
        <v>212</v>
      </c>
      <c r="W634" s="222" t="s">
        <v>212</v>
      </c>
      <c r="X634" s="531" t="s">
        <v>212</v>
      </c>
      <c r="Y634" s="531"/>
      <c r="Z634" s="222" t="s">
        <v>212</v>
      </c>
      <c r="AA634" s="222" t="s">
        <v>212</v>
      </c>
      <c r="AB634" s="222" t="s">
        <v>212</v>
      </c>
      <c r="AC634" s="215"/>
    </row>
    <row r="635" spans="1:29" ht="13.5" customHeight="1">
      <c r="A635" s="215"/>
      <c r="B635" s="535">
        <v>39392</v>
      </c>
      <c r="C635" s="535"/>
      <c r="D635" s="219" t="s">
        <v>212</v>
      </c>
      <c r="E635" s="229">
        <v>261.39999999999998</v>
      </c>
      <c r="F635" s="536">
        <v>24</v>
      </c>
      <c r="G635" s="536"/>
      <c r="H635" s="229">
        <v>289.3</v>
      </c>
      <c r="I635" s="536">
        <v>24</v>
      </c>
      <c r="J635" s="536"/>
      <c r="K635" s="229">
        <v>0</v>
      </c>
      <c r="L635" s="230">
        <v>0</v>
      </c>
      <c r="M635" s="229">
        <v>0</v>
      </c>
      <c r="N635" s="230">
        <v>0</v>
      </c>
      <c r="O635" s="231">
        <v>550.70000000000005</v>
      </c>
      <c r="P635" s="222" t="s">
        <v>212</v>
      </c>
      <c r="Q635" s="229">
        <v>0</v>
      </c>
      <c r="R635" s="230">
        <v>0</v>
      </c>
      <c r="S635" s="229">
        <v>0</v>
      </c>
      <c r="T635" s="536">
        <v>0</v>
      </c>
      <c r="U635" s="536"/>
      <c r="V635" s="229">
        <v>0</v>
      </c>
      <c r="W635" s="222" t="s">
        <v>212</v>
      </c>
      <c r="X635" s="530">
        <v>550.70000000000005</v>
      </c>
      <c r="Y635" s="530"/>
      <c r="Z635" s="222" t="s">
        <v>212</v>
      </c>
      <c r="AA635" s="232">
        <v>0</v>
      </c>
      <c r="AB635" s="233">
        <v>282763</v>
      </c>
      <c r="AC635" s="215"/>
    </row>
    <row r="636" spans="1:29" ht="2.25" customHeight="1">
      <c r="A636" s="215"/>
      <c r="B636" s="529" t="s">
        <v>212</v>
      </c>
      <c r="C636" s="529"/>
      <c r="D636" s="219" t="s">
        <v>212</v>
      </c>
      <c r="E636" s="222" t="s">
        <v>212</v>
      </c>
      <c r="F636" s="531" t="s">
        <v>212</v>
      </c>
      <c r="G636" s="531"/>
      <c r="H636" s="222" t="s">
        <v>212</v>
      </c>
      <c r="I636" s="531" t="s">
        <v>212</v>
      </c>
      <c r="J636" s="531"/>
      <c r="K636" s="222" t="s">
        <v>212</v>
      </c>
      <c r="L636" s="222" t="s">
        <v>212</v>
      </c>
      <c r="M636" s="222" t="s">
        <v>212</v>
      </c>
      <c r="N636" s="222" t="s">
        <v>212</v>
      </c>
      <c r="O636" s="222" t="s">
        <v>212</v>
      </c>
      <c r="P636" s="222" t="s">
        <v>212</v>
      </c>
      <c r="Q636" s="222" t="s">
        <v>212</v>
      </c>
      <c r="R636" s="222" t="s">
        <v>212</v>
      </c>
      <c r="S636" s="222" t="s">
        <v>212</v>
      </c>
      <c r="T636" s="531" t="s">
        <v>212</v>
      </c>
      <c r="U636" s="531"/>
      <c r="V636" s="222" t="s">
        <v>212</v>
      </c>
      <c r="W636" s="222" t="s">
        <v>212</v>
      </c>
      <c r="X636" s="531" t="s">
        <v>212</v>
      </c>
      <c r="Y636" s="531"/>
      <c r="Z636" s="222" t="s">
        <v>212</v>
      </c>
      <c r="AA636" s="222" t="s">
        <v>212</v>
      </c>
      <c r="AB636" s="222" t="s">
        <v>212</v>
      </c>
      <c r="AC636" s="215"/>
    </row>
    <row r="637" spans="1:29" ht="13.5" customHeight="1">
      <c r="A637" s="215"/>
      <c r="B637" s="532">
        <v>39393</v>
      </c>
      <c r="C637" s="532"/>
      <c r="D637" s="219" t="s">
        <v>212</v>
      </c>
      <c r="E637" s="224">
        <v>246.8</v>
      </c>
      <c r="F637" s="533">
        <v>24</v>
      </c>
      <c r="G637" s="533"/>
      <c r="H637" s="224">
        <v>279.5</v>
      </c>
      <c r="I637" s="533">
        <v>24</v>
      </c>
      <c r="J637" s="533"/>
      <c r="K637" s="224">
        <v>0</v>
      </c>
      <c r="L637" s="225">
        <v>0</v>
      </c>
      <c r="M637" s="224">
        <v>0</v>
      </c>
      <c r="N637" s="225">
        <v>0</v>
      </c>
      <c r="O637" s="226">
        <v>526.29999999999995</v>
      </c>
      <c r="P637" s="222" t="s">
        <v>212</v>
      </c>
      <c r="Q637" s="224">
        <v>0</v>
      </c>
      <c r="R637" s="225">
        <v>0</v>
      </c>
      <c r="S637" s="224">
        <v>0</v>
      </c>
      <c r="T637" s="533">
        <v>0</v>
      </c>
      <c r="U637" s="533"/>
      <c r="V637" s="224">
        <v>0</v>
      </c>
      <c r="W637" s="222" t="s">
        <v>212</v>
      </c>
      <c r="X637" s="534">
        <v>526.29999999999995</v>
      </c>
      <c r="Y637" s="534"/>
      <c r="Z637" s="222" t="s">
        <v>212</v>
      </c>
      <c r="AA637" s="227">
        <v>0</v>
      </c>
      <c r="AB637" s="228">
        <v>275861</v>
      </c>
      <c r="AC637" s="215"/>
    </row>
    <row r="638" spans="1:29" ht="2.25" customHeight="1">
      <c r="A638" s="215"/>
      <c r="B638" s="529" t="s">
        <v>212</v>
      </c>
      <c r="C638" s="529"/>
      <c r="D638" s="219" t="s">
        <v>212</v>
      </c>
      <c r="E638" s="222" t="s">
        <v>212</v>
      </c>
      <c r="F638" s="531" t="s">
        <v>212</v>
      </c>
      <c r="G638" s="531"/>
      <c r="H638" s="222" t="s">
        <v>212</v>
      </c>
      <c r="I638" s="531" t="s">
        <v>212</v>
      </c>
      <c r="J638" s="531"/>
      <c r="K638" s="222" t="s">
        <v>212</v>
      </c>
      <c r="L638" s="222" t="s">
        <v>212</v>
      </c>
      <c r="M638" s="222" t="s">
        <v>212</v>
      </c>
      <c r="N638" s="222" t="s">
        <v>212</v>
      </c>
      <c r="O638" s="222" t="s">
        <v>212</v>
      </c>
      <c r="P638" s="222" t="s">
        <v>212</v>
      </c>
      <c r="Q638" s="222" t="s">
        <v>212</v>
      </c>
      <c r="R638" s="222" t="s">
        <v>212</v>
      </c>
      <c r="S638" s="222" t="s">
        <v>212</v>
      </c>
      <c r="T638" s="531" t="s">
        <v>212</v>
      </c>
      <c r="U638" s="531"/>
      <c r="V638" s="222" t="s">
        <v>212</v>
      </c>
      <c r="W638" s="222" t="s">
        <v>212</v>
      </c>
      <c r="X638" s="531" t="s">
        <v>212</v>
      </c>
      <c r="Y638" s="531"/>
      <c r="Z638" s="222" t="s">
        <v>212</v>
      </c>
      <c r="AA638" s="222" t="s">
        <v>212</v>
      </c>
      <c r="AB638" s="222" t="s">
        <v>212</v>
      </c>
      <c r="AC638" s="215"/>
    </row>
    <row r="639" spans="1:29" ht="13.5" customHeight="1">
      <c r="A639" s="215"/>
      <c r="B639" s="535">
        <v>39394</v>
      </c>
      <c r="C639" s="535"/>
      <c r="D639" s="219" t="s">
        <v>212</v>
      </c>
      <c r="E639" s="229">
        <v>263</v>
      </c>
      <c r="F639" s="536">
        <v>24</v>
      </c>
      <c r="G639" s="536"/>
      <c r="H639" s="229">
        <v>301</v>
      </c>
      <c r="I639" s="536">
        <v>24</v>
      </c>
      <c r="J639" s="536"/>
      <c r="K639" s="229">
        <v>0</v>
      </c>
      <c r="L639" s="230">
        <v>0</v>
      </c>
      <c r="M639" s="229">
        <v>0</v>
      </c>
      <c r="N639" s="230">
        <v>0</v>
      </c>
      <c r="O639" s="231">
        <v>564</v>
      </c>
      <c r="P639" s="222" t="s">
        <v>212</v>
      </c>
      <c r="Q639" s="229">
        <v>0</v>
      </c>
      <c r="R639" s="230">
        <v>0</v>
      </c>
      <c r="S639" s="229">
        <v>0</v>
      </c>
      <c r="T639" s="536">
        <v>0</v>
      </c>
      <c r="U639" s="536"/>
      <c r="V639" s="229">
        <v>0</v>
      </c>
      <c r="W639" s="222" t="s">
        <v>212</v>
      </c>
      <c r="X639" s="530">
        <v>564</v>
      </c>
      <c r="Y639" s="530"/>
      <c r="Z639" s="222" t="s">
        <v>212</v>
      </c>
      <c r="AA639" s="232">
        <v>0</v>
      </c>
      <c r="AB639" s="233">
        <v>286259</v>
      </c>
      <c r="AC639" s="215"/>
    </row>
    <row r="640" spans="1:29" ht="2.25" customHeight="1">
      <c r="A640" s="215"/>
      <c r="B640" s="529" t="s">
        <v>212</v>
      </c>
      <c r="C640" s="529"/>
      <c r="D640" s="219" t="s">
        <v>212</v>
      </c>
      <c r="E640" s="222" t="s">
        <v>212</v>
      </c>
      <c r="F640" s="531" t="s">
        <v>212</v>
      </c>
      <c r="G640" s="531"/>
      <c r="H640" s="222" t="s">
        <v>212</v>
      </c>
      <c r="I640" s="531" t="s">
        <v>212</v>
      </c>
      <c r="J640" s="531"/>
      <c r="K640" s="222" t="s">
        <v>212</v>
      </c>
      <c r="L640" s="222" t="s">
        <v>212</v>
      </c>
      <c r="M640" s="222" t="s">
        <v>212</v>
      </c>
      <c r="N640" s="222" t="s">
        <v>212</v>
      </c>
      <c r="O640" s="222" t="s">
        <v>212</v>
      </c>
      <c r="P640" s="222" t="s">
        <v>212</v>
      </c>
      <c r="Q640" s="222" t="s">
        <v>212</v>
      </c>
      <c r="R640" s="222" t="s">
        <v>212</v>
      </c>
      <c r="S640" s="222" t="s">
        <v>212</v>
      </c>
      <c r="T640" s="531" t="s">
        <v>212</v>
      </c>
      <c r="U640" s="531"/>
      <c r="V640" s="222" t="s">
        <v>212</v>
      </c>
      <c r="W640" s="222" t="s">
        <v>212</v>
      </c>
      <c r="X640" s="531" t="s">
        <v>212</v>
      </c>
      <c r="Y640" s="531"/>
      <c r="Z640" s="222" t="s">
        <v>212</v>
      </c>
      <c r="AA640" s="222" t="s">
        <v>212</v>
      </c>
      <c r="AB640" s="222" t="s">
        <v>212</v>
      </c>
      <c r="AC640" s="215"/>
    </row>
    <row r="641" spans="1:29" ht="13.5" customHeight="1">
      <c r="A641" s="215"/>
      <c r="B641" s="532">
        <v>39395</v>
      </c>
      <c r="C641" s="532"/>
      <c r="D641" s="219" t="s">
        <v>212</v>
      </c>
      <c r="E641" s="224">
        <v>259.60000000000002</v>
      </c>
      <c r="F641" s="533">
        <v>24</v>
      </c>
      <c r="G641" s="533"/>
      <c r="H641" s="224">
        <v>290.7</v>
      </c>
      <c r="I641" s="533">
        <v>24</v>
      </c>
      <c r="J641" s="533"/>
      <c r="K641" s="224">
        <v>0</v>
      </c>
      <c r="L641" s="225">
        <v>0</v>
      </c>
      <c r="M641" s="224">
        <v>0</v>
      </c>
      <c r="N641" s="225">
        <v>1</v>
      </c>
      <c r="O641" s="226">
        <v>550.29999999999995</v>
      </c>
      <c r="P641" s="222" t="s">
        <v>212</v>
      </c>
      <c r="Q641" s="224">
        <v>0</v>
      </c>
      <c r="R641" s="225">
        <v>0</v>
      </c>
      <c r="S641" s="224">
        <v>0</v>
      </c>
      <c r="T641" s="533">
        <v>0</v>
      </c>
      <c r="U641" s="533"/>
      <c r="V641" s="224">
        <v>0</v>
      </c>
      <c r="W641" s="222" t="s">
        <v>212</v>
      </c>
      <c r="X641" s="534">
        <v>550.29999999999995</v>
      </c>
      <c r="Y641" s="534"/>
      <c r="Z641" s="222" t="s">
        <v>212</v>
      </c>
      <c r="AA641" s="227">
        <v>0</v>
      </c>
      <c r="AB641" s="228">
        <v>286373</v>
      </c>
      <c r="AC641" s="215"/>
    </row>
    <row r="642" spans="1:29" ht="2.25" customHeight="1">
      <c r="A642" s="215"/>
      <c r="B642" s="529" t="s">
        <v>212</v>
      </c>
      <c r="C642" s="529"/>
      <c r="D642" s="219" t="s">
        <v>212</v>
      </c>
      <c r="E642" s="222" t="s">
        <v>212</v>
      </c>
      <c r="F642" s="531" t="s">
        <v>212</v>
      </c>
      <c r="G642" s="531"/>
      <c r="H642" s="222" t="s">
        <v>212</v>
      </c>
      <c r="I642" s="531" t="s">
        <v>212</v>
      </c>
      <c r="J642" s="531"/>
      <c r="K642" s="222" t="s">
        <v>212</v>
      </c>
      <c r="L642" s="222" t="s">
        <v>212</v>
      </c>
      <c r="M642" s="222" t="s">
        <v>212</v>
      </c>
      <c r="N642" s="222" t="s">
        <v>212</v>
      </c>
      <c r="O642" s="222" t="s">
        <v>212</v>
      </c>
      <c r="P642" s="222" t="s">
        <v>212</v>
      </c>
      <c r="Q642" s="222" t="s">
        <v>212</v>
      </c>
      <c r="R642" s="222" t="s">
        <v>212</v>
      </c>
      <c r="S642" s="222" t="s">
        <v>212</v>
      </c>
      <c r="T642" s="531" t="s">
        <v>212</v>
      </c>
      <c r="U642" s="531"/>
      <c r="V642" s="222" t="s">
        <v>212</v>
      </c>
      <c r="W642" s="222" t="s">
        <v>212</v>
      </c>
      <c r="X642" s="531" t="s">
        <v>212</v>
      </c>
      <c r="Y642" s="531"/>
      <c r="Z642" s="222" t="s">
        <v>212</v>
      </c>
      <c r="AA642" s="222" t="s">
        <v>212</v>
      </c>
      <c r="AB642" s="222" t="s">
        <v>212</v>
      </c>
      <c r="AC642" s="215"/>
    </row>
    <row r="643" spans="1:29" ht="13.5" customHeight="1">
      <c r="A643" s="215"/>
      <c r="B643" s="535">
        <v>39396</v>
      </c>
      <c r="C643" s="535"/>
      <c r="D643" s="219" t="s">
        <v>212</v>
      </c>
      <c r="E643" s="229">
        <v>258</v>
      </c>
      <c r="F643" s="536">
        <v>24</v>
      </c>
      <c r="G643" s="536"/>
      <c r="H643" s="229">
        <v>309.3</v>
      </c>
      <c r="I643" s="536">
        <v>24</v>
      </c>
      <c r="J643" s="536"/>
      <c r="K643" s="229">
        <v>0</v>
      </c>
      <c r="L643" s="230">
        <v>0</v>
      </c>
      <c r="M643" s="229">
        <v>0</v>
      </c>
      <c r="N643" s="230">
        <v>0</v>
      </c>
      <c r="O643" s="231">
        <v>567.29999999999995</v>
      </c>
      <c r="P643" s="222" t="s">
        <v>212</v>
      </c>
      <c r="Q643" s="229">
        <v>0</v>
      </c>
      <c r="R643" s="230">
        <v>0</v>
      </c>
      <c r="S643" s="229">
        <v>0</v>
      </c>
      <c r="T643" s="536">
        <v>0</v>
      </c>
      <c r="U643" s="536"/>
      <c r="V643" s="229">
        <v>0</v>
      </c>
      <c r="W643" s="222" t="s">
        <v>212</v>
      </c>
      <c r="X643" s="530">
        <v>567.29999999999995</v>
      </c>
      <c r="Y643" s="530"/>
      <c r="Z643" s="222" t="s">
        <v>212</v>
      </c>
      <c r="AA643" s="232">
        <v>0</v>
      </c>
      <c r="AB643" s="233">
        <v>290957</v>
      </c>
      <c r="AC643" s="215"/>
    </row>
    <row r="644" spans="1:29" ht="2.25" customHeight="1">
      <c r="A644" s="215"/>
      <c r="B644" s="529" t="s">
        <v>212</v>
      </c>
      <c r="C644" s="529"/>
      <c r="D644" s="219" t="s">
        <v>212</v>
      </c>
      <c r="E644" s="222" t="s">
        <v>212</v>
      </c>
      <c r="F644" s="531" t="s">
        <v>212</v>
      </c>
      <c r="G644" s="531"/>
      <c r="H644" s="222" t="s">
        <v>212</v>
      </c>
      <c r="I644" s="531" t="s">
        <v>212</v>
      </c>
      <c r="J644" s="531"/>
      <c r="K644" s="222" t="s">
        <v>212</v>
      </c>
      <c r="L644" s="222" t="s">
        <v>212</v>
      </c>
      <c r="M644" s="222" t="s">
        <v>212</v>
      </c>
      <c r="N644" s="222" t="s">
        <v>212</v>
      </c>
      <c r="O644" s="222" t="s">
        <v>212</v>
      </c>
      <c r="P644" s="222" t="s">
        <v>212</v>
      </c>
      <c r="Q644" s="222" t="s">
        <v>212</v>
      </c>
      <c r="R644" s="222" t="s">
        <v>212</v>
      </c>
      <c r="S644" s="222" t="s">
        <v>212</v>
      </c>
      <c r="T644" s="531" t="s">
        <v>212</v>
      </c>
      <c r="U644" s="531"/>
      <c r="V644" s="222" t="s">
        <v>212</v>
      </c>
      <c r="W644" s="222" t="s">
        <v>212</v>
      </c>
      <c r="X644" s="531" t="s">
        <v>212</v>
      </c>
      <c r="Y644" s="531"/>
      <c r="Z644" s="222" t="s">
        <v>212</v>
      </c>
      <c r="AA644" s="222" t="s">
        <v>212</v>
      </c>
      <c r="AB644" s="222" t="s">
        <v>212</v>
      </c>
      <c r="AC644" s="215"/>
    </row>
    <row r="645" spans="1:29" ht="13.5" customHeight="1">
      <c r="A645" s="215"/>
      <c r="B645" s="532">
        <v>39397</v>
      </c>
      <c r="C645" s="532"/>
      <c r="D645" s="219" t="s">
        <v>212</v>
      </c>
      <c r="E645" s="224">
        <v>203.2</v>
      </c>
      <c r="F645" s="533">
        <v>24</v>
      </c>
      <c r="G645" s="533"/>
      <c r="H645" s="224">
        <v>252.9</v>
      </c>
      <c r="I645" s="533">
        <v>24</v>
      </c>
      <c r="J645" s="533"/>
      <c r="K645" s="224">
        <v>0</v>
      </c>
      <c r="L645" s="225">
        <v>3</v>
      </c>
      <c r="M645" s="224">
        <v>19</v>
      </c>
      <c r="N645" s="225">
        <v>3</v>
      </c>
      <c r="O645" s="226">
        <v>475.1</v>
      </c>
      <c r="P645" s="222" t="s">
        <v>212</v>
      </c>
      <c r="Q645" s="224">
        <v>0</v>
      </c>
      <c r="R645" s="225">
        <v>0</v>
      </c>
      <c r="S645" s="224">
        <v>0</v>
      </c>
      <c r="T645" s="533">
        <v>0</v>
      </c>
      <c r="U645" s="533"/>
      <c r="V645" s="224">
        <v>0</v>
      </c>
      <c r="W645" s="222" t="s">
        <v>212</v>
      </c>
      <c r="X645" s="534">
        <v>475.1</v>
      </c>
      <c r="Y645" s="534"/>
      <c r="Z645" s="222" t="s">
        <v>212</v>
      </c>
      <c r="AA645" s="227">
        <v>0</v>
      </c>
      <c r="AB645" s="228">
        <v>278640</v>
      </c>
      <c r="AC645" s="215"/>
    </row>
    <row r="646" spans="1:29" ht="2.25" customHeight="1">
      <c r="A646" s="215"/>
      <c r="B646" s="529" t="s">
        <v>212</v>
      </c>
      <c r="C646" s="529"/>
      <c r="D646" s="219" t="s">
        <v>212</v>
      </c>
      <c r="E646" s="222" t="s">
        <v>212</v>
      </c>
      <c r="F646" s="531" t="s">
        <v>212</v>
      </c>
      <c r="G646" s="531"/>
      <c r="H646" s="222" t="s">
        <v>212</v>
      </c>
      <c r="I646" s="531" t="s">
        <v>212</v>
      </c>
      <c r="J646" s="531"/>
      <c r="K646" s="222" t="s">
        <v>212</v>
      </c>
      <c r="L646" s="222" t="s">
        <v>212</v>
      </c>
      <c r="M646" s="222" t="s">
        <v>212</v>
      </c>
      <c r="N646" s="222" t="s">
        <v>212</v>
      </c>
      <c r="O646" s="222" t="s">
        <v>212</v>
      </c>
      <c r="P646" s="222" t="s">
        <v>212</v>
      </c>
      <c r="Q646" s="222" t="s">
        <v>212</v>
      </c>
      <c r="R646" s="222" t="s">
        <v>212</v>
      </c>
      <c r="S646" s="222" t="s">
        <v>212</v>
      </c>
      <c r="T646" s="531" t="s">
        <v>212</v>
      </c>
      <c r="U646" s="531"/>
      <c r="V646" s="222" t="s">
        <v>212</v>
      </c>
      <c r="W646" s="222" t="s">
        <v>212</v>
      </c>
      <c r="X646" s="531" t="s">
        <v>212</v>
      </c>
      <c r="Y646" s="531"/>
      <c r="Z646" s="222" t="s">
        <v>212</v>
      </c>
      <c r="AA646" s="222" t="s">
        <v>212</v>
      </c>
      <c r="AB646" s="222" t="s">
        <v>212</v>
      </c>
      <c r="AC646" s="215"/>
    </row>
    <row r="647" spans="1:29" ht="13.5" customHeight="1">
      <c r="A647" s="215"/>
      <c r="B647" s="535">
        <v>39398</v>
      </c>
      <c r="C647" s="535"/>
      <c r="D647" s="219" t="s">
        <v>212</v>
      </c>
      <c r="E647" s="229">
        <v>221</v>
      </c>
      <c r="F647" s="536">
        <v>24</v>
      </c>
      <c r="G647" s="536"/>
      <c r="H647" s="229">
        <v>281.60000000000002</v>
      </c>
      <c r="I647" s="536">
        <v>24</v>
      </c>
      <c r="J647" s="536"/>
      <c r="K647" s="229">
        <v>0</v>
      </c>
      <c r="L647" s="230">
        <v>0</v>
      </c>
      <c r="M647" s="229">
        <v>0</v>
      </c>
      <c r="N647" s="230">
        <v>0</v>
      </c>
      <c r="O647" s="231">
        <v>502.6</v>
      </c>
      <c r="P647" s="222" t="s">
        <v>212</v>
      </c>
      <c r="Q647" s="229">
        <v>0</v>
      </c>
      <c r="R647" s="230">
        <v>0</v>
      </c>
      <c r="S647" s="229">
        <v>0</v>
      </c>
      <c r="T647" s="536">
        <v>0</v>
      </c>
      <c r="U647" s="536"/>
      <c r="V647" s="229">
        <v>0</v>
      </c>
      <c r="W647" s="222" t="s">
        <v>212</v>
      </c>
      <c r="X647" s="530">
        <v>502.6</v>
      </c>
      <c r="Y647" s="530"/>
      <c r="Z647" s="222" t="s">
        <v>212</v>
      </c>
      <c r="AA647" s="232">
        <v>0</v>
      </c>
      <c r="AB647" s="233">
        <v>265376</v>
      </c>
      <c r="AC647" s="215"/>
    </row>
    <row r="648" spans="1:29" ht="2.25" customHeight="1">
      <c r="A648" s="215"/>
      <c r="B648" s="529" t="s">
        <v>212</v>
      </c>
      <c r="C648" s="529"/>
      <c r="D648" s="219" t="s">
        <v>212</v>
      </c>
      <c r="E648" s="222" t="s">
        <v>212</v>
      </c>
      <c r="F648" s="531" t="s">
        <v>212</v>
      </c>
      <c r="G648" s="531"/>
      <c r="H648" s="222" t="s">
        <v>212</v>
      </c>
      <c r="I648" s="531" t="s">
        <v>212</v>
      </c>
      <c r="J648" s="531"/>
      <c r="K648" s="222" t="s">
        <v>212</v>
      </c>
      <c r="L648" s="222" t="s">
        <v>212</v>
      </c>
      <c r="M648" s="222" t="s">
        <v>212</v>
      </c>
      <c r="N648" s="222" t="s">
        <v>212</v>
      </c>
      <c r="O648" s="222" t="s">
        <v>212</v>
      </c>
      <c r="P648" s="222" t="s">
        <v>212</v>
      </c>
      <c r="Q648" s="222" t="s">
        <v>212</v>
      </c>
      <c r="R648" s="222" t="s">
        <v>212</v>
      </c>
      <c r="S648" s="222" t="s">
        <v>212</v>
      </c>
      <c r="T648" s="531" t="s">
        <v>212</v>
      </c>
      <c r="U648" s="531"/>
      <c r="V648" s="222" t="s">
        <v>212</v>
      </c>
      <c r="W648" s="222" t="s">
        <v>212</v>
      </c>
      <c r="X648" s="531" t="s">
        <v>212</v>
      </c>
      <c r="Y648" s="531"/>
      <c r="Z648" s="222" t="s">
        <v>212</v>
      </c>
      <c r="AA648" s="222" t="s">
        <v>212</v>
      </c>
      <c r="AB648" s="222" t="s">
        <v>212</v>
      </c>
      <c r="AC648" s="215"/>
    </row>
    <row r="649" spans="1:29" ht="13.5" customHeight="1">
      <c r="A649" s="215"/>
      <c r="B649" s="532">
        <v>39399</v>
      </c>
      <c r="C649" s="532"/>
      <c r="D649" s="219" t="s">
        <v>212</v>
      </c>
      <c r="E649" s="224">
        <v>223.2</v>
      </c>
      <c r="F649" s="533">
        <v>24</v>
      </c>
      <c r="G649" s="533"/>
      <c r="H649" s="224">
        <v>273</v>
      </c>
      <c r="I649" s="533">
        <v>24</v>
      </c>
      <c r="J649" s="533"/>
      <c r="K649" s="224">
        <v>0</v>
      </c>
      <c r="L649" s="225">
        <v>0</v>
      </c>
      <c r="M649" s="224">
        <v>0</v>
      </c>
      <c r="N649" s="225">
        <v>0</v>
      </c>
      <c r="O649" s="226">
        <v>496.2</v>
      </c>
      <c r="P649" s="222" t="s">
        <v>212</v>
      </c>
      <c r="Q649" s="224">
        <v>0</v>
      </c>
      <c r="R649" s="225">
        <v>0</v>
      </c>
      <c r="S649" s="224">
        <v>0</v>
      </c>
      <c r="T649" s="533">
        <v>0</v>
      </c>
      <c r="U649" s="533"/>
      <c r="V649" s="224">
        <v>0</v>
      </c>
      <c r="W649" s="222" t="s">
        <v>212</v>
      </c>
      <c r="X649" s="534">
        <v>496.2</v>
      </c>
      <c r="Y649" s="534"/>
      <c r="Z649" s="222" t="s">
        <v>212</v>
      </c>
      <c r="AA649" s="227">
        <v>0</v>
      </c>
      <c r="AB649" s="228">
        <v>265904</v>
      </c>
      <c r="AC649" s="215"/>
    </row>
    <row r="650" spans="1:29" ht="2.25" customHeight="1">
      <c r="A650" s="215"/>
      <c r="B650" s="529" t="s">
        <v>212</v>
      </c>
      <c r="C650" s="529"/>
      <c r="D650" s="219" t="s">
        <v>212</v>
      </c>
      <c r="E650" s="222" t="s">
        <v>212</v>
      </c>
      <c r="F650" s="531" t="s">
        <v>212</v>
      </c>
      <c r="G650" s="531"/>
      <c r="H650" s="222" t="s">
        <v>212</v>
      </c>
      <c r="I650" s="531" t="s">
        <v>212</v>
      </c>
      <c r="J650" s="531"/>
      <c r="K650" s="222" t="s">
        <v>212</v>
      </c>
      <c r="L650" s="222" t="s">
        <v>212</v>
      </c>
      <c r="M650" s="222" t="s">
        <v>212</v>
      </c>
      <c r="N650" s="222" t="s">
        <v>212</v>
      </c>
      <c r="O650" s="222" t="s">
        <v>212</v>
      </c>
      <c r="P650" s="222" t="s">
        <v>212</v>
      </c>
      <c r="Q650" s="222" t="s">
        <v>212</v>
      </c>
      <c r="R650" s="222" t="s">
        <v>212</v>
      </c>
      <c r="S650" s="222" t="s">
        <v>212</v>
      </c>
      <c r="T650" s="531" t="s">
        <v>212</v>
      </c>
      <c r="U650" s="531"/>
      <c r="V650" s="222" t="s">
        <v>212</v>
      </c>
      <c r="W650" s="222" t="s">
        <v>212</v>
      </c>
      <c r="X650" s="531" t="s">
        <v>212</v>
      </c>
      <c r="Y650" s="531"/>
      <c r="Z650" s="222" t="s">
        <v>212</v>
      </c>
      <c r="AA650" s="222" t="s">
        <v>212</v>
      </c>
      <c r="AB650" s="222" t="s">
        <v>212</v>
      </c>
      <c r="AC650" s="215"/>
    </row>
    <row r="651" spans="1:29" ht="13.5" customHeight="1">
      <c r="A651" s="215"/>
      <c r="B651" s="535">
        <v>39400</v>
      </c>
      <c r="C651" s="535"/>
      <c r="D651" s="219" t="s">
        <v>212</v>
      </c>
      <c r="E651" s="229">
        <v>187</v>
      </c>
      <c r="F651" s="536">
        <v>24</v>
      </c>
      <c r="G651" s="536"/>
      <c r="H651" s="229">
        <v>238.5</v>
      </c>
      <c r="I651" s="536">
        <v>24</v>
      </c>
      <c r="J651" s="536"/>
      <c r="K651" s="229">
        <v>0</v>
      </c>
      <c r="L651" s="230">
        <v>0</v>
      </c>
      <c r="M651" s="229">
        <v>154</v>
      </c>
      <c r="N651" s="230">
        <v>7</v>
      </c>
      <c r="O651" s="231">
        <v>579.5</v>
      </c>
      <c r="P651" s="222" t="s">
        <v>212</v>
      </c>
      <c r="Q651" s="229">
        <v>0</v>
      </c>
      <c r="R651" s="230">
        <v>0</v>
      </c>
      <c r="S651" s="229">
        <v>0</v>
      </c>
      <c r="T651" s="536">
        <v>0</v>
      </c>
      <c r="U651" s="536"/>
      <c r="V651" s="229">
        <v>0</v>
      </c>
      <c r="W651" s="222" t="s">
        <v>212</v>
      </c>
      <c r="X651" s="530">
        <v>579.5</v>
      </c>
      <c r="Y651" s="530"/>
      <c r="Z651" s="222" t="s">
        <v>212</v>
      </c>
      <c r="AA651" s="232">
        <v>0</v>
      </c>
      <c r="AB651" s="233">
        <v>307185</v>
      </c>
      <c r="AC651" s="215"/>
    </row>
    <row r="652" spans="1:29" ht="2.25" customHeight="1">
      <c r="A652" s="215"/>
      <c r="B652" s="529" t="s">
        <v>212</v>
      </c>
      <c r="C652" s="529"/>
      <c r="D652" s="219" t="s">
        <v>212</v>
      </c>
      <c r="E652" s="222" t="s">
        <v>212</v>
      </c>
      <c r="F652" s="531" t="s">
        <v>212</v>
      </c>
      <c r="G652" s="531"/>
      <c r="H652" s="222" t="s">
        <v>212</v>
      </c>
      <c r="I652" s="531" t="s">
        <v>212</v>
      </c>
      <c r="J652" s="531"/>
      <c r="K652" s="222" t="s">
        <v>212</v>
      </c>
      <c r="L652" s="222" t="s">
        <v>212</v>
      </c>
      <c r="M652" s="222" t="s">
        <v>212</v>
      </c>
      <c r="N652" s="222" t="s">
        <v>212</v>
      </c>
      <c r="O652" s="222" t="s">
        <v>212</v>
      </c>
      <c r="P652" s="222" t="s">
        <v>212</v>
      </c>
      <c r="Q652" s="222" t="s">
        <v>212</v>
      </c>
      <c r="R652" s="222" t="s">
        <v>212</v>
      </c>
      <c r="S652" s="222" t="s">
        <v>212</v>
      </c>
      <c r="T652" s="531" t="s">
        <v>212</v>
      </c>
      <c r="U652" s="531"/>
      <c r="V652" s="222" t="s">
        <v>212</v>
      </c>
      <c r="W652" s="222" t="s">
        <v>212</v>
      </c>
      <c r="X652" s="531" t="s">
        <v>212</v>
      </c>
      <c r="Y652" s="531"/>
      <c r="Z652" s="222" t="s">
        <v>212</v>
      </c>
      <c r="AA652" s="222" t="s">
        <v>212</v>
      </c>
      <c r="AB652" s="222" t="s">
        <v>212</v>
      </c>
      <c r="AC652" s="215"/>
    </row>
    <row r="653" spans="1:29" ht="13.5" customHeight="1">
      <c r="A653" s="215"/>
      <c r="B653" s="532">
        <v>39401</v>
      </c>
      <c r="C653" s="532"/>
      <c r="D653" s="219" t="s">
        <v>212</v>
      </c>
      <c r="E653" s="224">
        <v>258.2</v>
      </c>
      <c r="F653" s="533">
        <v>24</v>
      </c>
      <c r="G653" s="533"/>
      <c r="H653" s="224">
        <v>289.89999999999998</v>
      </c>
      <c r="I653" s="533">
        <v>24</v>
      </c>
      <c r="J653" s="533"/>
      <c r="K653" s="224">
        <v>0</v>
      </c>
      <c r="L653" s="225">
        <v>0</v>
      </c>
      <c r="M653" s="224">
        <v>0</v>
      </c>
      <c r="N653" s="225">
        <v>0</v>
      </c>
      <c r="O653" s="226">
        <v>548.1</v>
      </c>
      <c r="P653" s="222" t="s">
        <v>212</v>
      </c>
      <c r="Q653" s="224">
        <v>0</v>
      </c>
      <c r="R653" s="225">
        <v>0</v>
      </c>
      <c r="S653" s="224">
        <v>0</v>
      </c>
      <c r="T653" s="533">
        <v>0</v>
      </c>
      <c r="U653" s="533"/>
      <c r="V653" s="224">
        <v>0</v>
      </c>
      <c r="W653" s="222" t="s">
        <v>212</v>
      </c>
      <c r="X653" s="534">
        <v>548.1</v>
      </c>
      <c r="Y653" s="534"/>
      <c r="Z653" s="222" t="s">
        <v>212</v>
      </c>
      <c r="AA653" s="227">
        <v>0</v>
      </c>
      <c r="AB653" s="228">
        <v>282062</v>
      </c>
      <c r="AC653" s="215"/>
    </row>
    <row r="654" spans="1:29" ht="2.25" customHeight="1">
      <c r="A654" s="215"/>
      <c r="B654" s="529" t="s">
        <v>212</v>
      </c>
      <c r="C654" s="529"/>
      <c r="D654" s="219" t="s">
        <v>212</v>
      </c>
      <c r="E654" s="222" t="s">
        <v>212</v>
      </c>
      <c r="F654" s="531" t="s">
        <v>212</v>
      </c>
      <c r="G654" s="531"/>
      <c r="H654" s="222" t="s">
        <v>212</v>
      </c>
      <c r="I654" s="531" t="s">
        <v>212</v>
      </c>
      <c r="J654" s="531"/>
      <c r="K654" s="222" t="s">
        <v>212</v>
      </c>
      <c r="L654" s="222" t="s">
        <v>212</v>
      </c>
      <c r="M654" s="222" t="s">
        <v>212</v>
      </c>
      <c r="N654" s="222" t="s">
        <v>212</v>
      </c>
      <c r="O654" s="222" t="s">
        <v>212</v>
      </c>
      <c r="P654" s="222" t="s">
        <v>212</v>
      </c>
      <c r="Q654" s="222" t="s">
        <v>212</v>
      </c>
      <c r="R654" s="222" t="s">
        <v>212</v>
      </c>
      <c r="S654" s="222" t="s">
        <v>212</v>
      </c>
      <c r="T654" s="531" t="s">
        <v>212</v>
      </c>
      <c r="U654" s="531"/>
      <c r="V654" s="222" t="s">
        <v>212</v>
      </c>
      <c r="W654" s="222" t="s">
        <v>212</v>
      </c>
      <c r="X654" s="531" t="s">
        <v>212</v>
      </c>
      <c r="Y654" s="531"/>
      <c r="Z654" s="222" t="s">
        <v>212</v>
      </c>
      <c r="AA654" s="222" t="s">
        <v>212</v>
      </c>
      <c r="AB654" s="222" t="s">
        <v>212</v>
      </c>
      <c r="AC654" s="215"/>
    </row>
    <row r="655" spans="1:29" ht="13.5" customHeight="1">
      <c r="A655" s="215"/>
      <c r="B655" s="535">
        <v>39402</v>
      </c>
      <c r="C655" s="535"/>
      <c r="D655" s="219" t="s">
        <v>212</v>
      </c>
      <c r="E655" s="229">
        <v>234.7</v>
      </c>
      <c r="F655" s="536">
        <v>24</v>
      </c>
      <c r="G655" s="536"/>
      <c r="H655" s="229">
        <v>289.5</v>
      </c>
      <c r="I655" s="536">
        <v>24</v>
      </c>
      <c r="J655" s="536"/>
      <c r="K655" s="229">
        <v>0</v>
      </c>
      <c r="L655" s="230">
        <v>0</v>
      </c>
      <c r="M655" s="229">
        <v>0</v>
      </c>
      <c r="N655" s="230">
        <v>0</v>
      </c>
      <c r="O655" s="231">
        <v>524.20000000000005</v>
      </c>
      <c r="P655" s="222" t="s">
        <v>212</v>
      </c>
      <c r="Q655" s="229">
        <v>0</v>
      </c>
      <c r="R655" s="230">
        <v>0</v>
      </c>
      <c r="S655" s="229">
        <v>0</v>
      </c>
      <c r="T655" s="536">
        <v>0</v>
      </c>
      <c r="U655" s="536"/>
      <c r="V655" s="229">
        <v>0</v>
      </c>
      <c r="W655" s="222" t="s">
        <v>212</v>
      </c>
      <c r="X655" s="530">
        <v>524.20000000000005</v>
      </c>
      <c r="Y655" s="530"/>
      <c r="Z655" s="222" t="s">
        <v>212</v>
      </c>
      <c r="AA655" s="232">
        <v>0</v>
      </c>
      <c r="AB655" s="233">
        <v>275458</v>
      </c>
      <c r="AC655" s="215"/>
    </row>
    <row r="656" spans="1:29" ht="2.25" customHeight="1">
      <c r="A656" s="215"/>
      <c r="B656" s="529" t="s">
        <v>212</v>
      </c>
      <c r="C656" s="529"/>
      <c r="D656" s="219" t="s">
        <v>212</v>
      </c>
      <c r="E656" s="222" t="s">
        <v>212</v>
      </c>
      <c r="F656" s="531" t="s">
        <v>212</v>
      </c>
      <c r="G656" s="531"/>
      <c r="H656" s="222" t="s">
        <v>212</v>
      </c>
      <c r="I656" s="531" t="s">
        <v>212</v>
      </c>
      <c r="J656" s="531"/>
      <c r="K656" s="222" t="s">
        <v>212</v>
      </c>
      <c r="L656" s="222" t="s">
        <v>212</v>
      </c>
      <c r="M656" s="222" t="s">
        <v>212</v>
      </c>
      <c r="N656" s="222" t="s">
        <v>212</v>
      </c>
      <c r="O656" s="222" t="s">
        <v>212</v>
      </c>
      <c r="P656" s="222" t="s">
        <v>212</v>
      </c>
      <c r="Q656" s="222" t="s">
        <v>212</v>
      </c>
      <c r="R656" s="222" t="s">
        <v>212</v>
      </c>
      <c r="S656" s="222" t="s">
        <v>212</v>
      </c>
      <c r="T656" s="531" t="s">
        <v>212</v>
      </c>
      <c r="U656" s="531"/>
      <c r="V656" s="222" t="s">
        <v>212</v>
      </c>
      <c r="W656" s="222" t="s">
        <v>212</v>
      </c>
      <c r="X656" s="531" t="s">
        <v>212</v>
      </c>
      <c r="Y656" s="531"/>
      <c r="Z656" s="222" t="s">
        <v>212</v>
      </c>
      <c r="AA656" s="222" t="s">
        <v>212</v>
      </c>
      <c r="AB656" s="222" t="s">
        <v>212</v>
      </c>
      <c r="AC656" s="215"/>
    </row>
    <row r="657" spans="1:29" ht="13.5" customHeight="1">
      <c r="A657" s="215"/>
      <c r="B657" s="532">
        <v>39403</v>
      </c>
      <c r="C657" s="532"/>
      <c r="D657" s="219" t="s">
        <v>212</v>
      </c>
      <c r="E657" s="224">
        <v>283.60000000000002</v>
      </c>
      <c r="F657" s="533">
        <v>24</v>
      </c>
      <c r="G657" s="533"/>
      <c r="H657" s="224">
        <v>340.6</v>
      </c>
      <c r="I657" s="533">
        <v>24</v>
      </c>
      <c r="J657" s="533"/>
      <c r="K657" s="224">
        <v>0</v>
      </c>
      <c r="L657" s="225">
        <v>0</v>
      </c>
      <c r="M657" s="224">
        <v>0</v>
      </c>
      <c r="N657" s="225">
        <v>0</v>
      </c>
      <c r="O657" s="226">
        <v>624.20000000000005</v>
      </c>
      <c r="P657" s="222" t="s">
        <v>212</v>
      </c>
      <c r="Q657" s="224">
        <v>0</v>
      </c>
      <c r="R657" s="225">
        <v>0</v>
      </c>
      <c r="S657" s="224">
        <v>0</v>
      </c>
      <c r="T657" s="533">
        <v>0</v>
      </c>
      <c r="U657" s="533"/>
      <c r="V657" s="224">
        <v>0</v>
      </c>
      <c r="W657" s="222" t="s">
        <v>212</v>
      </c>
      <c r="X657" s="534">
        <v>624.20000000000005</v>
      </c>
      <c r="Y657" s="534"/>
      <c r="Z657" s="222" t="s">
        <v>212</v>
      </c>
      <c r="AA657" s="227">
        <v>302974</v>
      </c>
      <c r="AB657" s="228">
        <v>0</v>
      </c>
      <c r="AC657" s="215"/>
    </row>
    <row r="658" spans="1:29" ht="2.25" customHeight="1">
      <c r="A658" s="215"/>
      <c r="B658" s="529" t="s">
        <v>212</v>
      </c>
      <c r="C658" s="529"/>
      <c r="D658" s="219" t="s">
        <v>212</v>
      </c>
      <c r="E658" s="222" t="s">
        <v>212</v>
      </c>
      <c r="F658" s="531" t="s">
        <v>212</v>
      </c>
      <c r="G658" s="531"/>
      <c r="H658" s="222" t="s">
        <v>212</v>
      </c>
      <c r="I658" s="531" t="s">
        <v>212</v>
      </c>
      <c r="J658" s="531"/>
      <c r="K658" s="222" t="s">
        <v>212</v>
      </c>
      <c r="L658" s="222" t="s">
        <v>212</v>
      </c>
      <c r="M658" s="222" t="s">
        <v>212</v>
      </c>
      <c r="N658" s="222" t="s">
        <v>212</v>
      </c>
      <c r="O658" s="222" t="s">
        <v>212</v>
      </c>
      <c r="P658" s="222" t="s">
        <v>212</v>
      </c>
      <c r="Q658" s="222" t="s">
        <v>212</v>
      </c>
      <c r="R658" s="222" t="s">
        <v>212</v>
      </c>
      <c r="S658" s="222" t="s">
        <v>212</v>
      </c>
      <c r="T658" s="531" t="s">
        <v>212</v>
      </c>
      <c r="U658" s="531"/>
      <c r="V658" s="222" t="s">
        <v>212</v>
      </c>
      <c r="W658" s="222" t="s">
        <v>212</v>
      </c>
      <c r="X658" s="531" t="s">
        <v>212</v>
      </c>
      <c r="Y658" s="531"/>
      <c r="Z658" s="222" t="s">
        <v>212</v>
      </c>
      <c r="AA658" s="222" t="s">
        <v>212</v>
      </c>
      <c r="AB658" s="222" t="s">
        <v>212</v>
      </c>
      <c r="AC658" s="215"/>
    </row>
    <row r="659" spans="1:29" ht="13.5" customHeight="1">
      <c r="A659" s="215"/>
      <c r="B659" s="535">
        <v>39404</v>
      </c>
      <c r="C659" s="535"/>
      <c r="D659" s="219" t="s">
        <v>212</v>
      </c>
      <c r="E659" s="229">
        <v>305.10000000000002</v>
      </c>
      <c r="F659" s="536">
        <v>24</v>
      </c>
      <c r="G659" s="536"/>
      <c r="H659" s="229">
        <v>335.9</v>
      </c>
      <c r="I659" s="536">
        <v>24</v>
      </c>
      <c r="J659" s="536"/>
      <c r="K659" s="229">
        <v>1.5</v>
      </c>
      <c r="L659" s="230">
        <v>1</v>
      </c>
      <c r="M659" s="229">
        <v>0</v>
      </c>
      <c r="N659" s="230">
        <v>0</v>
      </c>
      <c r="O659" s="231">
        <v>642.5</v>
      </c>
      <c r="P659" s="222" t="s">
        <v>212</v>
      </c>
      <c r="Q659" s="229">
        <v>0</v>
      </c>
      <c r="R659" s="230">
        <v>0</v>
      </c>
      <c r="S659" s="229">
        <v>0</v>
      </c>
      <c r="T659" s="536">
        <v>0</v>
      </c>
      <c r="U659" s="536"/>
      <c r="V659" s="229">
        <v>0</v>
      </c>
      <c r="W659" s="222" t="s">
        <v>212</v>
      </c>
      <c r="X659" s="530">
        <v>642.5</v>
      </c>
      <c r="Y659" s="530"/>
      <c r="Z659" s="222" t="s">
        <v>212</v>
      </c>
      <c r="AA659" s="232">
        <v>311992</v>
      </c>
      <c r="AB659" s="233">
        <v>0</v>
      </c>
      <c r="AC659" s="215"/>
    </row>
    <row r="660" spans="1:29" ht="2.25" customHeight="1">
      <c r="A660" s="215"/>
      <c r="B660" s="529" t="s">
        <v>212</v>
      </c>
      <c r="C660" s="529"/>
      <c r="D660" s="219" t="s">
        <v>212</v>
      </c>
      <c r="E660" s="222" t="s">
        <v>212</v>
      </c>
      <c r="F660" s="531" t="s">
        <v>212</v>
      </c>
      <c r="G660" s="531"/>
      <c r="H660" s="222" t="s">
        <v>212</v>
      </c>
      <c r="I660" s="531" t="s">
        <v>212</v>
      </c>
      <c r="J660" s="531"/>
      <c r="K660" s="222" t="s">
        <v>212</v>
      </c>
      <c r="L660" s="222" t="s">
        <v>212</v>
      </c>
      <c r="M660" s="222" t="s">
        <v>212</v>
      </c>
      <c r="N660" s="222" t="s">
        <v>212</v>
      </c>
      <c r="O660" s="222" t="s">
        <v>212</v>
      </c>
      <c r="P660" s="222" t="s">
        <v>212</v>
      </c>
      <c r="Q660" s="222" t="s">
        <v>212</v>
      </c>
      <c r="R660" s="222" t="s">
        <v>212</v>
      </c>
      <c r="S660" s="222" t="s">
        <v>212</v>
      </c>
      <c r="T660" s="531" t="s">
        <v>212</v>
      </c>
      <c r="U660" s="531"/>
      <c r="V660" s="222" t="s">
        <v>212</v>
      </c>
      <c r="W660" s="222" t="s">
        <v>212</v>
      </c>
      <c r="X660" s="531" t="s">
        <v>212</v>
      </c>
      <c r="Y660" s="531"/>
      <c r="Z660" s="222" t="s">
        <v>212</v>
      </c>
      <c r="AA660" s="222" t="s">
        <v>212</v>
      </c>
      <c r="AB660" s="222" t="s">
        <v>212</v>
      </c>
      <c r="AC660" s="215"/>
    </row>
    <row r="661" spans="1:29" ht="13.5" customHeight="1">
      <c r="A661" s="215"/>
      <c r="B661" s="532">
        <v>39405</v>
      </c>
      <c r="C661" s="532"/>
      <c r="D661" s="219" t="s">
        <v>212</v>
      </c>
      <c r="E661" s="224">
        <v>280.2</v>
      </c>
      <c r="F661" s="533">
        <v>24</v>
      </c>
      <c r="G661" s="533"/>
      <c r="H661" s="224">
        <v>333.8</v>
      </c>
      <c r="I661" s="533">
        <v>24</v>
      </c>
      <c r="J661" s="533"/>
      <c r="K661" s="224">
        <v>0</v>
      </c>
      <c r="L661" s="225">
        <v>0</v>
      </c>
      <c r="M661" s="224">
        <v>0</v>
      </c>
      <c r="N661" s="225">
        <v>0</v>
      </c>
      <c r="O661" s="226">
        <v>614</v>
      </c>
      <c r="P661" s="222" t="s">
        <v>212</v>
      </c>
      <c r="Q661" s="224">
        <v>0</v>
      </c>
      <c r="R661" s="225">
        <v>0</v>
      </c>
      <c r="S661" s="224">
        <v>0</v>
      </c>
      <c r="T661" s="533">
        <v>0</v>
      </c>
      <c r="U661" s="533"/>
      <c r="V661" s="224">
        <v>0</v>
      </c>
      <c r="W661" s="222" t="s">
        <v>212</v>
      </c>
      <c r="X661" s="534">
        <v>614</v>
      </c>
      <c r="Y661" s="534"/>
      <c r="Z661" s="222" t="s">
        <v>212</v>
      </c>
      <c r="AA661" s="227">
        <v>0</v>
      </c>
      <c r="AB661" s="228">
        <v>299330</v>
      </c>
      <c r="AC661" s="215"/>
    </row>
    <row r="662" spans="1:29" ht="2.25" customHeight="1">
      <c r="A662" s="215"/>
      <c r="B662" s="529" t="s">
        <v>212</v>
      </c>
      <c r="C662" s="529"/>
      <c r="D662" s="219" t="s">
        <v>212</v>
      </c>
      <c r="E662" s="222" t="s">
        <v>212</v>
      </c>
      <c r="F662" s="531" t="s">
        <v>212</v>
      </c>
      <c r="G662" s="531"/>
      <c r="H662" s="222" t="s">
        <v>212</v>
      </c>
      <c r="I662" s="531" t="s">
        <v>212</v>
      </c>
      <c r="J662" s="531"/>
      <c r="K662" s="222" t="s">
        <v>212</v>
      </c>
      <c r="L662" s="222" t="s">
        <v>212</v>
      </c>
      <c r="M662" s="222" t="s">
        <v>212</v>
      </c>
      <c r="N662" s="222" t="s">
        <v>212</v>
      </c>
      <c r="O662" s="222" t="s">
        <v>212</v>
      </c>
      <c r="P662" s="222" t="s">
        <v>212</v>
      </c>
      <c r="Q662" s="222" t="s">
        <v>212</v>
      </c>
      <c r="R662" s="222" t="s">
        <v>212</v>
      </c>
      <c r="S662" s="222" t="s">
        <v>212</v>
      </c>
      <c r="T662" s="531" t="s">
        <v>212</v>
      </c>
      <c r="U662" s="531"/>
      <c r="V662" s="222" t="s">
        <v>212</v>
      </c>
      <c r="W662" s="222" t="s">
        <v>212</v>
      </c>
      <c r="X662" s="531" t="s">
        <v>212</v>
      </c>
      <c r="Y662" s="531"/>
      <c r="Z662" s="222" t="s">
        <v>212</v>
      </c>
      <c r="AA662" s="222" t="s">
        <v>212</v>
      </c>
      <c r="AB662" s="222" t="s">
        <v>212</v>
      </c>
      <c r="AC662" s="215"/>
    </row>
    <row r="663" spans="1:29" ht="13.5" customHeight="1">
      <c r="A663" s="215"/>
      <c r="B663" s="535">
        <v>39406</v>
      </c>
      <c r="C663" s="535"/>
      <c r="D663" s="219" t="s">
        <v>212</v>
      </c>
      <c r="E663" s="229">
        <v>241.2</v>
      </c>
      <c r="F663" s="536">
        <v>24</v>
      </c>
      <c r="G663" s="536"/>
      <c r="H663" s="229">
        <v>279.5</v>
      </c>
      <c r="I663" s="536">
        <v>24</v>
      </c>
      <c r="J663" s="536"/>
      <c r="K663" s="229">
        <v>66.599999999999994</v>
      </c>
      <c r="L663" s="230">
        <v>12</v>
      </c>
      <c r="M663" s="229">
        <v>0</v>
      </c>
      <c r="N663" s="230">
        <v>0</v>
      </c>
      <c r="O663" s="231">
        <v>587.29999999999995</v>
      </c>
      <c r="P663" s="222" t="s">
        <v>212</v>
      </c>
      <c r="Q663" s="229">
        <v>0</v>
      </c>
      <c r="R663" s="230">
        <v>0</v>
      </c>
      <c r="S663" s="229">
        <v>0</v>
      </c>
      <c r="T663" s="536">
        <v>0</v>
      </c>
      <c r="U663" s="536"/>
      <c r="V663" s="229">
        <v>0</v>
      </c>
      <c r="W663" s="222" t="s">
        <v>212</v>
      </c>
      <c r="X663" s="530">
        <v>587.29999999999995</v>
      </c>
      <c r="Y663" s="530"/>
      <c r="Z663" s="222" t="s">
        <v>212</v>
      </c>
      <c r="AA663" s="232">
        <v>3162600</v>
      </c>
      <c r="AB663" s="233">
        <v>219961</v>
      </c>
      <c r="AC663" s="215"/>
    </row>
    <row r="664" spans="1:29" ht="2.25" customHeight="1">
      <c r="A664" s="215"/>
      <c r="B664" s="529" t="s">
        <v>212</v>
      </c>
      <c r="C664" s="529"/>
      <c r="D664" s="219" t="s">
        <v>212</v>
      </c>
      <c r="E664" s="222" t="s">
        <v>212</v>
      </c>
      <c r="F664" s="531" t="s">
        <v>212</v>
      </c>
      <c r="G664" s="531"/>
      <c r="H664" s="222" t="s">
        <v>212</v>
      </c>
      <c r="I664" s="531" t="s">
        <v>212</v>
      </c>
      <c r="J664" s="531"/>
      <c r="K664" s="222" t="s">
        <v>212</v>
      </c>
      <c r="L664" s="222" t="s">
        <v>212</v>
      </c>
      <c r="M664" s="222" t="s">
        <v>212</v>
      </c>
      <c r="N664" s="222" t="s">
        <v>212</v>
      </c>
      <c r="O664" s="222" t="s">
        <v>212</v>
      </c>
      <c r="P664" s="222" t="s">
        <v>212</v>
      </c>
      <c r="Q664" s="222" t="s">
        <v>212</v>
      </c>
      <c r="R664" s="222" t="s">
        <v>212</v>
      </c>
      <c r="S664" s="222" t="s">
        <v>212</v>
      </c>
      <c r="T664" s="531" t="s">
        <v>212</v>
      </c>
      <c r="U664" s="531"/>
      <c r="V664" s="222" t="s">
        <v>212</v>
      </c>
      <c r="W664" s="222" t="s">
        <v>212</v>
      </c>
      <c r="X664" s="531" t="s">
        <v>212</v>
      </c>
      <c r="Y664" s="531"/>
      <c r="Z664" s="222" t="s">
        <v>212</v>
      </c>
      <c r="AA664" s="222" t="s">
        <v>212</v>
      </c>
      <c r="AB664" s="222" t="s">
        <v>212</v>
      </c>
      <c r="AC664" s="215"/>
    </row>
    <row r="665" spans="1:29" ht="13.5" customHeight="1">
      <c r="A665" s="215"/>
      <c r="B665" s="532">
        <v>39407</v>
      </c>
      <c r="C665" s="532"/>
      <c r="D665" s="219" t="s">
        <v>212</v>
      </c>
      <c r="E665" s="224">
        <v>201</v>
      </c>
      <c r="F665" s="533">
        <v>24</v>
      </c>
      <c r="G665" s="533"/>
      <c r="H665" s="224">
        <v>185.8</v>
      </c>
      <c r="I665" s="533">
        <v>24</v>
      </c>
      <c r="J665" s="533"/>
      <c r="K665" s="224">
        <v>108.7</v>
      </c>
      <c r="L665" s="225">
        <v>10</v>
      </c>
      <c r="M665" s="224">
        <v>77</v>
      </c>
      <c r="N665" s="225">
        <v>13</v>
      </c>
      <c r="O665" s="226">
        <v>572.5</v>
      </c>
      <c r="P665" s="222" t="s">
        <v>212</v>
      </c>
      <c r="Q665" s="224">
        <v>0</v>
      </c>
      <c r="R665" s="225">
        <v>0</v>
      </c>
      <c r="S665" s="224">
        <v>0</v>
      </c>
      <c r="T665" s="533">
        <v>0</v>
      </c>
      <c r="U665" s="533"/>
      <c r="V665" s="224">
        <v>0</v>
      </c>
      <c r="W665" s="222" t="s">
        <v>212</v>
      </c>
      <c r="X665" s="534">
        <v>572.5</v>
      </c>
      <c r="Y665" s="534"/>
      <c r="Z665" s="222" t="s">
        <v>212</v>
      </c>
      <c r="AA665" s="227">
        <v>5109500</v>
      </c>
      <c r="AB665" s="228">
        <v>160301</v>
      </c>
      <c r="AC665" s="215"/>
    </row>
    <row r="666" spans="1:29" ht="2.25" customHeight="1">
      <c r="A666" s="215"/>
      <c r="B666" s="529" t="s">
        <v>212</v>
      </c>
      <c r="C666" s="529"/>
      <c r="D666" s="219" t="s">
        <v>212</v>
      </c>
      <c r="E666" s="222" t="s">
        <v>212</v>
      </c>
      <c r="F666" s="531" t="s">
        <v>212</v>
      </c>
      <c r="G666" s="531"/>
      <c r="H666" s="222" t="s">
        <v>212</v>
      </c>
      <c r="I666" s="531" t="s">
        <v>212</v>
      </c>
      <c r="J666" s="531"/>
      <c r="K666" s="222" t="s">
        <v>212</v>
      </c>
      <c r="L666" s="222" t="s">
        <v>212</v>
      </c>
      <c r="M666" s="222" t="s">
        <v>212</v>
      </c>
      <c r="N666" s="222" t="s">
        <v>212</v>
      </c>
      <c r="O666" s="222" t="s">
        <v>212</v>
      </c>
      <c r="P666" s="222" t="s">
        <v>212</v>
      </c>
      <c r="Q666" s="222" t="s">
        <v>212</v>
      </c>
      <c r="R666" s="222" t="s">
        <v>212</v>
      </c>
      <c r="S666" s="222" t="s">
        <v>212</v>
      </c>
      <c r="T666" s="531" t="s">
        <v>212</v>
      </c>
      <c r="U666" s="531"/>
      <c r="V666" s="222" t="s">
        <v>212</v>
      </c>
      <c r="W666" s="222" t="s">
        <v>212</v>
      </c>
      <c r="X666" s="531" t="s">
        <v>212</v>
      </c>
      <c r="Y666" s="531"/>
      <c r="Z666" s="222" t="s">
        <v>212</v>
      </c>
      <c r="AA666" s="222" t="s">
        <v>212</v>
      </c>
      <c r="AB666" s="222" t="s">
        <v>212</v>
      </c>
      <c r="AC666" s="215"/>
    </row>
    <row r="667" spans="1:29" ht="13.5" customHeight="1">
      <c r="A667" s="215"/>
      <c r="B667" s="535">
        <v>39408</v>
      </c>
      <c r="C667" s="535"/>
      <c r="D667" s="219" t="s">
        <v>212</v>
      </c>
      <c r="E667" s="229">
        <v>190.4</v>
      </c>
      <c r="F667" s="536">
        <v>24</v>
      </c>
      <c r="G667" s="536"/>
      <c r="H667" s="229">
        <v>72.599999999999994</v>
      </c>
      <c r="I667" s="536">
        <v>15</v>
      </c>
      <c r="J667" s="536"/>
      <c r="K667" s="229">
        <v>100.8</v>
      </c>
      <c r="L667" s="230">
        <v>12</v>
      </c>
      <c r="M667" s="229">
        <v>144</v>
      </c>
      <c r="N667" s="230">
        <v>17</v>
      </c>
      <c r="O667" s="231">
        <v>507.8</v>
      </c>
      <c r="P667" s="222" t="s">
        <v>212</v>
      </c>
      <c r="Q667" s="229">
        <v>0</v>
      </c>
      <c r="R667" s="230">
        <v>0</v>
      </c>
      <c r="S667" s="229">
        <v>0</v>
      </c>
      <c r="T667" s="536">
        <v>0</v>
      </c>
      <c r="U667" s="536"/>
      <c r="V667" s="229">
        <v>0</v>
      </c>
      <c r="W667" s="222" t="s">
        <v>212</v>
      </c>
      <c r="X667" s="530">
        <v>507.8</v>
      </c>
      <c r="Y667" s="530"/>
      <c r="Z667" s="222" t="s">
        <v>212</v>
      </c>
      <c r="AA667" s="232">
        <v>5040400</v>
      </c>
      <c r="AB667" s="233">
        <v>129180</v>
      </c>
      <c r="AC667" s="215"/>
    </row>
    <row r="668" spans="1:29" ht="2.25" customHeight="1">
      <c r="A668" s="215"/>
      <c r="B668" s="529" t="s">
        <v>212</v>
      </c>
      <c r="C668" s="529"/>
      <c r="D668" s="219" t="s">
        <v>212</v>
      </c>
      <c r="E668" s="222" t="s">
        <v>212</v>
      </c>
      <c r="F668" s="531" t="s">
        <v>212</v>
      </c>
      <c r="G668" s="531"/>
      <c r="H668" s="222" t="s">
        <v>212</v>
      </c>
      <c r="I668" s="531" t="s">
        <v>212</v>
      </c>
      <c r="J668" s="531"/>
      <c r="K668" s="222" t="s">
        <v>212</v>
      </c>
      <c r="L668" s="222" t="s">
        <v>212</v>
      </c>
      <c r="M668" s="222" t="s">
        <v>212</v>
      </c>
      <c r="N668" s="222" t="s">
        <v>212</v>
      </c>
      <c r="O668" s="222" t="s">
        <v>212</v>
      </c>
      <c r="P668" s="222" t="s">
        <v>212</v>
      </c>
      <c r="Q668" s="222" t="s">
        <v>212</v>
      </c>
      <c r="R668" s="222" t="s">
        <v>212</v>
      </c>
      <c r="S668" s="222" t="s">
        <v>212</v>
      </c>
      <c r="T668" s="531" t="s">
        <v>212</v>
      </c>
      <c r="U668" s="531"/>
      <c r="V668" s="222" t="s">
        <v>212</v>
      </c>
      <c r="W668" s="222" t="s">
        <v>212</v>
      </c>
      <c r="X668" s="531" t="s">
        <v>212</v>
      </c>
      <c r="Y668" s="531"/>
      <c r="Z668" s="222" t="s">
        <v>212</v>
      </c>
      <c r="AA668" s="222" t="s">
        <v>212</v>
      </c>
      <c r="AB668" s="222" t="s">
        <v>212</v>
      </c>
      <c r="AC668" s="215"/>
    </row>
    <row r="669" spans="1:29" ht="13.5" customHeight="1">
      <c r="A669" s="215"/>
      <c r="B669" s="532">
        <v>39409</v>
      </c>
      <c r="C669" s="532"/>
      <c r="D669" s="219" t="s">
        <v>212</v>
      </c>
      <c r="E669" s="224">
        <v>229.7</v>
      </c>
      <c r="F669" s="533">
        <v>24</v>
      </c>
      <c r="G669" s="533"/>
      <c r="H669" s="224">
        <v>0</v>
      </c>
      <c r="I669" s="533">
        <v>0</v>
      </c>
      <c r="J669" s="533"/>
      <c r="K669" s="224">
        <v>193.9</v>
      </c>
      <c r="L669" s="225">
        <v>24</v>
      </c>
      <c r="M669" s="224">
        <v>122</v>
      </c>
      <c r="N669" s="225">
        <v>22</v>
      </c>
      <c r="O669" s="226">
        <v>545.6</v>
      </c>
      <c r="P669" s="222" t="s">
        <v>212</v>
      </c>
      <c r="Q669" s="224">
        <v>0</v>
      </c>
      <c r="R669" s="225">
        <v>0</v>
      </c>
      <c r="S669" s="224">
        <v>0</v>
      </c>
      <c r="T669" s="533">
        <v>0</v>
      </c>
      <c r="U669" s="533"/>
      <c r="V669" s="224">
        <v>0</v>
      </c>
      <c r="W669" s="222" t="s">
        <v>212</v>
      </c>
      <c r="X669" s="534">
        <v>545.6</v>
      </c>
      <c r="Y669" s="534"/>
      <c r="Z669" s="222" t="s">
        <v>212</v>
      </c>
      <c r="AA669" s="227">
        <v>3695100</v>
      </c>
      <c r="AB669" s="228">
        <v>193074</v>
      </c>
      <c r="AC669" s="215"/>
    </row>
    <row r="670" spans="1:29" ht="2.25" customHeight="1">
      <c r="A670" s="215"/>
      <c r="B670" s="529" t="s">
        <v>212</v>
      </c>
      <c r="C670" s="529"/>
      <c r="D670" s="219" t="s">
        <v>212</v>
      </c>
      <c r="E670" s="222" t="s">
        <v>212</v>
      </c>
      <c r="F670" s="531" t="s">
        <v>212</v>
      </c>
      <c r="G670" s="531"/>
      <c r="H670" s="222" t="s">
        <v>212</v>
      </c>
      <c r="I670" s="531" t="s">
        <v>212</v>
      </c>
      <c r="J670" s="531"/>
      <c r="K670" s="222" t="s">
        <v>212</v>
      </c>
      <c r="L670" s="222" t="s">
        <v>212</v>
      </c>
      <c r="M670" s="222" t="s">
        <v>212</v>
      </c>
      <c r="N670" s="222" t="s">
        <v>212</v>
      </c>
      <c r="O670" s="222" t="s">
        <v>212</v>
      </c>
      <c r="P670" s="222" t="s">
        <v>212</v>
      </c>
      <c r="Q670" s="222" t="s">
        <v>212</v>
      </c>
      <c r="R670" s="222" t="s">
        <v>212</v>
      </c>
      <c r="S670" s="222" t="s">
        <v>212</v>
      </c>
      <c r="T670" s="531" t="s">
        <v>212</v>
      </c>
      <c r="U670" s="531"/>
      <c r="V670" s="222" t="s">
        <v>212</v>
      </c>
      <c r="W670" s="222" t="s">
        <v>212</v>
      </c>
      <c r="X670" s="531" t="s">
        <v>212</v>
      </c>
      <c r="Y670" s="531"/>
      <c r="Z670" s="222" t="s">
        <v>212</v>
      </c>
      <c r="AA670" s="222" t="s">
        <v>212</v>
      </c>
      <c r="AB670" s="222" t="s">
        <v>212</v>
      </c>
      <c r="AC670" s="215"/>
    </row>
    <row r="671" spans="1:29" ht="13.5" customHeight="1">
      <c r="A671" s="215"/>
      <c r="B671" s="535">
        <v>39410</v>
      </c>
      <c r="C671" s="535"/>
      <c r="D671" s="219" t="s">
        <v>212</v>
      </c>
      <c r="E671" s="229">
        <v>177.4</v>
      </c>
      <c r="F671" s="536">
        <v>24</v>
      </c>
      <c r="G671" s="536"/>
      <c r="H671" s="229">
        <v>0</v>
      </c>
      <c r="I671" s="536">
        <v>0</v>
      </c>
      <c r="J671" s="536"/>
      <c r="K671" s="229">
        <v>152.6</v>
      </c>
      <c r="L671" s="230">
        <v>24</v>
      </c>
      <c r="M671" s="229">
        <v>180</v>
      </c>
      <c r="N671" s="230">
        <v>24</v>
      </c>
      <c r="O671" s="231">
        <v>510</v>
      </c>
      <c r="P671" s="222" t="s">
        <v>212</v>
      </c>
      <c r="Q671" s="229">
        <v>0</v>
      </c>
      <c r="R671" s="230">
        <v>0</v>
      </c>
      <c r="S671" s="229">
        <v>0</v>
      </c>
      <c r="T671" s="536">
        <v>0</v>
      </c>
      <c r="U671" s="536"/>
      <c r="V671" s="229">
        <v>0</v>
      </c>
      <c r="W671" s="222" t="s">
        <v>212</v>
      </c>
      <c r="X671" s="530">
        <v>510</v>
      </c>
      <c r="Y671" s="530"/>
      <c r="Z671" s="222" t="s">
        <v>212</v>
      </c>
      <c r="AA671" s="232">
        <v>0</v>
      </c>
      <c r="AB671" s="233">
        <v>315073</v>
      </c>
      <c r="AC671" s="215"/>
    </row>
    <row r="672" spans="1:29" ht="2.25" customHeight="1">
      <c r="A672" s="215"/>
      <c r="B672" s="529" t="s">
        <v>212</v>
      </c>
      <c r="C672" s="529"/>
      <c r="D672" s="219" t="s">
        <v>212</v>
      </c>
      <c r="E672" s="222" t="s">
        <v>212</v>
      </c>
      <c r="F672" s="531" t="s">
        <v>212</v>
      </c>
      <c r="G672" s="531"/>
      <c r="H672" s="222" t="s">
        <v>212</v>
      </c>
      <c r="I672" s="531" t="s">
        <v>212</v>
      </c>
      <c r="J672" s="531"/>
      <c r="K672" s="222" t="s">
        <v>212</v>
      </c>
      <c r="L672" s="222" t="s">
        <v>212</v>
      </c>
      <c r="M672" s="222" t="s">
        <v>212</v>
      </c>
      <c r="N672" s="222" t="s">
        <v>212</v>
      </c>
      <c r="O672" s="222" t="s">
        <v>212</v>
      </c>
      <c r="P672" s="222" t="s">
        <v>212</v>
      </c>
      <c r="Q672" s="222" t="s">
        <v>212</v>
      </c>
      <c r="R672" s="222" t="s">
        <v>212</v>
      </c>
      <c r="S672" s="222" t="s">
        <v>212</v>
      </c>
      <c r="T672" s="531" t="s">
        <v>212</v>
      </c>
      <c r="U672" s="531"/>
      <c r="V672" s="222" t="s">
        <v>212</v>
      </c>
      <c r="W672" s="222" t="s">
        <v>212</v>
      </c>
      <c r="X672" s="531" t="s">
        <v>212</v>
      </c>
      <c r="Y672" s="531"/>
      <c r="Z672" s="222" t="s">
        <v>212</v>
      </c>
      <c r="AA672" s="222" t="s">
        <v>212</v>
      </c>
      <c r="AB672" s="222" t="s">
        <v>212</v>
      </c>
      <c r="AC672" s="215"/>
    </row>
    <row r="673" spans="1:29" ht="13.5" customHeight="1">
      <c r="A673" s="215"/>
      <c r="B673" s="532">
        <v>39411</v>
      </c>
      <c r="C673" s="532"/>
      <c r="D673" s="219" t="s">
        <v>212</v>
      </c>
      <c r="E673" s="224">
        <v>174.3</v>
      </c>
      <c r="F673" s="533">
        <v>24</v>
      </c>
      <c r="G673" s="533"/>
      <c r="H673" s="224">
        <v>0</v>
      </c>
      <c r="I673" s="533">
        <v>0</v>
      </c>
      <c r="J673" s="533"/>
      <c r="K673" s="224">
        <v>162.30000000000001</v>
      </c>
      <c r="L673" s="225">
        <v>24</v>
      </c>
      <c r="M673" s="224">
        <v>187</v>
      </c>
      <c r="N673" s="225">
        <v>24</v>
      </c>
      <c r="O673" s="226">
        <v>523.6</v>
      </c>
      <c r="P673" s="222" t="s">
        <v>212</v>
      </c>
      <c r="Q673" s="224">
        <v>0</v>
      </c>
      <c r="R673" s="225">
        <v>0</v>
      </c>
      <c r="S673" s="224">
        <v>0</v>
      </c>
      <c r="T673" s="533">
        <v>0</v>
      </c>
      <c r="U673" s="533"/>
      <c r="V673" s="224">
        <v>0</v>
      </c>
      <c r="W673" s="222" t="s">
        <v>212</v>
      </c>
      <c r="X673" s="534">
        <v>523.6</v>
      </c>
      <c r="Y673" s="534"/>
      <c r="Z673" s="222" t="s">
        <v>212</v>
      </c>
      <c r="AA673" s="227">
        <v>0</v>
      </c>
      <c r="AB673" s="228">
        <v>317194</v>
      </c>
      <c r="AC673" s="215"/>
    </row>
    <row r="674" spans="1:29" ht="2.25" customHeight="1">
      <c r="A674" s="215"/>
      <c r="B674" s="529" t="s">
        <v>212</v>
      </c>
      <c r="C674" s="529"/>
      <c r="D674" s="219" t="s">
        <v>212</v>
      </c>
      <c r="E674" s="222" t="s">
        <v>212</v>
      </c>
      <c r="F674" s="531" t="s">
        <v>212</v>
      </c>
      <c r="G674" s="531"/>
      <c r="H674" s="222" t="s">
        <v>212</v>
      </c>
      <c r="I674" s="531" t="s">
        <v>212</v>
      </c>
      <c r="J674" s="531"/>
      <c r="K674" s="222" t="s">
        <v>212</v>
      </c>
      <c r="L674" s="222" t="s">
        <v>212</v>
      </c>
      <c r="M674" s="222" t="s">
        <v>212</v>
      </c>
      <c r="N674" s="222" t="s">
        <v>212</v>
      </c>
      <c r="O674" s="222" t="s">
        <v>212</v>
      </c>
      <c r="P674" s="222" t="s">
        <v>212</v>
      </c>
      <c r="Q674" s="222" t="s">
        <v>212</v>
      </c>
      <c r="R674" s="222" t="s">
        <v>212</v>
      </c>
      <c r="S674" s="222" t="s">
        <v>212</v>
      </c>
      <c r="T674" s="531" t="s">
        <v>212</v>
      </c>
      <c r="U674" s="531"/>
      <c r="V674" s="222" t="s">
        <v>212</v>
      </c>
      <c r="W674" s="222" t="s">
        <v>212</v>
      </c>
      <c r="X674" s="531" t="s">
        <v>212</v>
      </c>
      <c r="Y674" s="531"/>
      <c r="Z674" s="222" t="s">
        <v>212</v>
      </c>
      <c r="AA674" s="222" t="s">
        <v>212</v>
      </c>
      <c r="AB674" s="222" t="s">
        <v>212</v>
      </c>
      <c r="AC674" s="215"/>
    </row>
    <row r="675" spans="1:29" ht="13.5" customHeight="1">
      <c r="A675" s="215"/>
      <c r="B675" s="535">
        <v>39412</v>
      </c>
      <c r="C675" s="535"/>
      <c r="D675" s="219" t="s">
        <v>212</v>
      </c>
      <c r="E675" s="229">
        <v>163</v>
      </c>
      <c r="F675" s="536">
        <v>24</v>
      </c>
      <c r="G675" s="536"/>
      <c r="H675" s="229">
        <v>0</v>
      </c>
      <c r="I675" s="536">
        <v>0</v>
      </c>
      <c r="J675" s="536"/>
      <c r="K675" s="229">
        <v>159.19999999999999</v>
      </c>
      <c r="L675" s="230">
        <v>24</v>
      </c>
      <c r="M675" s="229">
        <v>188</v>
      </c>
      <c r="N675" s="230">
        <v>24</v>
      </c>
      <c r="O675" s="231">
        <v>510.2</v>
      </c>
      <c r="P675" s="222" t="s">
        <v>212</v>
      </c>
      <c r="Q675" s="229">
        <v>0</v>
      </c>
      <c r="R675" s="230">
        <v>0</v>
      </c>
      <c r="S675" s="229">
        <v>0</v>
      </c>
      <c r="T675" s="536">
        <v>0</v>
      </c>
      <c r="U675" s="536"/>
      <c r="V675" s="229">
        <v>0</v>
      </c>
      <c r="W675" s="222" t="s">
        <v>212</v>
      </c>
      <c r="X675" s="530">
        <v>510.2</v>
      </c>
      <c r="Y675" s="530"/>
      <c r="Z675" s="222" t="s">
        <v>212</v>
      </c>
      <c r="AA675" s="232">
        <v>0</v>
      </c>
      <c r="AB675" s="233">
        <v>312551</v>
      </c>
      <c r="AC675" s="215"/>
    </row>
    <row r="676" spans="1:29" ht="2.25" customHeight="1">
      <c r="A676" s="215"/>
      <c r="B676" s="529" t="s">
        <v>212</v>
      </c>
      <c r="C676" s="529"/>
      <c r="D676" s="219" t="s">
        <v>212</v>
      </c>
      <c r="E676" s="222" t="s">
        <v>212</v>
      </c>
      <c r="F676" s="531" t="s">
        <v>212</v>
      </c>
      <c r="G676" s="531"/>
      <c r="H676" s="222" t="s">
        <v>212</v>
      </c>
      <c r="I676" s="531" t="s">
        <v>212</v>
      </c>
      <c r="J676" s="531"/>
      <c r="K676" s="222" t="s">
        <v>212</v>
      </c>
      <c r="L676" s="222" t="s">
        <v>212</v>
      </c>
      <c r="M676" s="222" t="s">
        <v>212</v>
      </c>
      <c r="N676" s="222" t="s">
        <v>212</v>
      </c>
      <c r="O676" s="222" t="s">
        <v>212</v>
      </c>
      <c r="P676" s="222" t="s">
        <v>212</v>
      </c>
      <c r="Q676" s="222" t="s">
        <v>212</v>
      </c>
      <c r="R676" s="222" t="s">
        <v>212</v>
      </c>
      <c r="S676" s="222" t="s">
        <v>212</v>
      </c>
      <c r="T676" s="531" t="s">
        <v>212</v>
      </c>
      <c r="U676" s="531"/>
      <c r="V676" s="222" t="s">
        <v>212</v>
      </c>
      <c r="W676" s="222" t="s">
        <v>212</v>
      </c>
      <c r="X676" s="531" t="s">
        <v>212</v>
      </c>
      <c r="Y676" s="531"/>
      <c r="Z676" s="222" t="s">
        <v>212</v>
      </c>
      <c r="AA676" s="222" t="s">
        <v>212</v>
      </c>
      <c r="AB676" s="222" t="s">
        <v>212</v>
      </c>
      <c r="AC676" s="215"/>
    </row>
    <row r="677" spans="1:29" ht="13.5" customHeight="1">
      <c r="A677" s="215"/>
      <c r="B677" s="532">
        <v>39413</v>
      </c>
      <c r="C677" s="532"/>
      <c r="D677" s="219" t="s">
        <v>212</v>
      </c>
      <c r="E677" s="224">
        <v>159.19999999999999</v>
      </c>
      <c r="F677" s="533">
        <v>24</v>
      </c>
      <c r="G677" s="533"/>
      <c r="H677" s="224">
        <v>0</v>
      </c>
      <c r="I677" s="533">
        <v>0</v>
      </c>
      <c r="J677" s="533"/>
      <c r="K677" s="224">
        <v>154.5</v>
      </c>
      <c r="L677" s="225">
        <v>24</v>
      </c>
      <c r="M677" s="224">
        <v>187</v>
      </c>
      <c r="N677" s="225">
        <v>24</v>
      </c>
      <c r="O677" s="226">
        <v>500.7</v>
      </c>
      <c r="P677" s="222" t="s">
        <v>212</v>
      </c>
      <c r="Q677" s="224">
        <v>0</v>
      </c>
      <c r="R677" s="225">
        <v>0</v>
      </c>
      <c r="S677" s="224">
        <v>0</v>
      </c>
      <c r="T677" s="533">
        <v>0</v>
      </c>
      <c r="U677" s="533"/>
      <c r="V677" s="224">
        <v>0</v>
      </c>
      <c r="W677" s="222" t="s">
        <v>212</v>
      </c>
      <c r="X677" s="534">
        <v>500.7</v>
      </c>
      <c r="Y677" s="534"/>
      <c r="Z677" s="222" t="s">
        <v>212</v>
      </c>
      <c r="AA677" s="227">
        <v>0</v>
      </c>
      <c r="AB677" s="228">
        <v>312634</v>
      </c>
      <c r="AC677" s="215"/>
    </row>
    <row r="678" spans="1:29" ht="2.25" customHeight="1">
      <c r="A678" s="215"/>
      <c r="B678" s="529" t="s">
        <v>212</v>
      </c>
      <c r="C678" s="529"/>
      <c r="D678" s="219" t="s">
        <v>212</v>
      </c>
      <c r="E678" s="222" t="s">
        <v>212</v>
      </c>
      <c r="F678" s="531" t="s">
        <v>212</v>
      </c>
      <c r="G678" s="531"/>
      <c r="H678" s="222" t="s">
        <v>212</v>
      </c>
      <c r="I678" s="531" t="s">
        <v>212</v>
      </c>
      <c r="J678" s="531"/>
      <c r="K678" s="222" t="s">
        <v>212</v>
      </c>
      <c r="L678" s="222" t="s">
        <v>212</v>
      </c>
      <c r="M678" s="222" t="s">
        <v>212</v>
      </c>
      <c r="N678" s="222" t="s">
        <v>212</v>
      </c>
      <c r="O678" s="222" t="s">
        <v>212</v>
      </c>
      <c r="P678" s="222" t="s">
        <v>212</v>
      </c>
      <c r="Q678" s="222" t="s">
        <v>212</v>
      </c>
      <c r="R678" s="222" t="s">
        <v>212</v>
      </c>
      <c r="S678" s="222" t="s">
        <v>212</v>
      </c>
      <c r="T678" s="531" t="s">
        <v>212</v>
      </c>
      <c r="U678" s="531"/>
      <c r="V678" s="222" t="s">
        <v>212</v>
      </c>
      <c r="W678" s="222" t="s">
        <v>212</v>
      </c>
      <c r="X678" s="531" t="s">
        <v>212</v>
      </c>
      <c r="Y678" s="531"/>
      <c r="Z678" s="222" t="s">
        <v>212</v>
      </c>
      <c r="AA678" s="222" t="s">
        <v>212</v>
      </c>
      <c r="AB678" s="222" t="s">
        <v>212</v>
      </c>
      <c r="AC678" s="215"/>
    </row>
    <row r="679" spans="1:29" ht="13.5" customHeight="1">
      <c r="A679" s="215"/>
      <c r="B679" s="535">
        <v>39414</v>
      </c>
      <c r="C679" s="535"/>
      <c r="D679" s="219" t="s">
        <v>212</v>
      </c>
      <c r="E679" s="229">
        <v>86.8</v>
      </c>
      <c r="F679" s="536">
        <v>24</v>
      </c>
      <c r="G679" s="536"/>
      <c r="H679" s="229">
        <v>0</v>
      </c>
      <c r="I679" s="536">
        <v>0</v>
      </c>
      <c r="J679" s="536"/>
      <c r="K679" s="229">
        <v>169.5</v>
      </c>
      <c r="L679" s="230">
        <v>24</v>
      </c>
      <c r="M679" s="229">
        <v>264</v>
      </c>
      <c r="N679" s="230">
        <v>24</v>
      </c>
      <c r="O679" s="231">
        <v>520.29999999999995</v>
      </c>
      <c r="P679" s="222" t="s">
        <v>212</v>
      </c>
      <c r="Q679" s="229">
        <v>0</v>
      </c>
      <c r="R679" s="230">
        <v>0</v>
      </c>
      <c r="S679" s="229">
        <v>0</v>
      </c>
      <c r="T679" s="536">
        <v>0</v>
      </c>
      <c r="U679" s="536"/>
      <c r="V679" s="229">
        <v>0</v>
      </c>
      <c r="W679" s="222" t="s">
        <v>212</v>
      </c>
      <c r="X679" s="530">
        <v>520.29999999999995</v>
      </c>
      <c r="Y679" s="530"/>
      <c r="Z679" s="222" t="s">
        <v>212</v>
      </c>
      <c r="AA679" s="232">
        <v>3250200</v>
      </c>
      <c r="AB679" s="233">
        <v>194055</v>
      </c>
      <c r="AC679" s="215"/>
    </row>
    <row r="680" spans="1:29" ht="2.25" customHeight="1">
      <c r="A680" s="215"/>
      <c r="B680" s="529" t="s">
        <v>212</v>
      </c>
      <c r="C680" s="529"/>
      <c r="D680" s="219" t="s">
        <v>212</v>
      </c>
      <c r="E680" s="222" t="s">
        <v>212</v>
      </c>
      <c r="F680" s="531" t="s">
        <v>212</v>
      </c>
      <c r="G680" s="531"/>
      <c r="H680" s="222" t="s">
        <v>212</v>
      </c>
      <c r="I680" s="531" t="s">
        <v>212</v>
      </c>
      <c r="J680" s="531"/>
      <c r="K680" s="222" t="s">
        <v>212</v>
      </c>
      <c r="L680" s="222" t="s">
        <v>212</v>
      </c>
      <c r="M680" s="222" t="s">
        <v>212</v>
      </c>
      <c r="N680" s="222" t="s">
        <v>212</v>
      </c>
      <c r="O680" s="222" t="s">
        <v>212</v>
      </c>
      <c r="P680" s="222" t="s">
        <v>212</v>
      </c>
      <c r="Q680" s="222" t="s">
        <v>212</v>
      </c>
      <c r="R680" s="222" t="s">
        <v>212</v>
      </c>
      <c r="S680" s="222" t="s">
        <v>212</v>
      </c>
      <c r="T680" s="531" t="s">
        <v>212</v>
      </c>
      <c r="U680" s="531"/>
      <c r="V680" s="222" t="s">
        <v>212</v>
      </c>
      <c r="W680" s="222" t="s">
        <v>212</v>
      </c>
      <c r="X680" s="531" t="s">
        <v>212</v>
      </c>
      <c r="Y680" s="531"/>
      <c r="Z680" s="222" t="s">
        <v>212</v>
      </c>
      <c r="AA680" s="222" t="s">
        <v>212</v>
      </c>
      <c r="AB680" s="222" t="s">
        <v>212</v>
      </c>
      <c r="AC680" s="215"/>
    </row>
    <row r="681" spans="1:29" ht="13.5" customHeight="1">
      <c r="A681" s="215"/>
      <c r="B681" s="532">
        <v>39415</v>
      </c>
      <c r="C681" s="532"/>
      <c r="D681" s="219" t="s">
        <v>212</v>
      </c>
      <c r="E681" s="224">
        <v>0</v>
      </c>
      <c r="F681" s="533">
        <v>18</v>
      </c>
      <c r="G681" s="533"/>
      <c r="H681" s="224">
        <v>124.6</v>
      </c>
      <c r="I681" s="533">
        <v>10</v>
      </c>
      <c r="J681" s="533"/>
      <c r="K681" s="224">
        <v>114.8</v>
      </c>
      <c r="L681" s="225">
        <v>24</v>
      </c>
      <c r="M681" s="224">
        <v>319</v>
      </c>
      <c r="N681" s="225">
        <v>24</v>
      </c>
      <c r="O681" s="226">
        <v>558.4</v>
      </c>
      <c r="P681" s="222" t="s">
        <v>212</v>
      </c>
      <c r="Q681" s="224">
        <v>0</v>
      </c>
      <c r="R681" s="225">
        <v>0</v>
      </c>
      <c r="S681" s="224">
        <v>0</v>
      </c>
      <c r="T681" s="533">
        <v>0</v>
      </c>
      <c r="U681" s="533"/>
      <c r="V681" s="224">
        <v>0</v>
      </c>
      <c r="W681" s="222" t="s">
        <v>212</v>
      </c>
      <c r="X681" s="534">
        <v>558.4</v>
      </c>
      <c r="Y681" s="534"/>
      <c r="Z681" s="222" t="s">
        <v>212</v>
      </c>
      <c r="AA681" s="227">
        <v>5914800</v>
      </c>
      <c r="AB681" s="228">
        <v>119684</v>
      </c>
      <c r="AC681" s="215"/>
    </row>
    <row r="682" spans="1:29" ht="2.25" customHeight="1">
      <c r="A682" s="215"/>
      <c r="B682" s="529" t="s">
        <v>212</v>
      </c>
      <c r="C682" s="529"/>
      <c r="D682" s="219" t="s">
        <v>212</v>
      </c>
      <c r="E682" s="222" t="s">
        <v>212</v>
      </c>
      <c r="F682" s="531" t="s">
        <v>212</v>
      </c>
      <c r="G682" s="531"/>
      <c r="H682" s="222" t="s">
        <v>212</v>
      </c>
      <c r="I682" s="531" t="s">
        <v>212</v>
      </c>
      <c r="J682" s="531"/>
      <c r="K682" s="222" t="s">
        <v>212</v>
      </c>
      <c r="L682" s="222" t="s">
        <v>212</v>
      </c>
      <c r="M682" s="222" t="s">
        <v>212</v>
      </c>
      <c r="N682" s="222" t="s">
        <v>212</v>
      </c>
      <c r="O682" s="222" t="s">
        <v>212</v>
      </c>
      <c r="P682" s="222" t="s">
        <v>212</v>
      </c>
      <c r="Q682" s="222" t="s">
        <v>212</v>
      </c>
      <c r="R682" s="222" t="s">
        <v>212</v>
      </c>
      <c r="S682" s="222" t="s">
        <v>212</v>
      </c>
      <c r="T682" s="531" t="s">
        <v>212</v>
      </c>
      <c r="U682" s="531"/>
      <c r="V682" s="222" t="s">
        <v>212</v>
      </c>
      <c r="W682" s="222" t="s">
        <v>212</v>
      </c>
      <c r="X682" s="531" t="s">
        <v>212</v>
      </c>
      <c r="Y682" s="531"/>
      <c r="Z682" s="222" t="s">
        <v>212</v>
      </c>
      <c r="AA682" s="222" t="s">
        <v>212</v>
      </c>
      <c r="AB682" s="222" t="s">
        <v>212</v>
      </c>
      <c r="AC682" s="215"/>
    </row>
    <row r="683" spans="1:29" ht="13.5" customHeight="1">
      <c r="A683" s="215"/>
      <c r="B683" s="535">
        <v>39416</v>
      </c>
      <c r="C683" s="535"/>
      <c r="D683" s="219" t="s">
        <v>212</v>
      </c>
      <c r="E683" s="229">
        <v>0</v>
      </c>
      <c r="F683" s="536">
        <v>0</v>
      </c>
      <c r="G683" s="536"/>
      <c r="H683" s="229">
        <v>164.9</v>
      </c>
      <c r="I683" s="536">
        <v>24</v>
      </c>
      <c r="J683" s="536"/>
      <c r="K683" s="229">
        <v>80.8</v>
      </c>
      <c r="L683" s="230">
        <v>24</v>
      </c>
      <c r="M683" s="229">
        <v>383</v>
      </c>
      <c r="N683" s="230">
        <v>24</v>
      </c>
      <c r="O683" s="231">
        <v>628.70000000000005</v>
      </c>
      <c r="P683" s="222" t="s">
        <v>212</v>
      </c>
      <c r="Q683" s="229">
        <v>0</v>
      </c>
      <c r="R683" s="230">
        <v>0</v>
      </c>
      <c r="S683" s="229">
        <v>0</v>
      </c>
      <c r="T683" s="536">
        <v>0</v>
      </c>
      <c r="U683" s="536"/>
      <c r="V683" s="229">
        <v>0</v>
      </c>
      <c r="W683" s="222" t="s">
        <v>212</v>
      </c>
      <c r="X683" s="530">
        <v>628.70000000000005</v>
      </c>
      <c r="Y683" s="530"/>
      <c r="Z683" s="222" t="s">
        <v>212</v>
      </c>
      <c r="AA683" s="232">
        <v>4916000</v>
      </c>
      <c r="AB683" s="233">
        <v>159331</v>
      </c>
      <c r="AC683" s="215"/>
    </row>
    <row r="684" spans="1:29" ht="2.25" customHeight="1">
      <c r="A684" s="215"/>
      <c r="B684" s="529" t="s">
        <v>212</v>
      </c>
      <c r="C684" s="529"/>
      <c r="D684" s="219" t="s">
        <v>212</v>
      </c>
      <c r="E684" s="222" t="s">
        <v>212</v>
      </c>
      <c r="F684" s="531" t="s">
        <v>212</v>
      </c>
      <c r="G684" s="531"/>
      <c r="H684" s="222" t="s">
        <v>212</v>
      </c>
      <c r="I684" s="531" t="s">
        <v>212</v>
      </c>
      <c r="J684" s="531"/>
      <c r="K684" s="222" t="s">
        <v>212</v>
      </c>
      <c r="L684" s="222" t="s">
        <v>212</v>
      </c>
      <c r="M684" s="222" t="s">
        <v>212</v>
      </c>
      <c r="N684" s="222" t="s">
        <v>212</v>
      </c>
      <c r="O684" s="222" t="s">
        <v>212</v>
      </c>
      <c r="P684" s="222" t="s">
        <v>212</v>
      </c>
      <c r="Q684" s="222" t="s">
        <v>212</v>
      </c>
      <c r="R684" s="222" t="s">
        <v>212</v>
      </c>
      <c r="S684" s="222" t="s">
        <v>212</v>
      </c>
      <c r="T684" s="531" t="s">
        <v>212</v>
      </c>
      <c r="U684" s="531"/>
      <c r="V684" s="222" t="s">
        <v>212</v>
      </c>
      <c r="W684" s="222" t="s">
        <v>212</v>
      </c>
      <c r="X684" s="531" t="s">
        <v>212</v>
      </c>
      <c r="Y684" s="531"/>
      <c r="Z684" s="222" t="s">
        <v>212</v>
      </c>
      <c r="AA684" s="222" t="s">
        <v>212</v>
      </c>
      <c r="AB684" s="222" t="s">
        <v>212</v>
      </c>
      <c r="AC684" s="215"/>
    </row>
    <row r="685" spans="1:29" ht="13.5" customHeight="1">
      <c r="A685" s="215"/>
      <c r="B685" s="532">
        <v>39417</v>
      </c>
      <c r="C685" s="532"/>
      <c r="D685" s="219" t="s">
        <v>212</v>
      </c>
      <c r="E685" s="224">
        <v>0</v>
      </c>
      <c r="F685" s="533">
        <v>0</v>
      </c>
      <c r="G685" s="533"/>
      <c r="H685" s="224">
        <v>0</v>
      </c>
      <c r="I685" s="533">
        <v>24</v>
      </c>
      <c r="J685" s="533"/>
      <c r="K685" s="224">
        <v>152.9</v>
      </c>
      <c r="L685" s="225">
        <v>24</v>
      </c>
      <c r="M685" s="224">
        <v>394</v>
      </c>
      <c r="N685" s="225">
        <v>24</v>
      </c>
      <c r="O685" s="226">
        <v>546.9</v>
      </c>
      <c r="P685" s="222" t="s">
        <v>212</v>
      </c>
      <c r="Q685" s="224">
        <v>0</v>
      </c>
      <c r="R685" s="225">
        <v>0</v>
      </c>
      <c r="S685" s="224">
        <v>0</v>
      </c>
      <c r="T685" s="533">
        <v>0</v>
      </c>
      <c r="U685" s="533"/>
      <c r="V685" s="224">
        <v>0</v>
      </c>
      <c r="W685" s="222" t="s">
        <v>212</v>
      </c>
      <c r="X685" s="534">
        <v>546.9</v>
      </c>
      <c r="Y685" s="534"/>
      <c r="Z685" s="222" t="s">
        <v>212</v>
      </c>
      <c r="AA685" s="227">
        <v>4935400</v>
      </c>
      <c r="AB685" s="228">
        <v>137260</v>
      </c>
      <c r="AC685" s="215"/>
    </row>
    <row r="686" spans="1:29" ht="2.25" customHeight="1">
      <c r="A686" s="215"/>
      <c r="B686" s="529" t="s">
        <v>212</v>
      </c>
      <c r="C686" s="529"/>
      <c r="D686" s="219" t="s">
        <v>212</v>
      </c>
      <c r="E686" s="222" t="s">
        <v>212</v>
      </c>
      <c r="F686" s="531" t="s">
        <v>212</v>
      </c>
      <c r="G686" s="531"/>
      <c r="H686" s="222" t="s">
        <v>212</v>
      </c>
      <c r="I686" s="531" t="s">
        <v>212</v>
      </c>
      <c r="J686" s="531"/>
      <c r="K686" s="222" t="s">
        <v>212</v>
      </c>
      <c r="L686" s="222" t="s">
        <v>212</v>
      </c>
      <c r="M686" s="222" t="s">
        <v>212</v>
      </c>
      <c r="N686" s="222" t="s">
        <v>212</v>
      </c>
      <c r="O686" s="222" t="s">
        <v>212</v>
      </c>
      <c r="P686" s="222" t="s">
        <v>212</v>
      </c>
      <c r="Q686" s="222" t="s">
        <v>212</v>
      </c>
      <c r="R686" s="222" t="s">
        <v>212</v>
      </c>
      <c r="S686" s="222" t="s">
        <v>212</v>
      </c>
      <c r="T686" s="531" t="s">
        <v>212</v>
      </c>
      <c r="U686" s="531"/>
      <c r="V686" s="222" t="s">
        <v>212</v>
      </c>
      <c r="W686" s="222" t="s">
        <v>212</v>
      </c>
      <c r="X686" s="531" t="s">
        <v>212</v>
      </c>
      <c r="Y686" s="531"/>
      <c r="Z686" s="222" t="s">
        <v>212</v>
      </c>
      <c r="AA686" s="222" t="s">
        <v>212</v>
      </c>
      <c r="AB686" s="222" t="s">
        <v>212</v>
      </c>
      <c r="AC686" s="215"/>
    </row>
    <row r="687" spans="1:29" ht="13.5" customHeight="1">
      <c r="A687" s="215"/>
      <c r="B687" s="535">
        <v>39418</v>
      </c>
      <c r="C687" s="535"/>
      <c r="D687" s="219" t="s">
        <v>212</v>
      </c>
      <c r="E687" s="229">
        <v>0</v>
      </c>
      <c r="F687" s="536">
        <v>0</v>
      </c>
      <c r="G687" s="536"/>
      <c r="H687" s="229">
        <v>13.8</v>
      </c>
      <c r="I687" s="536">
        <v>1</v>
      </c>
      <c r="J687" s="536"/>
      <c r="K687" s="229">
        <v>181.5</v>
      </c>
      <c r="L687" s="230">
        <v>24</v>
      </c>
      <c r="M687" s="229">
        <v>368</v>
      </c>
      <c r="N687" s="230">
        <v>24</v>
      </c>
      <c r="O687" s="231">
        <v>563.29999999999995</v>
      </c>
      <c r="P687" s="222" t="s">
        <v>212</v>
      </c>
      <c r="Q687" s="229">
        <v>0</v>
      </c>
      <c r="R687" s="230">
        <v>0</v>
      </c>
      <c r="S687" s="229">
        <v>0</v>
      </c>
      <c r="T687" s="536">
        <v>0</v>
      </c>
      <c r="U687" s="536"/>
      <c r="V687" s="229">
        <v>0</v>
      </c>
      <c r="W687" s="222" t="s">
        <v>212</v>
      </c>
      <c r="X687" s="530">
        <v>563.29999999999995</v>
      </c>
      <c r="Y687" s="530"/>
      <c r="Z687" s="222" t="s">
        <v>212</v>
      </c>
      <c r="AA687" s="232">
        <v>4923600</v>
      </c>
      <c r="AB687" s="233">
        <v>141959</v>
      </c>
      <c r="AC687" s="215"/>
    </row>
    <row r="688" spans="1:29" ht="2.25" customHeight="1">
      <c r="A688" s="215"/>
      <c r="B688" s="529" t="s">
        <v>212</v>
      </c>
      <c r="C688" s="529"/>
      <c r="D688" s="219" t="s">
        <v>212</v>
      </c>
      <c r="E688" s="222" t="s">
        <v>212</v>
      </c>
      <c r="F688" s="531" t="s">
        <v>212</v>
      </c>
      <c r="G688" s="531"/>
      <c r="H688" s="222" t="s">
        <v>212</v>
      </c>
      <c r="I688" s="531" t="s">
        <v>212</v>
      </c>
      <c r="J688" s="531"/>
      <c r="K688" s="222" t="s">
        <v>212</v>
      </c>
      <c r="L688" s="222" t="s">
        <v>212</v>
      </c>
      <c r="M688" s="222" t="s">
        <v>212</v>
      </c>
      <c r="N688" s="222" t="s">
        <v>212</v>
      </c>
      <c r="O688" s="222" t="s">
        <v>212</v>
      </c>
      <c r="P688" s="222" t="s">
        <v>212</v>
      </c>
      <c r="Q688" s="222" t="s">
        <v>212</v>
      </c>
      <c r="R688" s="222" t="s">
        <v>212</v>
      </c>
      <c r="S688" s="222" t="s">
        <v>212</v>
      </c>
      <c r="T688" s="531" t="s">
        <v>212</v>
      </c>
      <c r="U688" s="531"/>
      <c r="V688" s="222" t="s">
        <v>212</v>
      </c>
      <c r="W688" s="222" t="s">
        <v>212</v>
      </c>
      <c r="X688" s="531" t="s">
        <v>212</v>
      </c>
      <c r="Y688" s="531"/>
      <c r="Z688" s="222" t="s">
        <v>212</v>
      </c>
      <c r="AA688" s="222" t="s">
        <v>212</v>
      </c>
      <c r="AB688" s="222" t="s">
        <v>212</v>
      </c>
      <c r="AC688" s="215"/>
    </row>
    <row r="689" spans="1:29" ht="13.5" customHeight="1">
      <c r="A689" s="215"/>
      <c r="B689" s="532">
        <v>39419</v>
      </c>
      <c r="C689" s="532"/>
      <c r="D689" s="219" t="s">
        <v>212</v>
      </c>
      <c r="E689" s="224">
        <v>0</v>
      </c>
      <c r="F689" s="533">
        <v>0</v>
      </c>
      <c r="G689" s="533"/>
      <c r="H689" s="224">
        <v>175.6</v>
      </c>
      <c r="I689" s="533">
        <v>24</v>
      </c>
      <c r="J689" s="533"/>
      <c r="K689" s="224">
        <v>0</v>
      </c>
      <c r="L689" s="225">
        <v>0</v>
      </c>
      <c r="M689" s="224">
        <v>374</v>
      </c>
      <c r="N689" s="225">
        <v>24</v>
      </c>
      <c r="O689" s="226">
        <v>549.6</v>
      </c>
      <c r="P689" s="222" t="s">
        <v>212</v>
      </c>
      <c r="Q689" s="224">
        <v>0</v>
      </c>
      <c r="R689" s="225">
        <v>0</v>
      </c>
      <c r="S689" s="224">
        <v>0</v>
      </c>
      <c r="T689" s="533">
        <v>0</v>
      </c>
      <c r="U689" s="533"/>
      <c r="V689" s="224">
        <v>0</v>
      </c>
      <c r="W689" s="222" t="s">
        <v>212</v>
      </c>
      <c r="X689" s="534">
        <v>549.6</v>
      </c>
      <c r="Y689" s="534"/>
      <c r="Z689" s="222" t="s">
        <v>212</v>
      </c>
      <c r="AA689" s="227">
        <v>0</v>
      </c>
      <c r="AB689" s="228">
        <v>308519</v>
      </c>
      <c r="AC689" s="215"/>
    </row>
    <row r="690" spans="1:29" ht="2.25" customHeight="1">
      <c r="A690" s="215"/>
      <c r="B690" s="529" t="s">
        <v>212</v>
      </c>
      <c r="C690" s="529"/>
      <c r="D690" s="219" t="s">
        <v>212</v>
      </c>
      <c r="E690" s="222" t="s">
        <v>212</v>
      </c>
      <c r="F690" s="531" t="s">
        <v>212</v>
      </c>
      <c r="G690" s="531"/>
      <c r="H690" s="222" t="s">
        <v>212</v>
      </c>
      <c r="I690" s="531" t="s">
        <v>212</v>
      </c>
      <c r="J690" s="531"/>
      <c r="K690" s="222" t="s">
        <v>212</v>
      </c>
      <c r="L690" s="222" t="s">
        <v>212</v>
      </c>
      <c r="M690" s="222" t="s">
        <v>212</v>
      </c>
      <c r="N690" s="222" t="s">
        <v>212</v>
      </c>
      <c r="O690" s="222" t="s">
        <v>212</v>
      </c>
      <c r="P690" s="222" t="s">
        <v>212</v>
      </c>
      <c r="Q690" s="222" t="s">
        <v>212</v>
      </c>
      <c r="R690" s="222" t="s">
        <v>212</v>
      </c>
      <c r="S690" s="222" t="s">
        <v>212</v>
      </c>
      <c r="T690" s="531" t="s">
        <v>212</v>
      </c>
      <c r="U690" s="531"/>
      <c r="V690" s="222" t="s">
        <v>212</v>
      </c>
      <c r="W690" s="222" t="s">
        <v>212</v>
      </c>
      <c r="X690" s="531" t="s">
        <v>212</v>
      </c>
      <c r="Y690" s="531"/>
      <c r="Z690" s="222" t="s">
        <v>212</v>
      </c>
      <c r="AA690" s="222" t="s">
        <v>212</v>
      </c>
      <c r="AB690" s="222" t="s">
        <v>212</v>
      </c>
      <c r="AC690" s="215"/>
    </row>
    <row r="691" spans="1:29" ht="13.5" customHeight="1">
      <c r="A691" s="215"/>
      <c r="B691" s="535">
        <v>39420</v>
      </c>
      <c r="C691" s="535"/>
      <c r="D691" s="219" t="s">
        <v>212</v>
      </c>
      <c r="E691" s="229">
        <v>57.2</v>
      </c>
      <c r="F691" s="536">
        <v>13</v>
      </c>
      <c r="G691" s="536"/>
      <c r="H691" s="229">
        <v>67</v>
      </c>
      <c r="I691" s="536">
        <v>16</v>
      </c>
      <c r="J691" s="536"/>
      <c r="K691" s="229">
        <v>0</v>
      </c>
      <c r="L691" s="230">
        <v>0</v>
      </c>
      <c r="M691" s="229">
        <v>347</v>
      </c>
      <c r="N691" s="230">
        <v>22</v>
      </c>
      <c r="O691" s="231">
        <v>471.2</v>
      </c>
      <c r="P691" s="222" t="s">
        <v>212</v>
      </c>
      <c r="Q691" s="229">
        <v>0</v>
      </c>
      <c r="R691" s="230">
        <v>0</v>
      </c>
      <c r="S691" s="229">
        <v>0</v>
      </c>
      <c r="T691" s="536">
        <v>0</v>
      </c>
      <c r="U691" s="536"/>
      <c r="V691" s="229">
        <v>0</v>
      </c>
      <c r="W691" s="222" t="s">
        <v>212</v>
      </c>
      <c r="X691" s="530">
        <v>471.2</v>
      </c>
      <c r="Y691" s="530"/>
      <c r="Z691" s="222" t="s">
        <v>212</v>
      </c>
      <c r="AA691" s="232">
        <v>0</v>
      </c>
      <c r="AB691" s="233">
        <v>247053</v>
      </c>
      <c r="AC691" s="215"/>
    </row>
    <row r="692" spans="1:29" ht="2.25" customHeight="1">
      <c r="A692" s="215"/>
      <c r="B692" s="529" t="s">
        <v>212</v>
      </c>
      <c r="C692" s="529"/>
      <c r="D692" s="219" t="s">
        <v>212</v>
      </c>
      <c r="E692" s="222" t="s">
        <v>212</v>
      </c>
      <c r="F692" s="531" t="s">
        <v>212</v>
      </c>
      <c r="G692" s="531"/>
      <c r="H692" s="222" t="s">
        <v>212</v>
      </c>
      <c r="I692" s="531" t="s">
        <v>212</v>
      </c>
      <c r="J692" s="531"/>
      <c r="K692" s="222" t="s">
        <v>212</v>
      </c>
      <c r="L692" s="222" t="s">
        <v>212</v>
      </c>
      <c r="M692" s="222" t="s">
        <v>212</v>
      </c>
      <c r="N692" s="222" t="s">
        <v>212</v>
      </c>
      <c r="O692" s="222" t="s">
        <v>212</v>
      </c>
      <c r="P692" s="222" t="s">
        <v>212</v>
      </c>
      <c r="Q692" s="222" t="s">
        <v>212</v>
      </c>
      <c r="R692" s="222" t="s">
        <v>212</v>
      </c>
      <c r="S692" s="222" t="s">
        <v>212</v>
      </c>
      <c r="T692" s="531" t="s">
        <v>212</v>
      </c>
      <c r="U692" s="531"/>
      <c r="V692" s="222" t="s">
        <v>212</v>
      </c>
      <c r="W692" s="222" t="s">
        <v>212</v>
      </c>
      <c r="X692" s="531" t="s">
        <v>212</v>
      </c>
      <c r="Y692" s="531"/>
      <c r="Z692" s="222" t="s">
        <v>212</v>
      </c>
      <c r="AA692" s="222" t="s">
        <v>212</v>
      </c>
      <c r="AB692" s="222" t="s">
        <v>212</v>
      </c>
      <c r="AC692" s="215"/>
    </row>
    <row r="693" spans="1:29" ht="13.5" customHeight="1">
      <c r="A693" s="215"/>
      <c r="B693" s="532">
        <v>39421</v>
      </c>
      <c r="C693" s="532"/>
      <c r="D693" s="219" t="s">
        <v>212</v>
      </c>
      <c r="E693" s="224">
        <v>240.2</v>
      </c>
      <c r="F693" s="533">
        <v>24</v>
      </c>
      <c r="G693" s="533"/>
      <c r="H693" s="224">
        <v>274.7</v>
      </c>
      <c r="I693" s="533">
        <v>24</v>
      </c>
      <c r="J693" s="533"/>
      <c r="K693" s="224">
        <v>0</v>
      </c>
      <c r="L693" s="225">
        <v>0</v>
      </c>
      <c r="M693" s="224">
        <v>0</v>
      </c>
      <c r="N693" s="225">
        <v>0</v>
      </c>
      <c r="O693" s="226">
        <v>514.9</v>
      </c>
      <c r="P693" s="222" t="s">
        <v>212</v>
      </c>
      <c r="Q693" s="224">
        <v>0</v>
      </c>
      <c r="R693" s="225">
        <v>0</v>
      </c>
      <c r="S693" s="224">
        <v>0</v>
      </c>
      <c r="T693" s="533">
        <v>0</v>
      </c>
      <c r="U693" s="533"/>
      <c r="V693" s="224">
        <v>0</v>
      </c>
      <c r="W693" s="222" t="s">
        <v>212</v>
      </c>
      <c r="X693" s="534">
        <v>514.9</v>
      </c>
      <c r="Y693" s="534"/>
      <c r="Z693" s="222" t="s">
        <v>212</v>
      </c>
      <c r="AA693" s="227">
        <v>0</v>
      </c>
      <c r="AB693" s="228">
        <v>271355</v>
      </c>
      <c r="AC693" s="215"/>
    </row>
    <row r="694" spans="1:29" ht="2.25" customHeight="1">
      <c r="A694" s="215"/>
      <c r="B694" s="529" t="s">
        <v>212</v>
      </c>
      <c r="C694" s="529"/>
      <c r="D694" s="219" t="s">
        <v>212</v>
      </c>
      <c r="E694" s="222" t="s">
        <v>212</v>
      </c>
      <c r="F694" s="531" t="s">
        <v>212</v>
      </c>
      <c r="G694" s="531"/>
      <c r="H694" s="222" t="s">
        <v>212</v>
      </c>
      <c r="I694" s="531" t="s">
        <v>212</v>
      </c>
      <c r="J694" s="531"/>
      <c r="K694" s="222" t="s">
        <v>212</v>
      </c>
      <c r="L694" s="222" t="s">
        <v>212</v>
      </c>
      <c r="M694" s="222" t="s">
        <v>212</v>
      </c>
      <c r="N694" s="222" t="s">
        <v>212</v>
      </c>
      <c r="O694" s="222" t="s">
        <v>212</v>
      </c>
      <c r="P694" s="222" t="s">
        <v>212</v>
      </c>
      <c r="Q694" s="222" t="s">
        <v>212</v>
      </c>
      <c r="R694" s="222" t="s">
        <v>212</v>
      </c>
      <c r="S694" s="222" t="s">
        <v>212</v>
      </c>
      <c r="T694" s="531" t="s">
        <v>212</v>
      </c>
      <c r="U694" s="531"/>
      <c r="V694" s="222" t="s">
        <v>212</v>
      </c>
      <c r="W694" s="222" t="s">
        <v>212</v>
      </c>
      <c r="X694" s="531" t="s">
        <v>212</v>
      </c>
      <c r="Y694" s="531"/>
      <c r="Z694" s="222" t="s">
        <v>212</v>
      </c>
      <c r="AA694" s="222" t="s">
        <v>212</v>
      </c>
      <c r="AB694" s="222" t="s">
        <v>212</v>
      </c>
      <c r="AC694" s="215"/>
    </row>
    <row r="695" spans="1:29" ht="13.5" customHeight="1">
      <c r="A695" s="215"/>
      <c r="B695" s="535">
        <v>39422</v>
      </c>
      <c r="C695" s="535"/>
      <c r="D695" s="219" t="s">
        <v>212</v>
      </c>
      <c r="E695" s="229">
        <v>282.10000000000002</v>
      </c>
      <c r="F695" s="536">
        <v>24</v>
      </c>
      <c r="G695" s="536"/>
      <c r="H695" s="229">
        <v>321.2</v>
      </c>
      <c r="I695" s="536">
        <v>24</v>
      </c>
      <c r="J695" s="536"/>
      <c r="K695" s="229">
        <v>3.2</v>
      </c>
      <c r="L695" s="230">
        <v>1</v>
      </c>
      <c r="M695" s="229">
        <v>0</v>
      </c>
      <c r="N695" s="230">
        <v>0</v>
      </c>
      <c r="O695" s="231">
        <v>606.5</v>
      </c>
      <c r="P695" s="222" t="s">
        <v>212</v>
      </c>
      <c r="Q695" s="229">
        <v>0</v>
      </c>
      <c r="R695" s="230">
        <v>0</v>
      </c>
      <c r="S695" s="229">
        <v>0</v>
      </c>
      <c r="T695" s="536">
        <v>0</v>
      </c>
      <c r="U695" s="536"/>
      <c r="V695" s="229">
        <v>0</v>
      </c>
      <c r="W695" s="222" t="s">
        <v>212</v>
      </c>
      <c r="X695" s="530">
        <v>606.5</v>
      </c>
      <c r="Y695" s="530"/>
      <c r="Z695" s="222" t="s">
        <v>212</v>
      </c>
      <c r="AA695" s="232">
        <v>3839600</v>
      </c>
      <c r="AB695" s="233">
        <v>169105</v>
      </c>
      <c r="AC695" s="215"/>
    </row>
    <row r="696" spans="1:29" ht="2.25" customHeight="1">
      <c r="A696" s="215"/>
      <c r="B696" s="529" t="s">
        <v>212</v>
      </c>
      <c r="C696" s="529"/>
      <c r="D696" s="219" t="s">
        <v>212</v>
      </c>
      <c r="E696" s="222" t="s">
        <v>212</v>
      </c>
      <c r="F696" s="531" t="s">
        <v>212</v>
      </c>
      <c r="G696" s="531"/>
      <c r="H696" s="222" t="s">
        <v>212</v>
      </c>
      <c r="I696" s="531" t="s">
        <v>212</v>
      </c>
      <c r="J696" s="531"/>
      <c r="K696" s="222" t="s">
        <v>212</v>
      </c>
      <c r="L696" s="222" t="s">
        <v>212</v>
      </c>
      <c r="M696" s="222" t="s">
        <v>212</v>
      </c>
      <c r="N696" s="222" t="s">
        <v>212</v>
      </c>
      <c r="O696" s="222" t="s">
        <v>212</v>
      </c>
      <c r="P696" s="222" t="s">
        <v>212</v>
      </c>
      <c r="Q696" s="222" t="s">
        <v>212</v>
      </c>
      <c r="R696" s="222" t="s">
        <v>212</v>
      </c>
      <c r="S696" s="222" t="s">
        <v>212</v>
      </c>
      <c r="T696" s="531" t="s">
        <v>212</v>
      </c>
      <c r="U696" s="531"/>
      <c r="V696" s="222" t="s">
        <v>212</v>
      </c>
      <c r="W696" s="222" t="s">
        <v>212</v>
      </c>
      <c r="X696" s="531" t="s">
        <v>212</v>
      </c>
      <c r="Y696" s="531"/>
      <c r="Z696" s="222" t="s">
        <v>212</v>
      </c>
      <c r="AA696" s="222" t="s">
        <v>212</v>
      </c>
      <c r="AB696" s="222" t="s">
        <v>212</v>
      </c>
      <c r="AC696" s="215"/>
    </row>
    <row r="697" spans="1:29" ht="13.5" customHeight="1">
      <c r="A697" s="215"/>
      <c r="B697" s="532">
        <v>39423</v>
      </c>
      <c r="C697" s="532"/>
      <c r="D697" s="219" t="s">
        <v>212</v>
      </c>
      <c r="E697" s="224">
        <v>295.5</v>
      </c>
      <c r="F697" s="533">
        <v>24</v>
      </c>
      <c r="G697" s="533"/>
      <c r="H697" s="224">
        <v>375.2</v>
      </c>
      <c r="I697" s="533">
        <v>24</v>
      </c>
      <c r="J697" s="533"/>
      <c r="K697" s="224">
        <v>0</v>
      </c>
      <c r="L697" s="225">
        <v>0</v>
      </c>
      <c r="M697" s="224">
        <v>0</v>
      </c>
      <c r="N697" s="225">
        <v>0</v>
      </c>
      <c r="O697" s="226">
        <v>670.7</v>
      </c>
      <c r="P697" s="222" t="s">
        <v>212</v>
      </c>
      <c r="Q697" s="224">
        <v>0</v>
      </c>
      <c r="R697" s="225">
        <v>0</v>
      </c>
      <c r="S697" s="224">
        <v>0</v>
      </c>
      <c r="T697" s="533">
        <v>0</v>
      </c>
      <c r="U697" s="533"/>
      <c r="V697" s="224">
        <v>0</v>
      </c>
      <c r="W697" s="222" t="s">
        <v>212</v>
      </c>
      <c r="X697" s="534">
        <v>670.7</v>
      </c>
      <c r="Y697" s="534"/>
      <c r="Z697" s="222" t="s">
        <v>212</v>
      </c>
      <c r="AA697" s="227">
        <v>9074600</v>
      </c>
      <c r="AB697" s="228">
        <v>0</v>
      </c>
      <c r="AC697" s="215"/>
    </row>
    <row r="698" spans="1:29" ht="2.25" customHeight="1">
      <c r="A698" s="215"/>
      <c r="B698" s="529" t="s">
        <v>212</v>
      </c>
      <c r="C698" s="529"/>
      <c r="D698" s="219" t="s">
        <v>212</v>
      </c>
      <c r="E698" s="222" t="s">
        <v>212</v>
      </c>
      <c r="F698" s="531" t="s">
        <v>212</v>
      </c>
      <c r="G698" s="531"/>
      <c r="H698" s="222" t="s">
        <v>212</v>
      </c>
      <c r="I698" s="531" t="s">
        <v>212</v>
      </c>
      <c r="J698" s="531"/>
      <c r="K698" s="222" t="s">
        <v>212</v>
      </c>
      <c r="L698" s="222" t="s">
        <v>212</v>
      </c>
      <c r="M698" s="222" t="s">
        <v>212</v>
      </c>
      <c r="N698" s="222" t="s">
        <v>212</v>
      </c>
      <c r="O698" s="222" t="s">
        <v>212</v>
      </c>
      <c r="P698" s="222" t="s">
        <v>212</v>
      </c>
      <c r="Q698" s="222" t="s">
        <v>212</v>
      </c>
      <c r="R698" s="222" t="s">
        <v>212</v>
      </c>
      <c r="S698" s="222" t="s">
        <v>212</v>
      </c>
      <c r="T698" s="531" t="s">
        <v>212</v>
      </c>
      <c r="U698" s="531"/>
      <c r="V698" s="222" t="s">
        <v>212</v>
      </c>
      <c r="W698" s="222" t="s">
        <v>212</v>
      </c>
      <c r="X698" s="531" t="s">
        <v>212</v>
      </c>
      <c r="Y698" s="531"/>
      <c r="Z698" s="222" t="s">
        <v>212</v>
      </c>
      <c r="AA698" s="222" t="s">
        <v>212</v>
      </c>
      <c r="AB698" s="222" t="s">
        <v>212</v>
      </c>
      <c r="AC698" s="215"/>
    </row>
    <row r="699" spans="1:29" ht="13.5" customHeight="1">
      <c r="A699" s="215"/>
      <c r="B699" s="535">
        <v>39424</v>
      </c>
      <c r="C699" s="535"/>
      <c r="D699" s="219" t="s">
        <v>212</v>
      </c>
      <c r="E699" s="229">
        <v>260.5</v>
      </c>
      <c r="F699" s="536">
        <v>24</v>
      </c>
      <c r="G699" s="536"/>
      <c r="H699" s="229">
        <v>345.8</v>
      </c>
      <c r="I699" s="536">
        <v>24</v>
      </c>
      <c r="J699" s="536"/>
      <c r="K699" s="229">
        <v>0</v>
      </c>
      <c r="L699" s="230">
        <v>0</v>
      </c>
      <c r="M699" s="229">
        <v>0</v>
      </c>
      <c r="N699" s="230">
        <v>0</v>
      </c>
      <c r="O699" s="231">
        <v>606.29999999999995</v>
      </c>
      <c r="P699" s="222" t="s">
        <v>212</v>
      </c>
      <c r="Q699" s="229">
        <v>0</v>
      </c>
      <c r="R699" s="230">
        <v>0</v>
      </c>
      <c r="S699" s="229">
        <v>0</v>
      </c>
      <c r="T699" s="536">
        <v>0</v>
      </c>
      <c r="U699" s="536"/>
      <c r="V699" s="229">
        <v>0</v>
      </c>
      <c r="W699" s="222" t="s">
        <v>212</v>
      </c>
      <c r="X699" s="530">
        <v>606.29999999999995</v>
      </c>
      <c r="Y699" s="530"/>
      <c r="Z699" s="222" t="s">
        <v>212</v>
      </c>
      <c r="AA699" s="232">
        <v>8422584</v>
      </c>
      <c r="AB699" s="233">
        <v>0</v>
      </c>
      <c r="AC699" s="215"/>
    </row>
    <row r="700" spans="1:29" ht="2.25" customHeight="1">
      <c r="A700" s="215"/>
      <c r="B700" s="529" t="s">
        <v>212</v>
      </c>
      <c r="C700" s="529"/>
      <c r="D700" s="219" t="s">
        <v>212</v>
      </c>
      <c r="E700" s="222" t="s">
        <v>212</v>
      </c>
      <c r="F700" s="531" t="s">
        <v>212</v>
      </c>
      <c r="G700" s="531"/>
      <c r="H700" s="222" t="s">
        <v>212</v>
      </c>
      <c r="I700" s="531" t="s">
        <v>212</v>
      </c>
      <c r="J700" s="531"/>
      <c r="K700" s="222" t="s">
        <v>212</v>
      </c>
      <c r="L700" s="222" t="s">
        <v>212</v>
      </c>
      <c r="M700" s="222" t="s">
        <v>212</v>
      </c>
      <c r="N700" s="222" t="s">
        <v>212</v>
      </c>
      <c r="O700" s="222" t="s">
        <v>212</v>
      </c>
      <c r="P700" s="222" t="s">
        <v>212</v>
      </c>
      <c r="Q700" s="222" t="s">
        <v>212</v>
      </c>
      <c r="R700" s="222" t="s">
        <v>212</v>
      </c>
      <c r="S700" s="222" t="s">
        <v>212</v>
      </c>
      <c r="T700" s="531" t="s">
        <v>212</v>
      </c>
      <c r="U700" s="531"/>
      <c r="V700" s="222" t="s">
        <v>212</v>
      </c>
      <c r="W700" s="222" t="s">
        <v>212</v>
      </c>
      <c r="X700" s="531" t="s">
        <v>212</v>
      </c>
      <c r="Y700" s="531"/>
      <c r="Z700" s="222" t="s">
        <v>212</v>
      </c>
      <c r="AA700" s="222" t="s">
        <v>212</v>
      </c>
      <c r="AB700" s="222" t="s">
        <v>212</v>
      </c>
      <c r="AC700" s="215"/>
    </row>
    <row r="701" spans="1:29" ht="13.5" customHeight="1">
      <c r="A701" s="215"/>
      <c r="B701" s="532">
        <v>39425</v>
      </c>
      <c r="C701" s="532"/>
      <c r="D701" s="219" t="s">
        <v>212</v>
      </c>
      <c r="E701" s="224">
        <v>286.10000000000002</v>
      </c>
      <c r="F701" s="533">
        <v>24</v>
      </c>
      <c r="G701" s="533"/>
      <c r="H701" s="224">
        <v>361.8</v>
      </c>
      <c r="I701" s="533">
        <v>24</v>
      </c>
      <c r="J701" s="533"/>
      <c r="K701" s="224">
        <v>0</v>
      </c>
      <c r="L701" s="225">
        <v>0</v>
      </c>
      <c r="M701" s="224">
        <v>0</v>
      </c>
      <c r="N701" s="225">
        <v>0</v>
      </c>
      <c r="O701" s="226">
        <v>647.9</v>
      </c>
      <c r="P701" s="222" t="s">
        <v>212</v>
      </c>
      <c r="Q701" s="224">
        <v>0</v>
      </c>
      <c r="R701" s="225">
        <v>0</v>
      </c>
      <c r="S701" s="224">
        <v>0</v>
      </c>
      <c r="T701" s="533">
        <v>0</v>
      </c>
      <c r="U701" s="533"/>
      <c r="V701" s="224">
        <v>0</v>
      </c>
      <c r="W701" s="222" t="s">
        <v>212</v>
      </c>
      <c r="X701" s="534">
        <v>647.9</v>
      </c>
      <c r="Y701" s="534"/>
      <c r="Z701" s="222" t="s">
        <v>212</v>
      </c>
      <c r="AA701" s="227">
        <v>8752800</v>
      </c>
      <c r="AB701" s="228">
        <v>0</v>
      </c>
      <c r="AC701" s="215"/>
    </row>
    <row r="702" spans="1:29" ht="2.25" customHeight="1">
      <c r="A702" s="215"/>
      <c r="B702" s="529" t="s">
        <v>212</v>
      </c>
      <c r="C702" s="529"/>
      <c r="D702" s="219" t="s">
        <v>212</v>
      </c>
      <c r="E702" s="222" t="s">
        <v>212</v>
      </c>
      <c r="F702" s="531" t="s">
        <v>212</v>
      </c>
      <c r="G702" s="531"/>
      <c r="H702" s="222" t="s">
        <v>212</v>
      </c>
      <c r="I702" s="531" t="s">
        <v>212</v>
      </c>
      <c r="J702" s="531"/>
      <c r="K702" s="222" t="s">
        <v>212</v>
      </c>
      <c r="L702" s="222" t="s">
        <v>212</v>
      </c>
      <c r="M702" s="222" t="s">
        <v>212</v>
      </c>
      <c r="N702" s="222" t="s">
        <v>212</v>
      </c>
      <c r="O702" s="222" t="s">
        <v>212</v>
      </c>
      <c r="P702" s="222" t="s">
        <v>212</v>
      </c>
      <c r="Q702" s="222" t="s">
        <v>212</v>
      </c>
      <c r="R702" s="222" t="s">
        <v>212</v>
      </c>
      <c r="S702" s="222" t="s">
        <v>212</v>
      </c>
      <c r="T702" s="531" t="s">
        <v>212</v>
      </c>
      <c r="U702" s="531"/>
      <c r="V702" s="222" t="s">
        <v>212</v>
      </c>
      <c r="W702" s="222" t="s">
        <v>212</v>
      </c>
      <c r="X702" s="531" t="s">
        <v>212</v>
      </c>
      <c r="Y702" s="531"/>
      <c r="Z702" s="222" t="s">
        <v>212</v>
      </c>
      <c r="AA702" s="222" t="s">
        <v>212</v>
      </c>
      <c r="AB702" s="222" t="s">
        <v>212</v>
      </c>
      <c r="AC702" s="215"/>
    </row>
    <row r="703" spans="1:29" ht="13.5" customHeight="1">
      <c r="A703" s="215"/>
      <c r="B703" s="535">
        <v>39426</v>
      </c>
      <c r="C703" s="535"/>
      <c r="D703" s="219" t="s">
        <v>212</v>
      </c>
      <c r="E703" s="229">
        <v>298.89999999999998</v>
      </c>
      <c r="F703" s="536">
        <v>24</v>
      </c>
      <c r="G703" s="536"/>
      <c r="H703" s="229">
        <v>357.7</v>
      </c>
      <c r="I703" s="536">
        <v>24</v>
      </c>
      <c r="J703" s="536"/>
      <c r="K703" s="229">
        <v>0</v>
      </c>
      <c r="L703" s="230">
        <v>0</v>
      </c>
      <c r="M703" s="229">
        <v>0</v>
      </c>
      <c r="N703" s="230">
        <v>0</v>
      </c>
      <c r="O703" s="231">
        <v>656.6</v>
      </c>
      <c r="P703" s="222" t="s">
        <v>212</v>
      </c>
      <c r="Q703" s="229">
        <v>0</v>
      </c>
      <c r="R703" s="230">
        <v>0</v>
      </c>
      <c r="S703" s="229">
        <v>0</v>
      </c>
      <c r="T703" s="536">
        <v>0</v>
      </c>
      <c r="U703" s="536"/>
      <c r="V703" s="229">
        <v>0</v>
      </c>
      <c r="W703" s="222" t="s">
        <v>212</v>
      </c>
      <c r="X703" s="530">
        <v>656.6</v>
      </c>
      <c r="Y703" s="530"/>
      <c r="Z703" s="222" t="s">
        <v>212</v>
      </c>
      <c r="AA703" s="232">
        <v>8809300</v>
      </c>
      <c r="AB703" s="233">
        <v>0</v>
      </c>
      <c r="AC703" s="215"/>
    </row>
    <row r="704" spans="1:29" ht="2.25" customHeight="1">
      <c r="A704" s="215"/>
      <c r="B704" s="529" t="s">
        <v>212</v>
      </c>
      <c r="C704" s="529"/>
      <c r="D704" s="219" t="s">
        <v>212</v>
      </c>
      <c r="E704" s="222" t="s">
        <v>212</v>
      </c>
      <c r="F704" s="531" t="s">
        <v>212</v>
      </c>
      <c r="G704" s="531"/>
      <c r="H704" s="222" t="s">
        <v>212</v>
      </c>
      <c r="I704" s="531" t="s">
        <v>212</v>
      </c>
      <c r="J704" s="531"/>
      <c r="K704" s="222" t="s">
        <v>212</v>
      </c>
      <c r="L704" s="222" t="s">
        <v>212</v>
      </c>
      <c r="M704" s="222" t="s">
        <v>212</v>
      </c>
      <c r="N704" s="222" t="s">
        <v>212</v>
      </c>
      <c r="O704" s="222" t="s">
        <v>212</v>
      </c>
      <c r="P704" s="222" t="s">
        <v>212</v>
      </c>
      <c r="Q704" s="222" t="s">
        <v>212</v>
      </c>
      <c r="R704" s="222" t="s">
        <v>212</v>
      </c>
      <c r="S704" s="222" t="s">
        <v>212</v>
      </c>
      <c r="T704" s="531" t="s">
        <v>212</v>
      </c>
      <c r="U704" s="531"/>
      <c r="V704" s="222" t="s">
        <v>212</v>
      </c>
      <c r="W704" s="222" t="s">
        <v>212</v>
      </c>
      <c r="X704" s="531" t="s">
        <v>212</v>
      </c>
      <c r="Y704" s="531"/>
      <c r="Z704" s="222" t="s">
        <v>212</v>
      </c>
      <c r="AA704" s="222" t="s">
        <v>212</v>
      </c>
      <c r="AB704" s="222" t="s">
        <v>212</v>
      </c>
      <c r="AC704" s="215"/>
    </row>
    <row r="705" spans="1:29" ht="13.5" customHeight="1">
      <c r="A705" s="215"/>
      <c r="B705" s="532">
        <v>39427</v>
      </c>
      <c r="C705" s="532"/>
      <c r="D705" s="219" t="s">
        <v>212</v>
      </c>
      <c r="E705" s="224">
        <v>302.5</v>
      </c>
      <c r="F705" s="533">
        <v>24</v>
      </c>
      <c r="G705" s="533"/>
      <c r="H705" s="224">
        <v>359.5</v>
      </c>
      <c r="I705" s="533">
        <v>24</v>
      </c>
      <c r="J705" s="533"/>
      <c r="K705" s="224">
        <v>0</v>
      </c>
      <c r="L705" s="225">
        <v>0</v>
      </c>
      <c r="M705" s="224">
        <v>0</v>
      </c>
      <c r="N705" s="225">
        <v>1</v>
      </c>
      <c r="O705" s="226">
        <v>662</v>
      </c>
      <c r="P705" s="222" t="s">
        <v>212</v>
      </c>
      <c r="Q705" s="224">
        <v>0</v>
      </c>
      <c r="R705" s="225">
        <v>0</v>
      </c>
      <c r="S705" s="224">
        <v>0</v>
      </c>
      <c r="T705" s="533">
        <v>0</v>
      </c>
      <c r="U705" s="533"/>
      <c r="V705" s="224">
        <v>0</v>
      </c>
      <c r="W705" s="222" t="s">
        <v>212</v>
      </c>
      <c r="X705" s="534">
        <v>662</v>
      </c>
      <c r="Y705" s="534"/>
      <c r="Z705" s="222" t="s">
        <v>212</v>
      </c>
      <c r="AA705" s="227">
        <v>8873340</v>
      </c>
      <c r="AB705" s="228">
        <v>0</v>
      </c>
      <c r="AC705" s="215"/>
    </row>
    <row r="706" spans="1:29" ht="2.25" customHeight="1">
      <c r="A706" s="215"/>
      <c r="B706" s="529" t="s">
        <v>212</v>
      </c>
      <c r="C706" s="529"/>
      <c r="D706" s="219" t="s">
        <v>212</v>
      </c>
      <c r="E706" s="222" t="s">
        <v>212</v>
      </c>
      <c r="F706" s="531" t="s">
        <v>212</v>
      </c>
      <c r="G706" s="531"/>
      <c r="H706" s="222" t="s">
        <v>212</v>
      </c>
      <c r="I706" s="531" t="s">
        <v>212</v>
      </c>
      <c r="J706" s="531"/>
      <c r="K706" s="222" t="s">
        <v>212</v>
      </c>
      <c r="L706" s="222" t="s">
        <v>212</v>
      </c>
      <c r="M706" s="222" t="s">
        <v>212</v>
      </c>
      <c r="N706" s="222" t="s">
        <v>212</v>
      </c>
      <c r="O706" s="222" t="s">
        <v>212</v>
      </c>
      <c r="P706" s="222" t="s">
        <v>212</v>
      </c>
      <c r="Q706" s="222" t="s">
        <v>212</v>
      </c>
      <c r="R706" s="222" t="s">
        <v>212</v>
      </c>
      <c r="S706" s="222" t="s">
        <v>212</v>
      </c>
      <c r="T706" s="531" t="s">
        <v>212</v>
      </c>
      <c r="U706" s="531"/>
      <c r="V706" s="222" t="s">
        <v>212</v>
      </c>
      <c r="W706" s="222" t="s">
        <v>212</v>
      </c>
      <c r="X706" s="531" t="s">
        <v>212</v>
      </c>
      <c r="Y706" s="531"/>
      <c r="Z706" s="222" t="s">
        <v>212</v>
      </c>
      <c r="AA706" s="222" t="s">
        <v>212</v>
      </c>
      <c r="AB706" s="222" t="s">
        <v>212</v>
      </c>
      <c r="AC706" s="215"/>
    </row>
    <row r="707" spans="1:29" ht="13.5" customHeight="1">
      <c r="A707" s="215"/>
      <c r="B707" s="535">
        <v>39428</v>
      </c>
      <c r="C707" s="535"/>
      <c r="D707" s="219" t="s">
        <v>212</v>
      </c>
      <c r="E707" s="229">
        <v>316.5</v>
      </c>
      <c r="F707" s="536">
        <v>24</v>
      </c>
      <c r="G707" s="536"/>
      <c r="H707" s="229">
        <v>363.5</v>
      </c>
      <c r="I707" s="536">
        <v>24</v>
      </c>
      <c r="J707" s="536"/>
      <c r="K707" s="229">
        <v>0</v>
      </c>
      <c r="L707" s="230">
        <v>0</v>
      </c>
      <c r="M707" s="229">
        <v>1</v>
      </c>
      <c r="N707" s="230">
        <v>1</v>
      </c>
      <c r="O707" s="231">
        <v>681</v>
      </c>
      <c r="P707" s="222" t="s">
        <v>212</v>
      </c>
      <c r="Q707" s="229">
        <v>0</v>
      </c>
      <c r="R707" s="230">
        <v>0</v>
      </c>
      <c r="S707" s="229">
        <v>0</v>
      </c>
      <c r="T707" s="536">
        <v>0</v>
      </c>
      <c r="U707" s="536"/>
      <c r="V707" s="229">
        <v>0</v>
      </c>
      <c r="W707" s="222" t="s">
        <v>212</v>
      </c>
      <c r="X707" s="530">
        <v>681</v>
      </c>
      <c r="Y707" s="530"/>
      <c r="Z707" s="222" t="s">
        <v>212</v>
      </c>
      <c r="AA707" s="232">
        <v>9018500</v>
      </c>
      <c r="AB707" s="233">
        <v>0</v>
      </c>
      <c r="AC707" s="215"/>
    </row>
    <row r="708" spans="1:29" ht="2.25" customHeight="1">
      <c r="A708" s="215"/>
      <c r="B708" s="529" t="s">
        <v>212</v>
      </c>
      <c r="C708" s="529"/>
      <c r="D708" s="219" t="s">
        <v>212</v>
      </c>
      <c r="E708" s="222" t="s">
        <v>212</v>
      </c>
      <c r="F708" s="531" t="s">
        <v>212</v>
      </c>
      <c r="G708" s="531"/>
      <c r="H708" s="222" t="s">
        <v>212</v>
      </c>
      <c r="I708" s="531" t="s">
        <v>212</v>
      </c>
      <c r="J708" s="531"/>
      <c r="K708" s="222" t="s">
        <v>212</v>
      </c>
      <c r="L708" s="222" t="s">
        <v>212</v>
      </c>
      <c r="M708" s="222" t="s">
        <v>212</v>
      </c>
      <c r="N708" s="222" t="s">
        <v>212</v>
      </c>
      <c r="O708" s="222" t="s">
        <v>212</v>
      </c>
      <c r="P708" s="222" t="s">
        <v>212</v>
      </c>
      <c r="Q708" s="222" t="s">
        <v>212</v>
      </c>
      <c r="R708" s="222" t="s">
        <v>212</v>
      </c>
      <c r="S708" s="222" t="s">
        <v>212</v>
      </c>
      <c r="T708" s="531" t="s">
        <v>212</v>
      </c>
      <c r="U708" s="531"/>
      <c r="V708" s="222" t="s">
        <v>212</v>
      </c>
      <c r="W708" s="222" t="s">
        <v>212</v>
      </c>
      <c r="X708" s="531" t="s">
        <v>212</v>
      </c>
      <c r="Y708" s="531"/>
      <c r="Z708" s="222" t="s">
        <v>212</v>
      </c>
      <c r="AA708" s="222" t="s">
        <v>212</v>
      </c>
      <c r="AB708" s="222" t="s">
        <v>212</v>
      </c>
      <c r="AC708" s="215"/>
    </row>
    <row r="709" spans="1:29" ht="13.5" customHeight="1">
      <c r="A709" s="215"/>
      <c r="B709" s="532">
        <v>39429</v>
      </c>
      <c r="C709" s="532"/>
      <c r="D709" s="219" t="s">
        <v>212</v>
      </c>
      <c r="E709" s="224">
        <v>287.60000000000002</v>
      </c>
      <c r="F709" s="533">
        <v>24</v>
      </c>
      <c r="G709" s="533"/>
      <c r="H709" s="224">
        <v>334.2</v>
      </c>
      <c r="I709" s="533">
        <v>24</v>
      </c>
      <c r="J709" s="533"/>
      <c r="K709" s="224">
        <v>0</v>
      </c>
      <c r="L709" s="225">
        <v>0</v>
      </c>
      <c r="M709" s="224">
        <v>0</v>
      </c>
      <c r="N709" s="225">
        <v>0</v>
      </c>
      <c r="O709" s="226">
        <v>621.79999999999995</v>
      </c>
      <c r="P709" s="222" t="s">
        <v>212</v>
      </c>
      <c r="Q709" s="224">
        <v>6</v>
      </c>
      <c r="R709" s="225">
        <v>1</v>
      </c>
      <c r="S709" s="224">
        <v>7</v>
      </c>
      <c r="T709" s="533">
        <v>1</v>
      </c>
      <c r="U709" s="533"/>
      <c r="V709" s="224">
        <v>13</v>
      </c>
      <c r="W709" s="222" t="s">
        <v>212</v>
      </c>
      <c r="X709" s="534">
        <v>634.79999999999995</v>
      </c>
      <c r="Y709" s="534"/>
      <c r="Z709" s="222" t="s">
        <v>212</v>
      </c>
      <c r="AA709" s="227">
        <v>3084400</v>
      </c>
      <c r="AB709" s="228">
        <v>201680</v>
      </c>
      <c r="AC709" s="215"/>
    </row>
    <row r="710" spans="1:29" ht="2.25" customHeight="1">
      <c r="A710" s="215"/>
      <c r="B710" s="529" t="s">
        <v>212</v>
      </c>
      <c r="C710" s="529"/>
      <c r="D710" s="219" t="s">
        <v>212</v>
      </c>
      <c r="E710" s="222" t="s">
        <v>212</v>
      </c>
      <c r="F710" s="531" t="s">
        <v>212</v>
      </c>
      <c r="G710" s="531"/>
      <c r="H710" s="222" t="s">
        <v>212</v>
      </c>
      <c r="I710" s="531" t="s">
        <v>212</v>
      </c>
      <c r="J710" s="531"/>
      <c r="K710" s="222" t="s">
        <v>212</v>
      </c>
      <c r="L710" s="222" t="s">
        <v>212</v>
      </c>
      <c r="M710" s="222" t="s">
        <v>212</v>
      </c>
      <c r="N710" s="222" t="s">
        <v>212</v>
      </c>
      <c r="O710" s="222" t="s">
        <v>212</v>
      </c>
      <c r="P710" s="222" t="s">
        <v>212</v>
      </c>
      <c r="Q710" s="222" t="s">
        <v>212</v>
      </c>
      <c r="R710" s="222" t="s">
        <v>212</v>
      </c>
      <c r="S710" s="222" t="s">
        <v>212</v>
      </c>
      <c r="T710" s="531" t="s">
        <v>212</v>
      </c>
      <c r="U710" s="531"/>
      <c r="V710" s="222" t="s">
        <v>212</v>
      </c>
      <c r="W710" s="222" t="s">
        <v>212</v>
      </c>
      <c r="X710" s="531" t="s">
        <v>212</v>
      </c>
      <c r="Y710" s="531"/>
      <c r="Z710" s="222" t="s">
        <v>212</v>
      </c>
      <c r="AA710" s="222" t="s">
        <v>212</v>
      </c>
      <c r="AB710" s="222" t="s">
        <v>212</v>
      </c>
      <c r="AC710" s="215"/>
    </row>
    <row r="711" spans="1:29" ht="13.5" customHeight="1">
      <c r="A711" s="215"/>
      <c r="B711" s="535">
        <v>39430</v>
      </c>
      <c r="C711" s="535"/>
      <c r="D711" s="219" t="s">
        <v>212</v>
      </c>
      <c r="E711" s="229">
        <v>293.5</v>
      </c>
      <c r="F711" s="536">
        <v>24</v>
      </c>
      <c r="G711" s="536"/>
      <c r="H711" s="229">
        <v>343.5</v>
      </c>
      <c r="I711" s="536">
        <v>24</v>
      </c>
      <c r="J711" s="536"/>
      <c r="K711" s="229">
        <v>0</v>
      </c>
      <c r="L711" s="230">
        <v>0</v>
      </c>
      <c r="M711" s="229">
        <v>0</v>
      </c>
      <c r="N711" s="230">
        <v>0</v>
      </c>
      <c r="O711" s="231">
        <v>637</v>
      </c>
      <c r="P711" s="222" t="s">
        <v>212</v>
      </c>
      <c r="Q711" s="229">
        <v>0</v>
      </c>
      <c r="R711" s="230">
        <v>0</v>
      </c>
      <c r="S711" s="229">
        <v>0</v>
      </c>
      <c r="T711" s="536">
        <v>0</v>
      </c>
      <c r="U711" s="536"/>
      <c r="V711" s="229">
        <v>0</v>
      </c>
      <c r="W711" s="222" t="s">
        <v>212</v>
      </c>
      <c r="X711" s="530">
        <v>637</v>
      </c>
      <c r="Y711" s="530"/>
      <c r="Z711" s="222" t="s">
        <v>212</v>
      </c>
      <c r="AA711" s="232">
        <v>0</v>
      </c>
      <c r="AB711" s="233">
        <v>311424</v>
      </c>
      <c r="AC711" s="215"/>
    </row>
    <row r="712" spans="1:29" ht="2.25" customHeight="1">
      <c r="A712" s="215"/>
      <c r="B712" s="529" t="s">
        <v>212</v>
      </c>
      <c r="C712" s="529"/>
      <c r="D712" s="219" t="s">
        <v>212</v>
      </c>
      <c r="E712" s="222" t="s">
        <v>212</v>
      </c>
      <c r="F712" s="531" t="s">
        <v>212</v>
      </c>
      <c r="G712" s="531"/>
      <c r="H712" s="222" t="s">
        <v>212</v>
      </c>
      <c r="I712" s="531" t="s">
        <v>212</v>
      </c>
      <c r="J712" s="531"/>
      <c r="K712" s="222" t="s">
        <v>212</v>
      </c>
      <c r="L712" s="222" t="s">
        <v>212</v>
      </c>
      <c r="M712" s="222" t="s">
        <v>212</v>
      </c>
      <c r="N712" s="222" t="s">
        <v>212</v>
      </c>
      <c r="O712" s="222" t="s">
        <v>212</v>
      </c>
      <c r="P712" s="222" t="s">
        <v>212</v>
      </c>
      <c r="Q712" s="222" t="s">
        <v>212</v>
      </c>
      <c r="R712" s="222" t="s">
        <v>212</v>
      </c>
      <c r="S712" s="222" t="s">
        <v>212</v>
      </c>
      <c r="T712" s="531" t="s">
        <v>212</v>
      </c>
      <c r="U712" s="531"/>
      <c r="V712" s="222" t="s">
        <v>212</v>
      </c>
      <c r="W712" s="222" t="s">
        <v>212</v>
      </c>
      <c r="X712" s="531" t="s">
        <v>212</v>
      </c>
      <c r="Y712" s="531"/>
      <c r="Z712" s="222" t="s">
        <v>212</v>
      </c>
      <c r="AA712" s="222" t="s">
        <v>212</v>
      </c>
      <c r="AB712" s="222" t="s">
        <v>212</v>
      </c>
      <c r="AC712" s="215"/>
    </row>
    <row r="713" spans="1:29" ht="13.5" customHeight="1">
      <c r="A713" s="215"/>
      <c r="B713" s="532">
        <v>39431</v>
      </c>
      <c r="C713" s="532"/>
      <c r="D713" s="219" t="s">
        <v>212</v>
      </c>
      <c r="E713" s="224">
        <v>276</v>
      </c>
      <c r="F713" s="533">
        <v>24</v>
      </c>
      <c r="G713" s="533"/>
      <c r="H713" s="224">
        <v>344.9</v>
      </c>
      <c r="I713" s="533">
        <v>24</v>
      </c>
      <c r="J713" s="533"/>
      <c r="K713" s="224">
        <v>0</v>
      </c>
      <c r="L713" s="225">
        <v>0</v>
      </c>
      <c r="M713" s="224">
        <v>0</v>
      </c>
      <c r="N713" s="225">
        <v>0</v>
      </c>
      <c r="O713" s="226">
        <v>620.9</v>
      </c>
      <c r="P713" s="222" t="s">
        <v>212</v>
      </c>
      <c r="Q713" s="224">
        <v>0</v>
      </c>
      <c r="R713" s="225">
        <v>0</v>
      </c>
      <c r="S713" s="224">
        <v>0</v>
      </c>
      <c r="T713" s="533">
        <v>0</v>
      </c>
      <c r="U713" s="533"/>
      <c r="V713" s="224">
        <v>0</v>
      </c>
      <c r="W713" s="222" t="s">
        <v>212</v>
      </c>
      <c r="X713" s="534">
        <v>620.9</v>
      </c>
      <c r="Y713" s="534"/>
      <c r="Z713" s="222" t="s">
        <v>212</v>
      </c>
      <c r="AA713" s="227">
        <v>0</v>
      </c>
      <c r="AB713" s="228">
        <v>297080</v>
      </c>
      <c r="AC713" s="215"/>
    </row>
    <row r="714" spans="1:29" ht="2.25" customHeight="1">
      <c r="A714" s="215"/>
      <c r="B714" s="529" t="s">
        <v>212</v>
      </c>
      <c r="C714" s="529"/>
      <c r="D714" s="219" t="s">
        <v>212</v>
      </c>
      <c r="E714" s="222" t="s">
        <v>212</v>
      </c>
      <c r="F714" s="531" t="s">
        <v>212</v>
      </c>
      <c r="G714" s="531"/>
      <c r="H714" s="222" t="s">
        <v>212</v>
      </c>
      <c r="I714" s="531" t="s">
        <v>212</v>
      </c>
      <c r="J714" s="531"/>
      <c r="K714" s="222" t="s">
        <v>212</v>
      </c>
      <c r="L714" s="222" t="s">
        <v>212</v>
      </c>
      <c r="M714" s="222" t="s">
        <v>212</v>
      </c>
      <c r="N714" s="222" t="s">
        <v>212</v>
      </c>
      <c r="O714" s="222" t="s">
        <v>212</v>
      </c>
      <c r="P714" s="222" t="s">
        <v>212</v>
      </c>
      <c r="Q714" s="222" t="s">
        <v>212</v>
      </c>
      <c r="R714" s="222" t="s">
        <v>212</v>
      </c>
      <c r="S714" s="222" t="s">
        <v>212</v>
      </c>
      <c r="T714" s="531" t="s">
        <v>212</v>
      </c>
      <c r="U714" s="531"/>
      <c r="V714" s="222" t="s">
        <v>212</v>
      </c>
      <c r="W714" s="222" t="s">
        <v>212</v>
      </c>
      <c r="X714" s="531" t="s">
        <v>212</v>
      </c>
      <c r="Y714" s="531"/>
      <c r="Z714" s="222" t="s">
        <v>212</v>
      </c>
      <c r="AA714" s="222" t="s">
        <v>212</v>
      </c>
      <c r="AB714" s="222" t="s">
        <v>212</v>
      </c>
      <c r="AC714" s="215"/>
    </row>
    <row r="715" spans="1:29" ht="13.5" customHeight="1">
      <c r="A715" s="215"/>
      <c r="B715" s="535">
        <v>39432</v>
      </c>
      <c r="C715" s="535"/>
      <c r="D715" s="219" t="s">
        <v>212</v>
      </c>
      <c r="E715" s="229">
        <v>305.5</v>
      </c>
      <c r="F715" s="536">
        <v>24</v>
      </c>
      <c r="G715" s="536"/>
      <c r="H715" s="229">
        <v>367.3</v>
      </c>
      <c r="I715" s="536">
        <v>24</v>
      </c>
      <c r="J715" s="536"/>
      <c r="K715" s="229">
        <v>0</v>
      </c>
      <c r="L715" s="230">
        <v>0</v>
      </c>
      <c r="M715" s="229">
        <v>0</v>
      </c>
      <c r="N715" s="230">
        <v>0</v>
      </c>
      <c r="O715" s="231">
        <v>672.8</v>
      </c>
      <c r="P715" s="222" t="s">
        <v>212</v>
      </c>
      <c r="Q715" s="229">
        <v>0</v>
      </c>
      <c r="R715" s="230">
        <v>0</v>
      </c>
      <c r="S715" s="229">
        <v>0</v>
      </c>
      <c r="T715" s="536">
        <v>0</v>
      </c>
      <c r="U715" s="536"/>
      <c r="V715" s="229">
        <v>0</v>
      </c>
      <c r="W715" s="222" t="s">
        <v>212</v>
      </c>
      <c r="X715" s="530">
        <v>672.8</v>
      </c>
      <c r="Y715" s="530"/>
      <c r="Z715" s="222" t="s">
        <v>212</v>
      </c>
      <c r="AA715" s="232">
        <v>0</v>
      </c>
      <c r="AB715" s="233">
        <v>314095</v>
      </c>
      <c r="AC715" s="215"/>
    </row>
    <row r="716" spans="1:29" ht="2.25" customHeight="1">
      <c r="A716" s="215"/>
      <c r="B716" s="529" t="s">
        <v>212</v>
      </c>
      <c r="C716" s="529"/>
      <c r="D716" s="219" t="s">
        <v>212</v>
      </c>
      <c r="E716" s="222" t="s">
        <v>212</v>
      </c>
      <c r="F716" s="531" t="s">
        <v>212</v>
      </c>
      <c r="G716" s="531"/>
      <c r="H716" s="222" t="s">
        <v>212</v>
      </c>
      <c r="I716" s="531" t="s">
        <v>212</v>
      </c>
      <c r="J716" s="531"/>
      <c r="K716" s="222" t="s">
        <v>212</v>
      </c>
      <c r="L716" s="222" t="s">
        <v>212</v>
      </c>
      <c r="M716" s="222" t="s">
        <v>212</v>
      </c>
      <c r="N716" s="222" t="s">
        <v>212</v>
      </c>
      <c r="O716" s="222" t="s">
        <v>212</v>
      </c>
      <c r="P716" s="222" t="s">
        <v>212</v>
      </c>
      <c r="Q716" s="222" t="s">
        <v>212</v>
      </c>
      <c r="R716" s="222" t="s">
        <v>212</v>
      </c>
      <c r="S716" s="222" t="s">
        <v>212</v>
      </c>
      <c r="T716" s="531" t="s">
        <v>212</v>
      </c>
      <c r="U716" s="531"/>
      <c r="V716" s="222" t="s">
        <v>212</v>
      </c>
      <c r="W716" s="222" t="s">
        <v>212</v>
      </c>
      <c r="X716" s="531" t="s">
        <v>212</v>
      </c>
      <c r="Y716" s="531"/>
      <c r="Z716" s="222" t="s">
        <v>212</v>
      </c>
      <c r="AA716" s="222" t="s">
        <v>212</v>
      </c>
      <c r="AB716" s="222" t="s">
        <v>212</v>
      </c>
      <c r="AC716" s="215"/>
    </row>
    <row r="717" spans="1:29" ht="13.5" customHeight="1">
      <c r="A717" s="215"/>
      <c r="B717" s="532">
        <v>39433</v>
      </c>
      <c r="C717" s="532"/>
      <c r="D717" s="219" t="s">
        <v>212</v>
      </c>
      <c r="E717" s="224">
        <v>293.89999999999998</v>
      </c>
      <c r="F717" s="533">
        <v>24</v>
      </c>
      <c r="G717" s="533"/>
      <c r="H717" s="224">
        <v>359.2</v>
      </c>
      <c r="I717" s="533">
        <v>24</v>
      </c>
      <c r="J717" s="533"/>
      <c r="K717" s="224">
        <v>0</v>
      </c>
      <c r="L717" s="225">
        <v>0</v>
      </c>
      <c r="M717" s="224">
        <v>0</v>
      </c>
      <c r="N717" s="225">
        <v>0</v>
      </c>
      <c r="O717" s="226">
        <v>653.1</v>
      </c>
      <c r="P717" s="222" t="s">
        <v>212</v>
      </c>
      <c r="Q717" s="224">
        <v>0</v>
      </c>
      <c r="R717" s="225">
        <v>0</v>
      </c>
      <c r="S717" s="224">
        <v>0</v>
      </c>
      <c r="T717" s="533">
        <v>0</v>
      </c>
      <c r="U717" s="533"/>
      <c r="V717" s="224">
        <v>0</v>
      </c>
      <c r="W717" s="222" t="s">
        <v>212</v>
      </c>
      <c r="X717" s="534">
        <v>653.1</v>
      </c>
      <c r="Y717" s="534"/>
      <c r="Z717" s="222" t="s">
        <v>212</v>
      </c>
      <c r="AA717" s="227">
        <v>0</v>
      </c>
      <c r="AB717" s="228">
        <v>308662</v>
      </c>
      <c r="AC717" s="215"/>
    </row>
    <row r="718" spans="1:29" ht="2.25" customHeight="1">
      <c r="A718" s="215"/>
      <c r="B718" s="529" t="s">
        <v>212</v>
      </c>
      <c r="C718" s="529"/>
      <c r="D718" s="219" t="s">
        <v>212</v>
      </c>
      <c r="E718" s="222" t="s">
        <v>212</v>
      </c>
      <c r="F718" s="531" t="s">
        <v>212</v>
      </c>
      <c r="G718" s="531"/>
      <c r="H718" s="222" t="s">
        <v>212</v>
      </c>
      <c r="I718" s="531" t="s">
        <v>212</v>
      </c>
      <c r="J718" s="531"/>
      <c r="K718" s="222" t="s">
        <v>212</v>
      </c>
      <c r="L718" s="222" t="s">
        <v>212</v>
      </c>
      <c r="M718" s="222" t="s">
        <v>212</v>
      </c>
      <c r="N718" s="222" t="s">
        <v>212</v>
      </c>
      <c r="O718" s="222" t="s">
        <v>212</v>
      </c>
      <c r="P718" s="222" t="s">
        <v>212</v>
      </c>
      <c r="Q718" s="222" t="s">
        <v>212</v>
      </c>
      <c r="R718" s="222" t="s">
        <v>212</v>
      </c>
      <c r="S718" s="222" t="s">
        <v>212</v>
      </c>
      <c r="T718" s="531" t="s">
        <v>212</v>
      </c>
      <c r="U718" s="531"/>
      <c r="V718" s="222" t="s">
        <v>212</v>
      </c>
      <c r="W718" s="222" t="s">
        <v>212</v>
      </c>
      <c r="X718" s="531" t="s">
        <v>212</v>
      </c>
      <c r="Y718" s="531"/>
      <c r="Z718" s="222" t="s">
        <v>212</v>
      </c>
      <c r="AA718" s="222" t="s">
        <v>212</v>
      </c>
      <c r="AB718" s="222" t="s">
        <v>212</v>
      </c>
      <c r="AC718" s="215"/>
    </row>
    <row r="719" spans="1:29" ht="13.5" customHeight="1">
      <c r="A719" s="215"/>
      <c r="B719" s="535">
        <v>39434</v>
      </c>
      <c r="C719" s="535"/>
      <c r="D719" s="219" t="s">
        <v>212</v>
      </c>
      <c r="E719" s="229">
        <v>283.10000000000002</v>
      </c>
      <c r="F719" s="536">
        <v>24</v>
      </c>
      <c r="G719" s="536"/>
      <c r="H719" s="229">
        <v>343</v>
      </c>
      <c r="I719" s="536">
        <v>24</v>
      </c>
      <c r="J719" s="536"/>
      <c r="K719" s="229">
        <v>0</v>
      </c>
      <c r="L719" s="230">
        <v>0</v>
      </c>
      <c r="M719" s="229">
        <v>0</v>
      </c>
      <c r="N719" s="230">
        <v>0</v>
      </c>
      <c r="O719" s="231">
        <v>626.1</v>
      </c>
      <c r="P719" s="222" t="s">
        <v>212</v>
      </c>
      <c r="Q719" s="229">
        <v>0</v>
      </c>
      <c r="R719" s="230">
        <v>0</v>
      </c>
      <c r="S719" s="229">
        <v>0</v>
      </c>
      <c r="T719" s="536">
        <v>0</v>
      </c>
      <c r="U719" s="536"/>
      <c r="V719" s="229">
        <v>0</v>
      </c>
      <c r="W719" s="222" t="s">
        <v>212</v>
      </c>
      <c r="X719" s="530">
        <v>626.1</v>
      </c>
      <c r="Y719" s="530"/>
      <c r="Z719" s="222" t="s">
        <v>212</v>
      </c>
      <c r="AA719" s="232">
        <v>0</v>
      </c>
      <c r="AB719" s="233">
        <v>301093</v>
      </c>
      <c r="AC719" s="215"/>
    </row>
    <row r="720" spans="1:29" ht="2.25" customHeight="1">
      <c r="A720" s="215"/>
      <c r="B720" s="529" t="s">
        <v>212</v>
      </c>
      <c r="C720" s="529"/>
      <c r="D720" s="219" t="s">
        <v>212</v>
      </c>
      <c r="E720" s="222" t="s">
        <v>212</v>
      </c>
      <c r="F720" s="531" t="s">
        <v>212</v>
      </c>
      <c r="G720" s="531"/>
      <c r="H720" s="222" t="s">
        <v>212</v>
      </c>
      <c r="I720" s="531" t="s">
        <v>212</v>
      </c>
      <c r="J720" s="531"/>
      <c r="K720" s="222" t="s">
        <v>212</v>
      </c>
      <c r="L720" s="222" t="s">
        <v>212</v>
      </c>
      <c r="M720" s="222" t="s">
        <v>212</v>
      </c>
      <c r="N720" s="222" t="s">
        <v>212</v>
      </c>
      <c r="O720" s="222" t="s">
        <v>212</v>
      </c>
      <c r="P720" s="222" t="s">
        <v>212</v>
      </c>
      <c r="Q720" s="222" t="s">
        <v>212</v>
      </c>
      <c r="R720" s="222" t="s">
        <v>212</v>
      </c>
      <c r="S720" s="222" t="s">
        <v>212</v>
      </c>
      <c r="T720" s="531" t="s">
        <v>212</v>
      </c>
      <c r="U720" s="531"/>
      <c r="V720" s="222" t="s">
        <v>212</v>
      </c>
      <c r="W720" s="222" t="s">
        <v>212</v>
      </c>
      <c r="X720" s="531" t="s">
        <v>212</v>
      </c>
      <c r="Y720" s="531"/>
      <c r="Z720" s="222" t="s">
        <v>212</v>
      </c>
      <c r="AA720" s="222" t="s">
        <v>212</v>
      </c>
      <c r="AB720" s="222" t="s">
        <v>212</v>
      </c>
      <c r="AC720" s="215"/>
    </row>
    <row r="721" spans="1:29" ht="13.5" customHeight="1">
      <c r="A721" s="215"/>
      <c r="B721" s="532">
        <v>39435</v>
      </c>
      <c r="C721" s="532"/>
      <c r="D721" s="219" t="s">
        <v>212</v>
      </c>
      <c r="E721" s="224">
        <v>246</v>
      </c>
      <c r="F721" s="533">
        <v>24</v>
      </c>
      <c r="G721" s="533"/>
      <c r="H721" s="224">
        <v>317.8</v>
      </c>
      <c r="I721" s="533">
        <v>24</v>
      </c>
      <c r="J721" s="533"/>
      <c r="K721" s="224">
        <v>0</v>
      </c>
      <c r="L721" s="225">
        <v>0</v>
      </c>
      <c r="M721" s="224">
        <v>91</v>
      </c>
      <c r="N721" s="225">
        <v>11</v>
      </c>
      <c r="O721" s="226">
        <v>654.79999999999995</v>
      </c>
      <c r="P721" s="222" t="s">
        <v>212</v>
      </c>
      <c r="Q721" s="224">
        <v>0</v>
      </c>
      <c r="R721" s="225">
        <v>0</v>
      </c>
      <c r="S721" s="224">
        <v>0</v>
      </c>
      <c r="T721" s="533">
        <v>0</v>
      </c>
      <c r="U721" s="533"/>
      <c r="V721" s="224">
        <v>0</v>
      </c>
      <c r="W721" s="222" t="s">
        <v>212</v>
      </c>
      <c r="X721" s="534">
        <v>654.79999999999995</v>
      </c>
      <c r="Y721" s="534"/>
      <c r="Z721" s="222" t="s">
        <v>212</v>
      </c>
      <c r="AA721" s="227">
        <v>0</v>
      </c>
      <c r="AB721" s="228">
        <v>324551</v>
      </c>
      <c r="AC721" s="215"/>
    </row>
    <row r="722" spans="1:29" ht="2.25" customHeight="1">
      <c r="A722" s="215"/>
      <c r="B722" s="529" t="s">
        <v>212</v>
      </c>
      <c r="C722" s="529"/>
      <c r="D722" s="219" t="s">
        <v>212</v>
      </c>
      <c r="E722" s="222" t="s">
        <v>212</v>
      </c>
      <c r="F722" s="531" t="s">
        <v>212</v>
      </c>
      <c r="G722" s="531"/>
      <c r="H722" s="222" t="s">
        <v>212</v>
      </c>
      <c r="I722" s="531" t="s">
        <v>212</v>
      </c>
      <c r="J722" s="531"/>
      <c r="K722" s="222" t="s">
        <v>212</v>
      </c>
      <c r="L722" s="222" t="s">
        <v>212</v>
      </c>
      <c r="M722" s="222" t="s">
        <v>212</v>
      </c>
      <c r="N722" s="222" t="s">
        <v>212</v>
      </c>
      <c r="O722" s="222" t="s">
        <v>212</v>
      </c>
      <c r="P722" s="222" t="s">
        <v>212</v>
      </c>
      <c r="Q722" s="222" t="s">
        <v>212</v>
      </c>
      <c r="R722" s="222" t="s">
        <v>212</v>
      </c>
      <c r="S722" s="222" t="s">
        <v>212</v>
      </c>
      <c r="T722" s="531" t="s">
        <v>212</v>
      </c>
      <c r="U722" s="531"/>
      <c r="V722" s="222" t="s">
        <v>212</v>
      </c>
      <c r="W722" s="222" t="s">
        <v>212</v>
      </c>
      <c r="X722" s="531" t="s">
        <v>212</v>
      </c>
      <c r="Y722" s="531"/>
      <c r="Z722" s="222" t="s">
        <v>212</v>
      </c>
      <c r="AA722" s="222" t="s">
        <v>212</v>
      </c>
      <c r="AB722" s="222" t="s">
        <v>212</v>
      </c>
      <c r="AC722" s="215"/>
    </row>
    <row r="723" spans="1:29" ht="13.5" customHeight="1">
      <c r="A723" s="215"/>
      <c r="B723" s="535">
        <v>39436</v>
      </c>
      <c r="C723" s="535"/>
      <c r="D723" s="219" t="s">
        <v>212</v>
      </c>
      <c r="E723" s="229">
        <v>159.4</v>
      </c>
      <c r="F723" s="536">
        <v>24</v>
      </c>
      <c r="G723" s="536"/>
      <c r="H723" s="229">
        <v>209.1</v>
      </c>
      <c r="I723" s="536">
        <v>24</v>
      </c>
      <c r="J723" s="536"/>
      <c r="K723" s="229">
        <v>0</v>
      </c>
      <c r="L723" s="230">
        <v>0</v>
      </c>
      <c r="M723" s="229">
        <v>293</v>
      </c>
      <c r="N723" s="230">
        <v>24</v>
      </c>
      <c r="O723" s="231">
        <v>661.5</v>
      </c>
      <c r="P723" s="222" t="s">
        <v>212</v>
      </c>
      <c r="Q723" s="229">
        <v>0</v>
      </c>
      <c r="R723" s="230">
        <v>0</v>
      </c>
      <c r="S723" s="229">
        <v>0</v>
      </c>
      <c r="T723" s="536">
        <v>0</v>
      </c>
      <c r="U723" s="536"/>
      <c r="V723" s="229">
        <v>0</v>
      </c>
      <c r="W723" s="222" t="s">
        <v>212</v>
      </c>
      <c r="X723" s="530">
        <v>661.5</v>
      </c>
      <c r="Y723" s="530"/>
      <c r="Z723" s="222" t="s">
        <v>212</v>
      </c>
      <c r="AA723" s="232">
        <v>0</v>
      </c>
      <c r="AB723" s="233">
        <v>342648</v>
      </c>
      <c r="AC723" s="215"/>
    </row>
    <row r="724" spans="1:29" ht="2.25" customHeight="1">
      <c r="A724" s="215"/>
      <c r="B724" s="529" t="s">
        <v>212</v>
      </c>
      <c r="C724" s="529"/>
      <c r="D724" s="219" t="s">
        <v>212</v>
      </c>
      <c r="E724" s="222" t="s">
        <v>212</v>
      </c>
      <c r="F724" s="531" t="s">
        <v>212</v>
      </c>
      <c r="G724" s="531"/>
      <c r="H724" s="222" t="s">
        <v>212</v>
      </c>
      <c r="I724" s="531" t="s">
        <v>212</v>
      </c>
      <c r="J724" s="531"/>
      <c r="K724" s="222" t="s">
        <v>212</v>
      </c>
      <c r="L724" s="222" t="s">
        <v>212</v>
      </c>
      <c r="M724" s="222" t="s">
        <v>212</v>
      </c>
      <c r="N724" s="222" t="s">
        <v>212</v>
      </c>
      <c r="O724" s="222" t="s">
        <v>212</v>
      </c>
      <c r="P724" s="222" t="s">
        <v>212</v>
      </c>
      <c r="Q724" s="222" t="s">
        <v>212</v>
      </c>
      <c r="R724" s="222" t="s">
        <v>212</v>
      </c>
      <c r="S724" s="222" t="s">
        <v>212</v>
      </c>
      <c r="T724" s="531" t="s">
        <v>212</v>
      </c>
      <c r="U724" s="531"/>
      <c r="V724" s="222" t="s">
        <v>212</v>
      </c>
      <c r="W724" s="222" t="s">
        <v>212</v>
      </c>
      <c r="X724" s="531" t="s">
        <v>212</v>
      </c>
      <c r="Y724" s="531"/>
      <c r="Z724" s="222" t="s">
        <v>212</v>
      </c>
      <c r="AA724" s="222" t="s">
        <v>212</v>
      </c>
      <c r="AB724" s="222" t="s">
        <v>212</v>
      </c>
      <c r="AC724" s="215"/>
    </row>
    <row r="725" spans="1:29" ht="13.5" customHeight="1">
      <c r="A725" s="215"/>
      <c r="B725" s="532">
        <v>39437</v>
      </c>
      <c r="C725" s="532"/>
      <c r="D725" s="219" t="s">
        <v>212</v>
      </c>
      <c r="E725" s="224">
        <v>146.1</v>
      </c>
      <c r="F725" s="533">
        <v>24</v>
      </c>
      <c r="G725" s="533"/>
      <c r="H725" s="224">
        <v>181.4</v>
      </c>
      <c r="I725" s="533">
        <v>24</v>
      </c>
      <c r="J725" s="533"/>
      <c r="K725" s="224">
        <v>0</v>
      </c>
      <c r="L725" s="225">
        <v>0</v>
      </c>
      <c r="M725" s="224">
        <v>300</v>
      </c>
      <c r="N725" s="225">
        <v>24</v>
      </c>
      <c r="O725" s="226">
        <v>627.5</v>
      </c>
      <c r="P725" s="222" t="s">
        <v>212</v>
      </c>
      <c r="Q725" s="224">
        <v>0</v>
      </c>
      <c r="R725" s="225">
        <v>0</v>
      </c>
      <c r="S725" s="224">
        <v>0</v>
      </c>
      <c r="T725" s="533">
        <v>0</v>
      </c>
      <c r="U725" s="533"/>
      <c r="V725" s="224">
        <v>0</v>
      </c>
      <c r="W725" s="222" t="s">
        <v>212</v>
      </c>
      <c r="X725" s="534">
        <v>627.5</v>
      </c>
      <c r="Y725" s="534"/>
      <c r="Z725" s="222" t="s">
        <v>212</v>
      </c>
      <c r="AA725" s="227">
        <v>0</v>
      </c>
      <c r="AB725" s="228">
        <v>335057</v>
      </c>
      <c r="AC725" s="215"/>
    </row>
    <row r="726" spans="1:29" ht="2.25" customHeight="1">
      <c r="A726" s="215"/>
      <c r="B726" s="529" t="s">
        <v>212</v>
      </c>
      <c r="C726" s="529"/>
      <c r="D726" s="219" t="s">
        <v>212</v>
      </c>
      <c r="E726" s="222" t="s">
        <v>212</v>
      </c>
      <c r="F726" s="531" t="s">
        <v>212</v>
      </c>
      <c r="G726" s="531"/>
      <c r="H726" s="222" t="s">
        <v>212</v>
      </c>
      <c r="I726" s="531" t="s">
        <v>212</v>
      </c>
      <c r="J726" s="531"/>
      <c r="K726" s="222" t="s">
        <v>212</v>
      </c>
      <c r="L726" s="222" t="s">
        <v>212</v>
      </c>
      <c r="M726" s="222" t="s">
        <v>212</v>
      </c>
      <c r="N726" s="222" t="s">
        <v>212</v>
      </c>
      <c r="O726" s="222" t="s">
        <v>212</v>
      </c>
      <c r="P726" s="222" t="s">
        <v>212</v>
      </c>
      <c r="Q726" s="222" t="s">
        <v>212</v>
      </c>
      <c r="R726" s="222" t="s">
        <v>212</v>
      </c>
      <c r="S726" s="222" t="s">
        <v>212</v>
      </c>
      <c r="T726" s="531" t="s">
        <v>212</v>
      </c>
      <c r="U726" s="531"/>
      <c r="V726" s="222" t="s">
        <v>212</v>
      </c>
      <c r="W726" s="222" t="s">
        <v>212</v>
      </c>
      <c r="X726" s="531" t="s">
        <v>212</v>
      </c>
      <c r="Y726" s="531"/>
      <c r="Z726" s="222" t="s">
        <v>212</v>
      </c>
      <c r="AA726" s="222" t="s">
        <v>212</v>
      </c>
      <c r="AB726" s="222" t="s">
        <v>212</v>
      </c>
      <c r="AC726" s="215"/>
    </row>
    <row r="727" spans="1:29" ht="13.5" customHeight="1">
      <c r="A727" s="215"/>
      <c r="B727" s="535">
        <v>39438</v>
      </c>
      <c r="C727" s="535"/>
      <c r="D727" s="219" t="s">
        <v>212</v>
      </c>
      <c r="E727" s="229">
        <v>137.5</v>
      </c>
      <c r="F727" s="536">
        <v>24</v>
      </c>
      <c r="G727" s="536"/>
      <c r="H727" s="229">
        <v>175.2</v>
      </c>
      <c r="I727" s="536">
        <v>24</v>
      </c>
      <c r="J727" s="536"/>
      <c r="K727" s="229">
        <v>0</v>
      </c>
      <c r="L727" s="230">
        <v>0</v>
      </c>
      <c r="M727" s="229">
        <v>309</v>
      </c>
      <c r="N727" s="230">
        <v>24</v>
      </c>
      <c r="O727" s="231">
        <v>621.70000000000005</v>
      </c>
      <c r="P727" s="222" t="s">
        <v>212</v>
      </c>
      <c r="Q727" s="229">
        <v>0</v>
      </c>
      <c r="R727" s="230">
        <v>0</v>
      </c>
      <c r="S727" s="229">
        <v>0</v>
      </c>
      <c r="T727" s="536">
        <v>0</v>
      </c>
      <c r="U727" s="536"/>
      <c r="V727" s="229">
        <v>0</v>
      </c>
      <c r="W727" s="222" t="s">
        <v>212</v>
      </c>
      <c r="X727" s="530">
        <v>621.70000000000005</v>
      </c>
      <c r="Y727" s="530"/>
      <c r="Z727" s="222" t="s">
        <v>212</v>
      </c>
      <c r="AA727" s="232">
        <v>0</v>
      </c>
      <c r="AB727" s="233">
        <v>331844</v>
      </c>
      <c r="AC727" s="215"/>
    </row>
    <row r="728" spans="1:29" ht="2.25" customHeight="1">
      <c r="A728" s="215"/>
      <c r="B728" s="529" t="s">
        <v>212</v>
      </c>
      <c r="C728" s="529"/>
      <c r="D728" s="219" t="s">
        <v>212</v>
      </c>
      <c r="E728" s="222" t="s">
        <v>212</v>
      </c>
      <c r="F728" s="531" t="s">
        <v>212</v>
      </c>
      <c r="G728" s="531"/>
      <c r="H728" s="222" t="s">
        <v>212</v>
      </c>
      <c r="I728" s="531" t="s">
        <v>212</v>
      </c>
      <c r="J728" s="531"/>
      <c r="K728" s="222" t="s">
        <v>212</v>
      </c>
      <c r="L728" s="222" t="s">
        <v>212</v>
      </c>
      <c r="M728" s="222" t="s">
        <v>212</v>
      </c>
      <c r="N728" s="222" t="s">
        <v>212</v>
      </c>
      <c r="O728" s="222" t="s">
        <v>212</v>
      </c>
      <c r="P728" s="222" t="s">
        <v>212</v>
      </c>
      <c r="Q728" s="222" t="s">
        <v>212</v>
      </c>
      <c r="R728" s="222" t="s">
        <v>212</v>
      </c>
      <c r="S728" s="222" t="s">
        <v>212</v>
      </c>
      <c r="T728" s="531" t="s">
        <v>212</v>
      </c>
      <c r="U728" s="531"/>
      <c r="V728" s="222" t="s">
        <v>212</v>
      </c>
      <c r="W728" s="222" t="s">
        <v>212</v>
      </c>
      <c r="X728" s="531" t="s">
        <v>212</v>
      </c>
      <c r="Y728" s="531"/>
      <c r="Z728" s="222" t="s">
        <v>212</v>
      </c>
      <c r="AA728" s="222" t="s">
        <v>212</v>
      </c>
      <c r="AB728" s="222" t="s">
        <v>212</v>
      </c>
      <c r="AC728" s="215"/>
    </row>
    <row r="729" spans="1:29" ht="13.5" customHeight="1">
      <c r="A729" s="215"/>
      <c r="B729" s="532">
        <v>39439</v>
      </c>
      <c r="C729" s="532"/>
      <c r="D729" s="219" t="s">
        <v>212</v>
      </c>
      <c r="E729" s="224">
        <v>97</v>
      </c>
      <c r="F729" s="533">
        <v>24</v>
      </c>
      <c r="G729" s="533"/>
      <c r="H729" s="224">
        <v>123.7</v>
      </c>
      <c r="I729" s="533">
        <v>24</v>
      </c>
      <c r="J729" s="533"/>
      <c r="K729" s="224">
        <v>0</v>
      </c>
      <c r="L729" s="225">
        <v>0</v>
      </c>
      <c r="M729" s="224">
        <v>291</v>
      </c>
      <c r="N729" s="225">
        <v>24</v>
      </c>
      <c r="O729" s="226">
        <v>511.7</v>
      </c>
      <c r="P729" s="222" t="s">
        <v>212</v>
      </c>
      <c r="Q729" s="224">
        <v>0</v>
      </c>
      <c r="R729" s="225">
        <v>0</v>
      </c>
      <c r="S729" s="224">
        <v>0</v>
      </c>
      <c r="T729" s="533">
        <v>0</v>
      </c>
      <c r="U729" s="533"/>
      <c r="V729" s="224">
        <v>0</v>
      </c>
      <c r="W729" s="222" t="s">
        <v>212</v>
      </c>
      <c r="X729" s="534">
        <v>511.7</v>
      </c>
      <c r="Y729" s="534"/>
      <c r="Z729" s="222" t="s">
        <v>212</v>
      </c>
      <c r="AA729" s="227">
        <v>0</v>
      </c>
      <c r="AB729" s="228">
        <v>307244</v>
      </c>
      <c r="AC729" s="215"/>
    </row>
    <row r="730" spans="1:29" ht="2.25" customHeight="1">
      <c r="A730" s="215"/>
      <c r="B730" s="529" t="s">
        <v>212</v>
      </c>
      <c r="C730" s="529"/>
      <c r="D730" s="219" t="s">
        <v>212</v>
      </c>
      <c r="E730" s="222" t="s">
        <v>212</v>
      </c>
      <c r="F730" s="531" t="s">
        <v>212</v>
      </c>
      <c r="G730" s="531"/>
      <c r="H730" s="222" t="s">
        <v>212</v>
      </c>
      <c r="I730" s="531" t="s">
        <v>212</v>
      </c>
      <c r="J730" s="531"/>
      <c r="K730" s="222" t="s">
        <v>212</v>
      </c>
      <c r="L730" s="222" t="s">
        <v>212</v>
      </c>
      <c r="M730" s="222" t="s">
        <v>212</v>
      </c>
      <c r="N730" s="222" t="s">
        <v>212</v>
      </c>
      <c r="O730" s="222" t="s">
        <v>212</v>
      </c>
      <c r="P730" s="222" t="s">
        <v>212</v>
      </c>
      <c r="Q730" s="222" t="s">
        <v>212</v>
      </c>
      <c r="R730" s="222" t="s">
        <v>212</v>
      </c>
      <c r="S730" s="222" t="s">
        <v>212</v>
      </c>
      <c r="T730" s="531" t="s">
        <v>212</v>
      </c>
      <c r="U730" s="531"/>
      <c r="V730" s="222" t="s">
        <v>212</v>
      </c>
      <c r="W730" s="222" t="s">
        <v>212</v>
      </c>
      <c r="X730" s="531" t="s">
        <v>212</v>
      </c>
      <c r="Y730" s="531"/>
      <c r="Z730" s="222" t="s">
        <v>212</v>
      </c>
      <c r="AA730" s="222" t="s">
        <v>212</v>
      </c>
      <c r="AB730" s="222" t="s">
        <v>212</v>
      </c>
      <c r="AC730" s="215"/>
    </row>
    <row r="731" spans="1:29" ht="13.5" customHeight="1">
      <c r="A731" s="215"/>
      <c r="B731" s="535">
        <v>39440</v>
      </c>
      <c r="C731" s="535"/>
      <c r="D731" s="219" t="s">
        <v>212</v>
      </c>
      <c r="E731" s="229">
        <v>180.7</v>
      </c>
      <c r="F731" s="536">
        <v>24</v>
      </c>
      <c r="G731" s="536"/>
      <c r="H731" s="229">
        <v>187.8</v>
      </c>
      <c r="I731" s="536">
        <v>24</v>
      </c>
      <c r="J731" s="536"/>
      <c r="K731" s="229">
        <v>0</v>
      </c>
      <c r="L731" s="230">
        <v>0</v>
      </c>
      <c r="M731" s="229">
        <v>209</v>
      </c>
      <c r="N731" s="230">
        <v>24</v>
      </c>
      <c r="O731" s="231">
        <v>577.5</v>
      </c>
      <c r="P731" s="222" t="s">
        <v>212</v>
      </c>
      <c r="Q731" s="229">
        <v>0</v>
      </c>
      <c r="R731" s="230">
        <v>0</v>
      </c>
      <c r="S731" s="229">
        <v>0</v>
      </c>
      <c r="T731" s="536">
        <v>0</v>
      </c>
      <c r="U731" s="536"/>
      <c r="V731" s="229">
        <v>0</v>
      </c>
      <c r="W731" s="222" t="s">
        <v>212</v>
      </c>
      <c r="X731" s="530">
        <v>577.5</v>
      </c>
      <c r="Y731" s="530"/>
      <c r="Z731" s="222" t="s">
        <v>212</v>
      </c>
      <c r="AA731" s="232">
        <v>0</v>
      </c>
      <c r="AB731" s="233">
        <v>325227</v>
      </c>
      <c r="AC731" s="215"/>
    </row>
    <row r="732" spans="1:29" ht="2.25" customHeight="1">
      <c r="A732" s="215"/>
      <c r="B732" s="529" t="s">
        <v>212</v>
      </c>
      <c r="C732" s="529"/>
      <c r="D732" s="219" t="s">
        <v>212</v>
      </c>
      <c r="E732" s="222" t="s">
        <v>212</v>
      </c>
      <c r="F732" s="531" t="s">
        <v>212</v>
      </c>
      <c r="G732" s="531"/>
      <c r="H732" s="222" t="s">
        <v>212</v>
      </c>
      <c r="I732" s="531" t="s">
        <v>212</v>
      </c>
      <c r="J732" s="531"/>
      <c r="K732" s="222" t="s">
        <v>212</v>
      </c>
      <c r="L732" s="222" t="s">
        <v>212</v>
      </c>
      <c r="M732" s="222" t="s">
        <v>212</v>
      </c>
      <c r="N732" s="222" t="s">
        <v>212</v>
      </c>
      <c r="O732" s="222" t="s">
        <v>212</v>
      </c>
      <c r="P732" s="222" t="s">
        <v>212</v>
      </c>
      <c r="Q732" s="222" t="s">
        <v>212</v>
      </c>
      <c r="R732" s="222" t="s">
        <v>212</v>
      </c>
      <c r="S732" s="222" t="s">
        <v>212</v>
      </c>
      <c r="T732" s="531" t="s">
        <v>212</v>
      </c>
      <c r="U732" s="531"/>
      <c r="V732" s="222" t="s">
        <v>212</v>
      </c>
      <c r="W732" s="222" t="s">
        <v>212</v>
      </c>
      <c r="X732" s="531" t="s">
        <v>212</v>
      </c>
      <c r="Y732" s="531"/>
      <c r="Z732" s="222" t="s">
        <v>212</v>
      </c>
      <c r="AA732" s="222" t="s">
        <v>212</v>
      </c>
      <c r="AB732" s="222" t="s">
        <v>212</v>
      </c>
      <c r="AC732" s="215"/>
    </row>
    <row r="733" spans="1:29" ht="13.5" customHeight="1">
      <c r="A733" s="215"/>
      <c r="B733" s="532">
        <v>39441</v>
      </c>
      <c r="C733" s="532"/>
      <c r="D733" s="219" t="s">
        <v>212</v>
      </c>
      <c r="E733" s="224">
        <v>238.8</v>
      </c>
      <c r="F733" s="533">
        <v>24</v>
      </c>
      <c r="G733" s="533"/>
      <c r="H733" s="224">
        <v>261.5</v>
      </c>
      <c r="I733" s="533">
        <v>24</v>
      </c>
      <c r="J733" s="533"/>
      <c r="K733" s="224">
        <v>0</v>
      </c>
      <c r="L733" s="225">
        <v>0</v>
      </c>
      <c r="M733" s="224">
        <v>126</v>
      </c>
      <c r="N733" s="225">
        <v>18</v>
      </c>
      <c r="O733" s="226">
        <v>626.29999999999995</v>
      </c>
      <c r="P733" s="222" t="s">
        <v>212</v>
      </c>
      <c r="Q733" s="224">
        <v>7</v>
      </c>
      <c r="R733" s="225">
        <v>1</v>
      </c>
      <c r="S733" s="224">
        <v>0</v>
      </c>
      <c r="T733" s="533">
        <v>0</v>
      </c>
      <c r="U733" s="533"/>
      <c r="V733" s="224">
        <v>7</v>
      </c>
      <c r="W733" s="222" t="s">
        <v>212</v>
      </c>
      <c r="X733" s="534">
        <v>633.29999999999995</v>
      </c>
      <c r="Y733" s="534"/>
      <c r="Z733" s="222" t="s">
        <v>212</v>
      </c>
      <c r="AA733" s="227">
        <v>0</v>
      </c>
      <c r="AB733" s="228">
        <v>335034</v>
      </c>
      <c r="AC733" s="215"/>
    </row>
    <row r="734" spans="1:29" ht="2.25" customHeight="1">
      <c r="A734" s="215"/>
      <c r="B734" s="529" t="s">
        <v>212</v>
      </c>
      <c r="C734" s="529"/>
      <c r="D734" s="219" t="s">
        <v>212</v>
      </c>
      <c r="E734" s="222" t="s">
        <v>212</v>
      </c>
      <c r="F734" s="531" t="s">
        <v>212</v>
      </c>
      <c r="G734" s="531"/>
      <c r="H734" s="222" t="s">
        <v>212</v>
      </c>
      <c r="I734" s="531" t="s">
        <v>212</v>
      </c>
      <c r="J734" s="531"/>
      <c r="K734" s="222" t="s">
        <v>212</v>
      </c>
      <c r="L734" s="222" t="s">
        <v>212</v>
      </c>
      <c r="M734" s="222" t="s">
        <v>212</v>
      </c>
      <c r="N734" s="222" t="s">
        <v>212</v>
      </c>
      <c r="O734" s="222" t="s">
        <v>212</v>
      </c>
      <c r="P734" s="222" t="s">
        <v>212</v>
      </c>
      <c r="Q734" s="222" t="s">
        <v>212</v>
      </c>
      <c r="R734" s="222" t="s">
        <v>212</v>
      </c>
      <c r="S734" s="222" t="s">
        <v>212</v>
      </c>
      <c r="T734" s="531" t="s">
        <v>212</v>
      </c>
      <c r="U734" s="531"/>
      <c r="V734" s="222" t="s">
        <v>212</v>
      </c>
      <c r="W734" s="222" t="s">
        <v>212</v>
      </c>
      <c r="X734" s="531" t="s">
        <v>212</v>
      </c>
      <c r="Y734" s="531"/>
      <c r="Z734" s="222" t="s">
        <v>212</v>
      </c>
      <c r="AA734" s="222" t="s">
        <v>212</v>
      </c>
      <c r="AB734" s="222" t="s">
        <v>212</v>
      </c>
      <c r="AC734" s="215"/>
    </row>
    <row r="735" spans="1:29" ht="13.5" customHeight="1">
      <c r="A735" s="215"/>
      <c r="B735" s="535">
        <v>39442</v>
      </c>
      <c r="C735" s="535"/>
      <c r="D735" s="219" t="s">
        <v>212</v>
      </c>
      <c r="E735" s="229">
        <v>205.3</v>
      </c>
      <c r="F735" s="536">
        <v>24</v>
      </c>
      <c r="G735" s="536"/>
      <c r="H735" s="229">
        <v>231.5</v>
      </c>
      <c r="I735" s="536">
        <v>24</v>
      </c>
      <c r="J735" s="536"/>
      <c r="K735" s="229">
        <v>0</v>
      </c>
      <c r="L735" s="230">
        <v>0</v>
      </c>
      <c r="M735" s="229">
        <v>187</v>
      </c>
      <c r="N735" s="230">
        <v>24</v>
      </c>
      <c r="O735" s="231">
        <v>623.79999999999995</v>
      </c>
      <c r="P735" s="222" t="s">
        <v>212</v>
      </c>
      <c r="Q735" s="229">
        <v>0</v>
      </c>
      <c r="R735" s="230">
        <v>0</v>
      </c>
      <c r="S735" s="229">
        <v>0</v>
      </c>
      <c r="T735" s="536">
        <v>0</v>
      </c>
      <c r="U735" s="536"/>
      <c r="V735" s="229">
        <v>0</v>
      </c>
      <c r="W735" s="222" t="s">
        <v>212</v>
      </c>
      <c r="X735" s="530">
        <v>623.79999999999995</v>
      </c>
      <c r="Y735" s="530"/>
      <c r="Z735" s="222" t="s">
        <v>212</v>
      </c>
      <c r="AA735" s="232">
        <v>0</v>
      </c>
      <c r="AB735" s="233">
        <v>339148</v>
      </c>
      <c r="AC735" s="215"/>
    </row>
    <row r="736" spans="1:29" ht="2.25" customHeight="1">
      <c r="A736" s="215"/>
      <c r="B736" s="529" t="s">
        <v>212</v>
      </c>
      <c r="C736" s="529"/>
      <c r="D736" s="219" t="s">
        <v>212</v>
      </c>
      <c r="E736" s="222" t="s">
        <v>212</v>
      </c>
      <c r="F736" s="531" t="s">
        <v>212</v>
      </c>
      <c r="G736" s="531"/>
      <c r="H736" s="222" t="s">
        <v>212</v>
      </c>
      <c r="I736" s="531" t="s">
        <v>212</v>
      </c>
      <c r="J736" s="531"/>
      <c r="K736" s="222" t="s">
        <v>212</v>
      </c>
      <c r="L736" s="222" t="s">
        <v>212</v>
      </c>
      <c r="M736" s="222" t="s">
        <v>212</v>
      </c>
      <c r="N736" s="222" t="s">
        <v>212</v>
      </c>
      <c r="O736" s="222" t="s">
        <v>212</v>
      </c>
      <c r="P736" s="222" t="s">
        <v>212</v>
      </c>
      <c r="Q736" s="222" t="s">
        <v>212</v>
      </c>
      <c r="R736" s="222" t="s">
        <v>212</v>
      </c>
      <c r="S736" s="222" t="s">
        <v>212</v>
      </c>
      <c r="T736" s="531" t="s">
        <v>212</v>
      </c>
      <c r="U736" s="531"/>
      <c r="V736" s="222" t="s">
        <v>212</v>
      </c>
      <c r="W736" s="222" t="s">
        <v>212</v>
      </c>
      <c r="X736" s="531" t="s">
        <v>212</v>
      </c>
      <c r="Y736" s="531"/>
      <c r="Z736" s="222" t="s">
        <v>212</v>
      </c>
      <c r="AA736" s="222" t="s">
        <v>212</v>
      </c>
      <c r="AB736" s="222" t="s">
        <v>212</v>
      </c>
      <c r="AC736" s="215"/>
    </row>
    <row r="737" spans="1:29" ht="13.5" customHeight="1">
      <c r="A737" s="215"/>
      <c r="B737" s="532">
        <v>39443</v>
      </c>
      <c r="C737" s="532"/>
      <c r="D737" s="219" t="s">
        <v>212</v>
      </c>
      <c r="E737" s="224">
        <v>141</v>
      </c>
      <c r="F737" s="533">
        <v>24</v>
      </c>
      <c r="G737" s="533"/>
      <c r="H737" s="224">
        <v>164.2</v>
      </c>
      <c r="I737" s="533">
        <v>24</v>
      </c>
      <c r="J737" s="533"/>
      <c r="K737" s="224">
        <v>0</v>
      </c>
      <c r="L737" s="225">
        <v>0</v>
      </c>
      <c r="M737" s="224">
        <v>280</v>
      </c>
      <c r="N737" s="225">
        <v>24</v>
      </c>
      <c r="O737" s="226">
        <v>585.20000000000005</v>
      </c>
      <c r="P737" s="222" t="s">
        <v>212</v>
      </c>
      <c r="Q737" s="224">
        <v>0</v>
      </c>
      <c r="R737" s="225">
        <v>0</v>
      </c>
      <c r="S737" s="224">
        <v>0</v>
      </c>
      <c r="T737" s="533">
        <v>0</v>
      </c>
      <c r="U737" s="533"/>
      <c r="V737" s="224">
        <v>0</v>
      </c>
      <c r="W737" s="222" t="s">
        <v>212</v>
      </c>
      <c r="X737" s="534">
        <v>585.20000000000005</v>
      </c>
      <c r="Y737" s="534"/>
      <c r="Z737" s="222" t="s">
        <v>212</v>
      </c>
      <c r="AA737" s="227">
        <v>0</v>
      </c>
      <c r="AB737" s="228">
        <v>325527</v>
      </c>
      <c r="AC737" s="215"/>
    </row>
    <row r="738" spans="1:29" ht="2.25" customHeight="1">
      <c r="A738" s="215"/>
      <c r="B738" s="529" t="s">
        <v>212</v>
      </c>
      <c r="C738" s="529"/>
      <c r="D738" s="219" t="s">
        <v>212</v>
      </c>
      <c r="E738" s="222" t="s">
        <v>212</v>
      </c>
      <c r="F738" s="531" t="s">
        <v>212</v>
      </c>
      <c r="G738" s="531"/>
      <c r="H738" s="222" t="s">
        <v>212</v>
      </c>
      <c r="I738" s="531" t="s">
        <v>212</v>
      </c>
      <c r="J738" s="531"/>
      <c r="K738" s="222" t="s">
        <v>212</v>
      </c>
      <c r="L738" s="222" t="s">
        <v>212</v>
      </c>
      <c r="M738" s="222" t="s">
        <v>212</v>
      </c>
      <c r="N738" s="222" t="s">
        <v>212</v>
      </c>
      <c r="O738" s="222" t="s">
        <v>212</v>
      </c>
      <c r="P738" s="222" t="s">
        <v>212</v>
      </c>
      <c r="Q738" s="222" t="s">
        <v>212</v>
      </c>
      <c r="R738" s="222" t="s">
        <v>212</v>
      </c>
      <c r="S738" s="222" t="s">
        <v>212</v>
      </c>
      <c r="T738" s="531" t="s">
        <v>212</v>
      </c>
      <c r="U738" s="531"/>
      <c r="V738" s="222" t="s">
        <v>212</v>
      </c>
      <c r="W738" s="222" t="s">
        <v>212</v>
      </c>
      <c r="X738" s="531" t="s">
        <v>212</v>
      </c>
      <c r="Y738" s="531"/>
      <c r="Z738" s="222" t="s">
        <v>212</v>
      </c>
      <c r="AA738" s="222" t="s">
        <v>212</v>
      </c>
      <c r="AB738" s="222" t="s">
        <v>212</v>
      </c>
      <c r="AC738" s="215"/>
    </row>
    <row r="739" spans="1:29" ht="13.5" customHeight="1">
      <c r="A739" s="215"/>
      <c r="B739" s="535">
        <v>39444</v>
      </c>
      <c r="C739" s="535"/>
      <c r="D739" s="219" t="s">
        <v>212</v>
      </c>
      <c r="E739" s="229">
        <v>48.7</v>
      </c>
      <c r="F739" s="536">
        <v>24</v>
      </c>
      <c r="G739" s="536"/>
      <c r="H739" s="229">
        <v>158.30000000000001</v>
      </c>
      <c r="I739" s="536">
        <v>24</v>
      </c>
      <c r="J739" s="536"/>
      <c r="K739" s="229">
        <v>0</v>
      </c>
      <c r="L739" s="230">
        <v>0</v>
      </c>
      <c r="M739" s="229">
        <v>345</v>
      </c>
      <c r="N739" s="230">
        <v>24</v>
      </c>
      <c r="O739" s="231">
        <v>552</v>
      </c>
      <c r="P739" s="222" t="s">
        <v>212</v>
      </c>
      <c r="Q739" s="229">
        <v>0</v>
      </c>
      <c r="R739" s="230">
        <v>0</v>
      </c>
      <c r="S739" s="229">
        <v>0</v>
      </c>
      <c r="T739" s="536">
        <v>0</v>
      </c>
      <c r="U739" s="536"/>
      <c r="V739" s="229">
        <v>0</v>
      </c>
      <c r="W739" s="222" t="s">
        <v>212</v>
      </c>
      <c r="X739" s="530">
        <v>552</v>
      </c>
      <c r="Y739" s="530"/>
      <c r="Z739" s="222" t="s">
        <v>212</v>
      </c>
      <c r="AA739" s="232">
        <v>0</v>
      </c>
      <c r="AB739" s="233">
        <v>311866</v>
      </c>
      <c r="AC739" s="215"/>
    </row>
    <row r="740" spans="1:29" ht="2.25" customHeight="1">
      <c r="A740" s="215"/>
      <c r="B740" s="529" t="s">
        <v>212</v>
      </c>
      <c r="C740" s="529"/>
      <c r="D740" s="219" t="s">
        <v>212</v>
      </c>
      <c r="E740" s="222" t="s">
        <v>212</v>
      </c>
      <c r="F740" s="531" t="s">
        <v>212</v>
      </c>
      <c r="G740" s="531"/>
      <c r="H740" s="222" t="s">
        <v>212</v>
      </c>
      <c r="I740" s="531" t="s">
        <v>212</v>
      </c>
      <c r="J740" s="531"/>
      <c r="K740" s="222" t="s">
        <v>212</v>
      </c>
      <c r="L740" s="222" t="s">
        <v>212</v>
      </c>
      <c r="M740" s="222" t="s">
        <v>212</v>
      </c>
      <c r="N740" s="222" t="s">
        <v>212</v>
      </c>
      <c r="O740" s="222" t="s">
        <v>212</v>
      </c>
      <c r="P740" s="222" t="s">
        <v>212</v>
      </c>
      <c r="Q740" s="222" t="s">
        <v>212</v>
      </c>
      <c r="R740" s="222" t="s">
        <v>212</v>
      </c>
      <c r="S740" s="222" t="s">
        <v>212</v>
      </c>
      <c r="T740" s="531" t="s">
        <v>212</v>
      </c>
      <c r="U740" s="531"/>
      <c r="V740" s="222" t="s">
        <v>212</v>
      </c>
      <c r="W740" s="222" t="s">
        <v>212</v>
      </c>
      <c r="X740" s="531" t="s">
        <v>212</v>
      </c>
      <c r="Y740" s="531"/>
      <c r="Z740" s="222" t="s">
        <v>212</v>
      </c>
      <c r="AA740" s="222" t="s">
        <v>212</v>
      </c>
      <c r="AB740" s="222" t="s">
        <v>212</v>
      </c>
      <c r="AC740" s="215"/>
    </row>
    <row r="741" spans="1:29" ht="13.5" customHeight="1">
      <c r="A741" s="215"/>
      <c r="B741" s="532">
        <v>39445</v>
      </c>
      <c r="C741" s="532"/>
      <c r="D741" s="219" t="s">
        <v>212</v>
      </c>
      <c r="E741" s="224">
        <v>0</v>
      </c>
      <c r="F741" s="533">
        <v>0</v>
      </c>
      <c r="G741" s="533"/>
      <c r="H741" s="224">
        <v>234</v>
      </c>
      <c r="I741" s="533">
        <v>24</v>
      </c>
      <c r="J741" s="533"/>
      <c r="K741" s="224">
        <v>0</v>
      </c>
      <c r="L741" s="225">
        <v>0</v>
      </c>
      <c r="M741" s="224">
        <v>348</v>
      </c>
      <c r="N741" s="225">
        <v>24</v>
      </c>
      <c r="O741" s="226">
        <v>582</v>
      </c>
      <c r="P741" s="222" t="s">
        <v>212</v>
      </c>
      <c r="Q741" s="224">
        <v>0</v>
      </c>
      <c r="R741" s="225">
        <v>0</v>
      </c>
      <c r="S741" s="224">
        <v>0</v>
      </c>
      <c r="T741" s="533">
        <v>0</v>
      </c>
      <c r="U741" s="533"/>
      <c r="V741" s="224">
        <v>0</v>
      </c>
      <c r="W741" s="222" t="s">
        <v>212</v>
      </c>
      <c r="X741" s="534">
        <v>582</v>
      </c>
      <c r="Y741" s="534"/>
      <c r="Z741" s="222" t="s">
        <v>212</v>
      </c>
      <c r="AA741" s="227">
        <v>0</v>
      </c>
      <c r="AB741" s="228">
        <v>254708</v>
      </c>
      <c r="AC741" s="215"/>
    </row>
    <row r="742" spans="1:29" ht="2.25" customHeight="1">
      <c r="A742" s="215"/>
      <c r="B742" s="529" t="s">
        <v>212</v>
      </c>
      <c r="C742" s="529"/>
      <c r="D742" s="219" t="s">
        <v>212</v>
      </c>
      <c r="E742" s="222" t="s">
        <v>212</v>
      </c>
      <c r="F742" s="531" t="s">
        <v>212</v>
      </c>
      <c r="G742" s="531"/>
      <c r="H742" s="222" t="s">
        <v>212</v>
      </c>
      <c r="I742" s="531" t="s">
        <v>212</v>
      </c>
      <c r="J742" s="531"/>
      <c r="K742" s="222" t="s">
        <v>212</v>
      </c>
      <c r="L742" s="222" t="s">
        <v>212</v>
      </c>
      <c r="M742" s="222" t="s">
        <v>212</v>
      </c>
      <c r="N742" s="222" t="s">
        <v>212</v>
      </c>
      <c r="O742" s="222" t="s">
        <v>212</v>
      </c>
      <c r="P742" s="222" t="s">
        <v>212</v>
      </c>
      <c r="Q742" s="222" t="s">
        <v>212</v>
      </c>
      <c r="R742" s="222" t="s">
        <v>212</v>
      </c>
      <c r="S742" s="222" t="s">
        <v>212</v>
      </c>
      <c r="T742" s="531" t="s">
        <v>212</v>
      </c>
      <c r="U742" s="531"/>
      <c r="V742" s="222" t="s">
        <v>212</v>
      </c>
      <c r="W742" s="222" t="s">
        <v>212</v>
      </c>
      <c r="X742" s="531" t="s">
        <v>212</v>
      </c>
      <c r="Y742" s="531"/>
      <c r="Z742" s="222" t="s">
        <v>212</v>
      </c>
      <c r="AA742" s="222" t="s">
        <v>212</v>
      </c>
      <c r="AB742" s="222" t="s">
        <v>212</v>
      </c>
      <c r="AC742" s="215"/>
    </row>
    <row r="743" spans="1:29" ht="13.5" customHeight="1">
      <c r="A743" s="215"/>
      <c r="B743" s="535">
        <v>39446</v>
      </c>
      <c r="C743" s="535"/>
      <c r="D743" s="219" t="s">
        <v>212</v>
      </c>
      <c r="E743" s="229">
        <v>0</v>
      </c>
      <c r="F743" s="536">
        <v>0</v>
      </c>
      <c r="G743" s="536"/>
      <c r="H743" s="229">
        <v>253.9</v>
      </c>
      <c r="I743" s="536">
        <v>24</v>
      </c>
      <c r="J743" s="536"/>
      <c r="K743" s="229">
        <v>0</v>
      </c>
      <c r="L743" s="230">
        <v>0</v>
      </c>
      <c r="M743" s="229">
        <v>349</v>
      </c>
      <c r="N743" s="230">
        <v>24</v>
      </c>
      <c r="O743" s="231">
        <v>602.9</v>
      </c>
      <c r="P743" s="222" t="s">
        <v>212</v>
      </c>
      <c r="Q743" s="229">
        <v>0</v>
      </c>
      <c r="R743" s="230">
        <v>0</v>
      </c>
      <c r="S743" s="229">
        <v>0</v>
      </c>
      <c r="T743" s="536">
        <v>0</v>
      </c>
      <c r="U743" s="536"/>
      <c r="V743" s="229">
        <v>0</v>
      </c>
      <c r="W743" s="222" t="s">
        <v>212</v>
      </c>
      <c r="X743" s="530">
        <v>602.9</v>
      </c>
      <c r="Y743" s="530"/>
      <c r="Z743" s="222" t="s">
        <v>212</v>
      </c>
      <c r="AA743" s="232">
        <v>0</v>
      </c>
      <c r="AB743" s="233">
        <v>261097</v>
      </c>
      <c r="AC743" s="215"/>
    </row>
    <row r="744" spans="1:29" ht="2.25" customHeight="1">
      <c r="A744" s="215"/>
      <c r="B744" s="529" t="s">
        <v>212</v>
      </c>
      <c r="C744" s="529"/>
      <c r="D744" s="219" t="s">
        <v>212</v>
      </c>
      <c r="E744" s="219" t="s">
        <v>212</v>
      </c>
      <c r="F744" s="529" t="s">
        <v>212</v>
      </c>
      <c r="G744" s="529"/>
      <c r="H744" s="219" t="s">
        <v>212</v>
      </c>
      <c r="I744" s="529" t="s">
        <v>212</v>
      </c>
      <c r="J744" s="529"/>
      <c r="K744" s="219" t="s">
        <v>212</v>
      </c>
      <c r="L744" s="219" t="s">
        <v>212</v>
      </c>
      <c r="M744" s="219" t="s">
        <v>212</v>
      </c>
      <c r="N744" s="219" t="s">
        <v>212</v>
      </c>
      <c r="O744" s="219" t="s">
        <v>212</v>
      </c>
      <c r="P744" s="219" t="s">
        <v>212</v>
      </c>
      <c r="Q744" s="219" t="s">
        <v>212</v>
      </c>
      <c r="R744" s="219" t="s">
        <v>212</v>
      </c>
      <c r="S744" s="219" t="s">
        <v>212</v>
      </c>
      <c r="T744" s="529" t="s">
        <v>212</v>
      </c>
      <c r="U744" s="529"/>
      <c r="V744" s="219" t="s">
        <v>212</v>
      </c>
      <c r="W744" s="219" t="s">
        <v>212</v>
      </c>
      <c r="X744" s="529" t="s">
        <v>212</v>
      </c>
      <c r="Y744" s="529"/>
      <c r="Z744" s="219" t="s">
        <v>212</v>
      </c>
      <c r="AA744" s="219" t="s">
        <v>212</v>
      </c>
      <c r="AB744" s="219" t="s">
        <v>212</v>
      </c>
      <c r="AC744" s="215"/>
    </row>
    <row r="745" spans="1:29" ht="13.5" customHeight="1">
      <c r="A745" s="215"/>
      <c r="B745" s="522" t="s">
        <v>396</v>
      </c>
      <c r="C745" s="523"/>
      <c r="D745" s="219" t="s">
        <v>212</v>
      </c>
      <c r="E745" s="234">
        <v>63052.7</v>
      </c>
      <c r="F745" s="524">
        <v>6268</v>
      </c>
      <c r="G745" s="524"/>
      <c r="H745" s="234">
        <v>87778.1</v>
      </c>
      <c r="I745" s="524">
        <v>7215</v>
      </c>
      <c r="J745" s="524"/>
      <c r="K745" s="234">
        <v>60453.75</v>
      </c>
      <c r="L745" s="235">
        <v>5647</v>
      </c>
      <c r="M745" s="234">
        <v>7166</v>
      </c>
      <c r="N745" s="235">
        <v>620</v>
      </c>
      <c r="O745" s="236">
        <v>218450.55</v>
      </c>
      <c r="P745" s="219" t="s">
        <v>212</v>
      </c>
      <c r="Q745" s="234">
        <v>5416</v>
      </c>
      <c r="R745" s="235">
        <v>1555</v>
      </c>
      <c r="S745" s="234">
        <v>2292.1</v>
      </c>
      <c r="T745" s="524">
        <v>522</v>
      </c>
      <c r="U745" s="524"/>
      <c r="V745" s="234">
        <v>7708.1</v>
      </c>
      <c r="W745" s="219" t="s">
        <v>212</v>
      </c>
      <c r="X745" s="527">
        <v>226158.65</v>
      </c>
      <c r="Y745" s="527"/>
      <c r="Z745" s="219" t="s">
        <v>212</v>
      </c>
      <c r="AA745" s="237">
        <v>2572783836</v>
      </c>
      <c r="AB745" s="238">
        <v>18797654</v>
      </c>
      <c r="AC745" s="215"/>
    </row>
    <row r="746" spans="1:29" ht="13.5" customHeight="1">
      <c r="A746" s="215"/>
      <c r="B746" s="522" t="s">
        <v>397</v>
      </c>
      <c r="C746" s="523"/>
      <c r="D746" s="219" t="s">
        <v>212</v>
      </c>
      <c r="E746" s="234">
        <v>172.74712328767123</v>
      </c>
      <c r="F746" s="524">
        <v>17.219780219780219</v>
      </c>
      <c r="G746" s="524"/>
      <c r="H746" s="234">
        <v>240.48794520547946</v>
      </c>
      <c r="I746" s="524">
        <v>19.767123287671232</v>
      </c>
      <c r="J746" s="524"/>
      <c r="K746" s="234">
        <v>165.62671232876713</v>
      </c>
      <c r="L746" s="235">
        <v>15.471232876712328</v>
      </c>
      <c r="M746" s="234">
        <v>19.632876712328766</v>
      </c>
      <c r="N746" s="235">
        <v>1.6986301369863013</v>
      </c>
      <c r="O746" s="239">
        <v>598.49465753424658</v>
      </c>
      <c r="P746" s="219" t="s">
        <v>212</v>
      </c>
      <c r="Q746" s="234">
        <v>14.838356164383562</v>
      </c>
      <c r="R746" s="235">
        <v>4.2602739726027394</v>
      </c>
      <c r="S746" s="234">
        <v>6.2797260273972606</v>
      </c>
      <c r="T746" s="524">
        <v>1.4301369863013698</v>
      </c>
      <c r="U746" s="524"/>
      <c r="V746" s="234">
        <v>21.118082191780822</v>
      </c>
      <c r="W746" s="219" t="s">
        <v>212</v>
      </c>
      <c r="X746" s="527">
        <v>619.61273972602737</v>
      </c>
      <c r="Y746" s="527"/>
      <c r="Z746" s="219" t="s">
        <v>212</v>
      </c>
      <c r="AA746" s="237">
        <v>7048722.8383561643</v>
      </c>
      <c r="AB746" s="238">
        <v>51500.42191780822</v>
      </c>
      <c r="AC746" s="215"/>
    </row>
    <row r="747" spans="1:29" ht="13.5" customHeight="1">
      <c r="A747" s="215"/>
      <c r="B747" s="522" t="s">
        <v>398</v>
      </c>
      <c r="C747" s="523"/>
      <c r="D747" s="219" t="s">
        <v>212</v>
      </c>
      <c r="E747" s="234">
        <v>521.79999999999995</v>
      </c>
      <c r="F747" s="524">
        <v>24</v>
      </c>
      <c r="G747" s="524"/>
      <c r="H747" s="234">
        <v>391.4</v>
      </c>
      <c r="I747" s="524">
        <v>24</v>
      </c>
      <c r="J747" s="524"/>
      <c r="K747" s="234">
        <v>348.8</v>
      </c>
      <c r="L747" s="235">
        <v>24</v>
      </c>
      <c r="M747" s="234">
        <v>394</v>
      </c>
      <c r="N747" s="235">
        <v>24</v>
      </c>
      <c r="O747" s="236">
        <v>821.7</v>
      </c>
      <c r="P747" s="219" t="s">
        <v>212</v>
      </c>
      <c r="Q747" s="234">
        <v>366</v>
      </c>
      <c r="R747" s="235">
        <v>24</v>
      </c>
      <c r="S747" s="234">
        <v>336</v>
      </c>
      <c r="T747" s="524">
        <v>24</v>
      </c>
      <c r="U747" s="524"/>
      <c r="V747" s="234">
        <v>366</v>
      </c>
      <c r="W747" s="219" t="s">
        <v>212</v>
      </c>
      <c r="X747" s="527">
        <v>821.7</v>
      </c>
      <c r="Y747" s="527"/>
      <c r="Z747" s="219" t="s">
        <v>212</v>
      </c>
      <c r="AA747" s="237">
        <v>11260600</v>
      </c>
      <c r="AB747" s="238">
        <v>342648</v>
      </c>
      <c r="AC747" s="215"/>
    </row>
    <row r="748" spans="1:29" ht="11.25" customHeight="1">
      <c r="A748" s="215"/>
      <c r="B748" s="522" t="s">
        <v>399</v>
      </c>
      <c r="C748" s="523"/>
      <c r="D748" s="219" t="s">
        <v>212</v>
      </c>
      <c r="E748" s="234">
        <v>0</v>
      </c>
      <c r="F748" s="524">
        <v>0</v>
      </c>
      <c r="G748" s="524"/>
      <c r="H748" s="234">
        <v>0</v>
      </c>
      <c r="I748" s="524">
        <v>0</v>
      </c>
      <c r="J748" s="524"/>
      <c r="K748" s="234">
        <v>0</v>
      </c>
      <c r="L748" s="235">
        <v>0</v>
      </c>
      <c r="M748" s="234">
        <v>0</v>
      </c>
      <c r="N748" s="235">
        <v>0</v>
      </c>
      <c r="O748" s="236">
        <v>241.5</v>
      </c>
      <c r="P748" s="219" t="s">
        <v>212</v>
      </c>
      <c r="Q748" s="234">
        <v>0</v>
      </c>
      <c r="R748" s="235">
        <v>0</v>
      </c>
      <c r="S748" s="234">
        <v>0</v>
      </c>
      <c r="T748" s="524">
        <v>0</v>
      </c>
      <c r="U748" s="524"/>
      <c r="V748" s="234">
        <v>0</v>
      </c>
      <c r="W748" s="219" t="s">
        <v>212</v>
      </c>
      <c r="X748" s="527">
        <v>241.5</v>
      </c>
      <c r="Y748" s="527"/>
      <c r="Z748" s="219" t="s">
        <v>212</v>
      </c>
      <c r="AA748" s="237">
        <v>0</v>
      </c>
      <c r="AB748" s="238">
        <v>0</v>
      </c>
      <c r="AC748" s="215"/>
    </row>
    <row r="749" spans="1:29" ht="2.25" customHeight="1">
      <c r="A749" s="215"/>
      <c r="B749" s="528" t="s">
        <v>212</v>
      </c>
      <c r="C749" s="528"/>
      <c r="D749" s="219" t="s">
        <v>212</v>
      </c>
      <c r="E749" s="240" t="s">
        <v>212</v>
      </c>
      <c r="F749" s="521" t="s">
        <v>212</v>
      </c>
      <c r="G749" s="521"/>
      <c r="H749" s="240" t="s">
        <v>212</v>
      </c>
      <c r="I749" s="521" t="s">
        <v>212</v>
      </c>
      <c r="J749" s="521"/>
      <c r="K749" s="240" t="s">
        <v>212</v>
      </c>
      <c r="L749" s="240" t="s">
        <v>212</v>
      </c>
      <c r="M749" s="240" t="s">
        <v>212</v>
      </c>
      <c r="N749" s="240" t="s">
        <v>212</v>
      </c>
      <c r="O749" s="240" t="s">
        <v>212</v>
      </c>
      <c r="P749" s="219" t="s">
        <v>212</v>
      </c>
      <c r="Q749" s="240" t="s">
        <v>212</v>
      </c>
      <c r="R749" s="240" t="s">
        <v>212</v>
      </c>
      <c r="S749" s="240" t="s">
        <v>212</v>
      </c>
      <c r="T749" s="521" t="s">
        <v>212</v>
      </c>
      <c r="U749" s="521"/>
      <c r="V749" s="240" t="s">
        <v>212</v>
      </c>
      <c r="W749" s="219" t="s">
        <v>212</v>
      </c>
      <c r="X749" s="521" t="s">
        <v>212</v>
      </c>
      <c r="Y749" s="521"/>
      <c r="Z749" s="219" t="s">
        <v>212</v>
      </c>
      <c r="AA749" s="240" t="s">
        <v>212</v>
      </c>
      <c r="AB749" s="240" t="s">
        <v>212</v>
      </c>
      <c r="AC749" s="215"/>
    </row>
    <row r="750" spans="1:29" ht="15" customHeight="1">
      <c r="A750" s="215"/>
      <c r="B750" s="528" t="s">
        <v>212</v>
      </c>
      <c r="C750" s="528"/>
      <c r="D750" s="219" t="s">
        <v>212</v>
      </c>
      <c r="E750" s="240" t="s">
        <v>212</v>
      </c>
      <c r="F750" s="521" t="s">
        <v>212</v>
      </c>
      <c r="G750" s="521"/>
      <c r="H750" s="240" t="s">
        <v>212</v>
      </c>
      <c r="I750" s="521" t="s">
        <v>212</v>
      </c>
      <c r="J750" s="521"/>
      <c r="K750" s="240" t="s">
        <v>212</v>
      </c>
      <c r="L750" s="240" t="s">
        <v>212</v>
      </c>
      <c r="M750" s="240" t="s">
        <v>212</v>
      </c>
      <c r="N750" s="240" t="s">
        <v>212</v>
      </c>
      <c r="O750" s="240" t="s">
        <v>212</v>
      </c>
      <c r="P750" s="219" t="s">
        <v>212</v>
      </c>
      <c r="Q750" s="222" t="s">
        <v>212</v>
      </c>
      <c r="R750" s="240" t="s">
        <v>212</v>
      </c>
      <c r="S750" s="240" t="s">
        <v>212</v>
      </c>
      <c r="T750" s="521" t="s">
        <v>212</v>
      </c>
      <c r="U750" s="521"/>
      <c r="V750" s="525" t="s">
        <v>400</v>
      </c>
      <c r="W750" s="526"/>
      <c r="X750" s="526"/>
      <c r="Y750" s="526"/>
      <c r="Z750" s="526"/>
      <c r="AA750" s="526"/>
      <c r="AB750" s="241">
        <v>118248.781193581</v>
      </c>
      <c r="AC750" s="215"/>
    </row>
    <row r="751" spans="1:29" ht="13.5" customHeight="1">
      <c r="A751" s="215"/>
      <c r="B751" s="215"/>
      <c r="C751" s="215"/>
      <c r="D751" s="215"/>
      <c r="E751" s="215"/>
      <c r="F751" s="215"/>
      <c r="G751" s="215"/>
      <c r="H751" s="215"/>
      <c r="I751" s="215"/>
      <c r="J751" s="215"/>
      <c r="K751" s="215"/>
      <c r="L751" s="215"/>
      <c r="M751" s="215"/>
      <c r="N751" s="215"/>
      <c r="O751" s="215"/>
      <c r="P751" s="215"/>
      <c r="Q751" s="215"/>
      <c r="R751" s="215"/>
      <c r="S751" s="215"/>
      <c r="T751" s="215"/>
      <c r="U751" s="215"/>
      <c r="V751" s="215"/>
      <c r="W751" s="215"/>
      <c r="X751" s="215"/>
      <c r="Y751" s="215"/>
      <c r="Z751" s="215"/>
      <c r="AA751" s="215"/>
      <c r="AB751" s="215"/>
      <c r="AC751" s="215"/>
    </row>
  </sheetData>
  <mergeCells count="3699">
    <mergeCell ref="A10:AB10"/>
    <mergeCell ref="B16:C16"/>
    <mergeCell ref="F16:G16"/>
    <mergeCell ref="I16:J16"/>
    <mergeCell ref="T16:U16"/>
    <mergeCell ref="K14:L14"/>
    <mergeCell ref="C2:F7"/>
    <mergeCell ref="Y3:AB8"/>
    <mergeCell ref="J4:T4"/>
    <mergeCell ref="J5:T5"/>
    <mergeCell ref="X20:Y20"/>
    <mergeCell ref="Q13:V13"/>
    <mergeCell ref="X13:Y13"/>
    <mergeCell ref="E14:G14"/>
    <mergeCell ref="H14:J14"/>
    <mergeCell ref="X16:Y16"/>
    <mergeCell ref="B13:C13"/>
    <mergeCell ref="B15:C15"/>
    <mergeCell ref="AA13:AB13"/>
    <mergeCell ref="B14:C14"/>
    <mergeCell ref="E13:O13"/>
    <mergeCell ref="S14:U14"/>
    <mergeCell ref="X14:Y14"/>
    <mergeCell ref="T15:U15"/>
    <mergeCell ref="B17:C17"/>
    <mergeCell ref="F17:G17"/>
    <mergeCell ref="I17:J17"/>
    <mergeCell ref="T17:U17"/>
    <mergeCell ref="X15:Y15"/>
    <mergeCell ref="I19:J19"/>
    <mergeCell ref="T19:U19"/>
    <mergeCell ref="X19:Y19"/>
    <mergeCell ref="B18:C18"/>
    <mergeCell ref="F18:G18"/>
    <mergeCell ref="I18:J18"/>
    <mergeCell ref="T18:U18"/>
    <mergeCell ref="X18:Y18"/>
    <mergeCell ref="B19:C19"/>
    <mergeCell ref="X21:Y21"/>
    <mergeCell ref="F19:G19"/>
    <mergeCell ref="M14:N14"/>
    <mergeCell ref="F15:G15"/>
    <mergeCell ref="I15:J15"/>
    <mergeCell ref="X17:Y17"/>
    <mergeCell ref="Q14:R14"/>
    <mergeCell ref="B20:C20"/>
    <mergeCell ref="F20:G20"/>
    <mergeCell ref="I20:J20"/>
    <mergeCell ref="T20:U20"/>
    <mergeCell ref="B24:C24"/>
    <mergeCell ref="F24:G24"/>
    <mergeCell ref="I24:J24"/>
    <mergeCell ref="T24:U24"/>
    <mergeCell ref="B22:C22"/>
    <mergeCell ref="F22:G22"/>
    <mergeCell ref="I22:J22"/>
    <mergeCell ref="T22:U22"/>
    <mergeCell ref="X24:Y24"/>
    <mergeCell ref="B21:C21"/>
    <mergeCell ref="F21:G21"/>
    <mergeCell ref="I21:J21"/>
    <mergeCell ref="T21:U21"/>
    <mergeCell ref="X22:Y22"/>
    <mergeCell ref="B23:C23"/>
    <mergeCell ref="F23:G23"/>
    <mergeCell ref="I23:J23"/>
    <mergeCell ref="T23:U23"/>
    <mergeCell ref="X23:Y23"/>
    <mergeCell ref="X25:Y25"/>
    <mergeCell ref="B28:C28"/>
    <mergeCell ref="F28:G28"/>
    <mergeCell ref="I28:J28"/>
    <mergeCell ref="T28:U28"/>
    <mergeCell ref="B26:C26"/>
    <mergeCell ref="F26:G26"/>
    <mergeCell ref="I26:J26"/>
    <mergeCell ref="T26:U26"/>
    <mergeCell ref="X28:Y28"/>
    <mergeCell ref="B25:C25"/>
    <mergeCell ref="F25:G25"/>
    <mergeCell ref="I25:J25"/>
    <mergeCell ref="T25:U25"/>
    <mergeCell ref="X26:Y26"/>
    <mergeCell ref="B27:C27"/>
    <mergeCell ref="F27:G27"/>
    <mergeCell ref="I27:J27"/>
    <mergeCell ref="T27:U27"/>
    <mergeCell ref="X27:Y27"/>
    <mergeCell ref="X29:Y29"/>
    <mergeCell ref="B32:C32"/>
    <mergeCell ref="F32:G32"/>
    <mergeCell ref="I32:J32"/>
    <mergeCell ref="T32:U32"/>
    <mergeCell ref="B30:C30"/>
    <mergeCell ref="F30:G30"/>
    <mergeCell ref="I30:J30"/>
    <mergeCell ref="T30:U30"/>
    <mergeCell ref="X32:Y32"/>
    <mergeCell ref="B29:C29"/>
    <mergeCell ref="F29:G29"/>
    <mergeCell ref="I29:J29"/>
    <mergeCell ref="T29:U29"/>
    <mergeCell ref="X30:Y30"/>
    <mergeCell ref="B31:C31"/>
    <mergeCell ref="F31:G31"/>
    <mergeCell ref="I31:J31"/>
    <mergeCell ref="T31:U31"/>
    <mergeCell ref="X31:Y31"/>
    <mergeCell ref="X33:Y33"/>
    <mergeCell ref="B36:C36"/>
    <mergeCell ref="F36:G36"/>
    <mergeCell ref="I36:J36"/>
    <mergeCell ref="T36:U36"/>
    <mergeCell ref="B34:C34"/>
    <mergeCell ref="F34:G34"/>
    <mergeCell ref="I34:J34"/>
    <mergeCell ref="T34:U34"/>
    <mergeCell ref="X36:Y36"/>
    <mergeCell ref="B33:C33"/>
    <mergeCell ref="F33:G33"/>
    <mergeCell ref="I33:J33"/>
    <mergeCell ref="T33:U33"/>
    <mergeCell ref="X34:Y34"/>
    <mergeCell ref="B35:C35"/>
    <mergeCell ref="F35:G35"/>
    <mergeCell ref="I35:J35"/>
    <mergeCell ref="T35:U35"/>
    <mergeCell ref="X35:Y35"/>
    <mergeCell ref="X37:Y37"/>
    <mergeCell ref="B40:C40"/>
    <mergeCell ref="F40:G40"/>
    <mergeCell ref="I40:J40"/>
    <mergeCell ref="T40:U40"/>
    <mergeCell ref="B38:C38"/>
    <mergeCell ref="F38:G38"/>
    <mergeCell ref="I38:J38"/>
    <mergeCell ref="T38:U38"/>
    <mergeCell ref="X40:Y40"/>
    <mergeCell ref="B37:C37"/>
    <mergeCell ref="F37:G37"/>
    <mergeCell ref="I37:J37"/>
    <mergeCell ref="T37:U37"/>
    <mergeCell ref="X38:Y38"/>
    <mergeCell ref="B39:C39"/>
    <mergeCell ref="F39:G39"/>
    <mergeCell ref="I39:J39"/>
    <mergeCell ref="T39:U39"/>
    <mergeCell ref="X39:Y39"/>
    <mergeCell ref="X41:Y41"/>
    <mergeCell ref="B44:C44"/>
    <mergeCell ref="F44:G44"/>
    <mergeCell ref="I44:J44"/>
    <mergeCell ref="T44:U44"/>
    <mergeCell ref="B42:C42"/>
    <mergeCell ref="F42:G42"/>
    <mergeCell ref="I42:J42"/>
    <mergeCell ref="T42:U42"/>
    <mergeCell ref="X44:Y44"/>
    <mergeCell ref="B41:C41"/>
    <mergeCell ref="F41:G41"/>
    <mergeCell ref="I41:J41"/>
    <mergeCell ref="T41:U41"/>
    <mergeCell ref="X42:Y42"/>
    <mergeCell ref="B43:C43"/>
    <mergeCell ref="F43:G43"/>
    <mergeCell ref="I43:J43"/>
    <mergeCell ref="T43:U43"/>
    <mergeCell ref="X43:Y43"/>
    <mergeCell ref="X45:Y45"/>
    <mergeCell ref="B48:C48"/>
    <mergeCell ref="F48:G48"/>
    <mergeCell ref="I48:J48"/>
    <mergeCell ref="T48:U48"/>
    <mergeCell ref="B46:C46"/>
    <mergeCell ref="F46:G46"/>
    <mergeCell ref="I46:J46"/>
    <mergeCell ref="T46:U46"/>
    <mergeCell ref="X48:Y48"/>
    <mergeCell ref="B45:C45"/>
    <mergeCell ref="F45:G45"/>
    <mergeCell ref="I45:J45"/>
    <mergeCell ref="T45:U45"/>
    <mergeCell ref="X46:Y46"/>
    <mergeCell ref="B47:C47"/>
    <mergeCell ref="F47:G47"/>
    <mergeCell ref="I47:J47"/>
    <mergeCell ref="T47:U47"/>
    <mergeCell ref="X47:Y47"/>
    <mergeCell ref="X49:Y49"/>
    <mergeCell ref="B52:C52"/>
    <mergeCell ref="F52:G52"/>
    <mergeCell ref="I52:J52"/>
    <mergeCell ref="T52:U52"/>
    <mergeCell ref="B50:C50"/>
    <mergeCell ref="F50:G50"/>
    <mergeCell ref="I50:J50"/>
    <mergeCell ref="T50:U50"/>
    <mergeCell ref="X52:Y52"/>
    <mergeCell ref="B49:C49"/>
    <mergeCell ref="F49:G49"/>
    <mergeCell ref="I49:J49"/>
    <mergeCell ref="T49:U49"/>
    <mergeCell ref="X50:Y50"/>
    <mergeCell ref="B51:C51"/>
    <mergeCell ref="F51:G51"/>
    <mergeCell ref="I51:J51"/>
    <mergeCell ref="T51:U51"/>
    <mergeCell ref="X51:Y51"/>
    <mergeCell ref="X53:Y53"/>
    <mergeCell ref="B56:C56"/>
    <mergeCell ref="F56:G56"/>
    <mergeCell ref="I56:J56"/>
    <mergeCell ref="T56:U56"/>
    <mergeCell ref="B54:C54"/>
    <mergeCell ref="F54:G54"/>
    <mergeCell ref="I54:J54"/>
    <mergeCell ref="T54:U54"/>
    <mergeCell ref="X56:Y56"/>
    <mergeCell ref="B53:C53"/>
    <mergeCell ref="F53:G53"/>
    <mergeCell ref="I53:J53"/>
    <mergeCell ref="T53:U53"/>
    <mergeCell ref="X54:Y54"/>
    <mergeCell ref="B55:C55"/>
    <mergeCell ref="F55:G55"/>
    <mergeCell ref="I55:J55"/>
    <mergeCell ref="T55:U55"/>
    <mergeCell ref="X55:Y55"/>
    <mergeCell ref="X57:Y57"/>
    <mergeCell ref="B60:C60"/>
    <mergeCell ref="F60:G60"/>
    <mergeCell ref="I60:J60"/>
    <mergeCell ref="T60:U60"/>
    <mergeCell ref="B58:C58"/>
    <mergeCell ref="F58:G58"/>
    <mergeCell ref="I58:J58"/>
    <mergeCell ref="T58:U58"/>
    <mergeCell ref="X60:Y60"/>
    <mergeCell ref="B57:C57"/>
    <mergeCell ref="F57:G57"/>
    <mergeCell ref="I57:J57"/>
    <mergeCell ref="T57:U57"/>
    <mergeCell ref="X58:Y58"/>
    <mergeCell ref="B59:C59"/>
    <mergeCell ref="F59:G59"/>
    <mergeCell ref="I59:J59"/>
    <mergeCell ref="T59:U59"/>
    <mergeCell ref="X59:Y59"/>
    <mergeCell ref="X61:Y61"/>
    <mergeCell ref="B64:C64"/>
    <mergeCell ref="F64:G64"/>
    <mergeCell ref="I64:J64"/>
    <mergeCell ref="T64:U64"/>
    <mergeCell ref="B62:C62"/>
    <mergeCell ref="F62:G62"/>
    <mergeCell ref="I62:J62"/>
    <mergeCell ref="T62:U62"/>
    <mergeCell ref="X64:Y64"/>
    <mergeCell ref="B61:C61"/>
    <mergeCell ref="F61:G61"/>
    <mergeCell ref="I61:J61"/>
    <mergeCell ref="T61:U61"/>
    <mergeCell ref="X62:Y62"/>
    <mergeCell ref="B63:C63"/>
    <mergeCell ref="F63:G63"/>
    <mergeCell ref="I63:J63"/>
    <mergeCell ref="T63:U63"/>
    <mergeCell ref="X63:Y63"/>
    <mergeCell ref="X65:Y65"/>
    <mergeCell ref="B68:C68"/>
    <mergeCell ref="F68:G68"/>
    <mergeCell ref="I68:J68"/>
    <mergeCell ref="T68:U68"/>
    <mergeCell ref="B66:C66"/>
    <mergeCell ref="F66:G66"/>
    <mergeCell ref="I66:J66"/>
    <mergeCell ref="T66:U66"/>
    <mergeCell ref="X68:Y68"/>
    <mergeCell ref="B65:C65"/>
    <mergeCell ref="F65:G65"/>
    <mergeCell ref="I65:J65"/>
    <mergeCell ref="T65:U65"/>
    <mergeCell ref="X66:Y66"/>
    <mergeCell ref="B67:C67"/>
    <mergeCell ref="F67:G67"/>
    <mergeCell ref="I67:J67"/>
    <mergeCell ref="T67:U67"/>
    <mergeCell ref="X67:Y67"/>
    <mergeCell ref="X69:Y69"/>
    <mergeCell ref="B72:C72"/>
    <mergeCell ref="F72:G72"/>
    <mergeCell ref="I72:J72"/>
    <mergeCell ref="T72:U72"/>
    <mergeCell ref="B70:C70"/>
    <mergeCell ref="F70:G70"/>
    <mergeCell ref="I70:J70"/>
    <mergeCell ref="T70:U70"/>
    <mergeCell ref="X72:Y72"/>
    <mergeCell ref="B69:C69"/>
    <mergeCell ref="F69:G69"/>
    <mergeCell ref="I69:J69"/>
    <mergeCell ref="T69:U69"/>
    <mergeCell ref="X70:Y70"/>
    <mergeCell ref="B71:C71"/>
    <mergeCell ref="F71:G71"/>
    <mergeCell ref="I71:J71"/>
    <mergeCell ref="T71:U71"/>
    <mergeCell ref="X71:Y71"/>
    <mergeCell ref="X73:Y73"/>
    <mergeCell ref="B76:C76"/>
    <mergeCell ref="F76:G76"/>
    <mergeCell ref="I76:J76"/>
    <mergeCell ref="T76:U76"/>
    <mergeCell ref="B74:C74"/>
    <mergeCell ref="F74:G74"/>
    <mergeCell ref="I74:J74"/>
    <mergeCell ref="T74:U74"/>
    <mergeCell ref="X76:Y76"/>
    <mergeCell ref="B73:C73"/>
    <mergeCell ref="F73:G73"/>
    <mergeCell ref="I73:J73"/>
    <mergeCell ref="T73:U73"/>
    <mergeCell ref="X74:Y74"/>
    <mergeCell ref="B75:C75"/>
    <mergeCell ref="F75:G75"/>
    <mergeCell ref="I75:J75"/>
    <mergeCell ref="T75:U75"/>
    <mergeCell ref="X75:Y75"/>
    <mergeCell ref="X77:Y77"/>
    <mergeCell ref="B80:C80"/>
    <mergeCell ref="F80:G80"/>
    <mergeCell ref="I80:J80"/>
    <mergeCell ref="T80:U80"/>
    <mergeCell ref="B78:C78"/>
    <mergeCell ref="F78:G78"/>
    <mergeCell ref="I78:J78"/>
    <mergeCell ref="T78:U78"/>
    <mergeCell ref="X80:Y80"/>
    <mergeCell ref="B77:C77"/>
    <mergeCell ref="F77:G77"/>
    <mergeCell ref="I77:J77"/>
    <mergeCell ref="T77:U77"/>
    <mergeCell ref="X78:Y78"/>
    <mergeCell ref="B79:C79"/>
    <mergeCell ref="F79:G79"/>
    <mergeCell ref="I79:J79"/>
    <mergeCell ref="T79:U79"/>
    <mergeCell ref="X79:Y79"/>
    <mergeCell ref="X81:Y81"/>
    <mergeCell ref="B84:C84"/>
    <mergeCell ref="F84:G84"/>
    <mergeCell ref="I84:J84"/>
    <mergeCell ref="T84:U84"/>
    <mergeCell ref="B82:C82"/>
    <mergeCell ref="F82:G82"/>
    <mergeCell ref="I82:J82"/>
    <mergeCell ref="T82:U82"/>
    <mergeCell ref="X84:Y84"/>
    <mergeCell ref="B81:C81"/>
    <mergeCell ref="F81:G81"/>
    <mergeCell ref="I81:J81"/>
    <mergeCell ref="T81:U81"/>
    <mergeCell ref="X82:Y82"/>
    <mergeCell ref="B83:C83"/>
    <mergeCell ref="F83:G83"/>
    <mergeCell ref="I83:J83"/>
    <mergeCell ref="T83:U83"/>
    <mergeCell ref="X83:Y83"/>
    <mergeCell ref="X85:Y85"/>
    <mergeCell ref="B88:C88"/>
    <mergeCell ref="F88:G88"/>
    <mergeCell ref="I88:J88"/>
    <mergeCell ref="T88:U88"/>
    <mergeCell ref="B86:C86"/>
    <mergeCell ref="F86:G86"/>
    <mergeCell ref="I86:J86"/>
    <mergeCell ref="T86:U86"/>
    <mergeCell ref="X88:Y88"/>
    <mergeCell ref="B85:C85"/>
    <mergeCell ref="F85:G85"/>
    <mergeCell ref="I85:J85"/>
    <mergeCell ref="T85:U85"/>
    <mergeCell ref="X86:Y86"/>
    <mergeCell ref="B87:C87"/>
    <mergeCell ref="F87:G87"/>
    <mergeCell ref="I87:J87"/>
    <mergeCell ref="T87:U87"/>
    <mergeCell ref="X87:Y87"/>
    <mergeCell ref="X89:Y89"/>
    <mergeCell ref="B92:C92"/>
    <mergeCell ref="F92:G92"/>
    <mergeCell ref="I92:J92"/>
    <mergeCell ref="T92:U92"/>
    <mergeCell ref="B90:C90"/>
    <mergeCell ref="F90:G90"/>
    <mergeCell ref="I90:J90"/>
    <mergeCell ref="T90:U90"/>
    <mergeCell ref="X92:Y92"/>
    <mergeCell ref="B89:C89"/>
    <mergeCell ref="F89:G89"/>
    <mergeCell ref="I89:J89"/>
    <mergeCell ref="T89:U89"/>
    <mergeCell ref="X90:Y90"/>
    <mergeCell ref="B91:C91"/>
    <mergeCell ref="F91:G91"/>
    <mergeCell ref="I91:J91"/>
    <mergeCell ref="T91:U91"/>
    <mergeCell ref="X91:Y91"/>
    <mergeCell ref="X93:Y93"/>
    <mergeCell ref="B96:C96"/>
    <mergeCell ref="F96:G96"/>
    <mergeCell ref="I96:J96"/>
    <mergeCell ref="T96:U96"/>
    <mergeCell ref="B94:C94"/>
    <mergeCell ref="F94:G94"/>
    <mergeCell ref="I94:J94"/>
    <mergeCell ref="T94:U94"/>
    <mergeCell ref="X96:Y96"/>
    <mergeCell ref="B93:C93"/>
    <mergeCell ref="F93:G93"/>
    <mergeCell ref="I93:J93"/>
    <mergeCell ref="T93:U93"/>
    <mergeCell ref="X94:Y94"/>
    <mergeCell ref="B95:C95"/>
    <mergeCell ref="F95:G95"/>
    <mergeCell ref="I95:J95"/>
    <mergeCell ref="T95:U95"/>
    <mergeCell ref="X95:Y95"/>
    <mergeCell ref="X97:Y97"/>
    <mergeCell ref="B100:C100"/>
    <mergeCell ref="F100:G100"/>
    <mergeCell ref="I100:J100"/>
    <mergeCell ref="T100:U100"/>
    <mergeCell ref="B98:C98"/>
    <mergeCell ref="F98:G98"/>
    <mergeCell ref="I98:J98"/>
    <mergeCell ref="T98:U98"/>
    <mergeCell ref="X100:Y100"/>
    <mergeCell ref="B97:C97"/>
    <mergeCell ref="F97:G97"/>
    <mergeCell ref="I97:J97"/>
    <mergeCell ref="T97:U97"/>
    <mergeCell ref="X98:Y98"/>
    <mergeCell ref="B99:C99"/>
    <mergeCell ref="F99:G99"/>
    <mergeCell ref="I99:J99"/>
    <mergeCell ref="T99:U99"/>
    <mergeCell ref="X99:Y99"/>
    <mergeCell ref="X101:Y101"/>
    <mergeCell ref="B104:C104"/>
    <mergeCell ref="F104:G104"/>
    <mergeCell ref="I104:J104"/>
    <mergeCell ref="T104:U104"/>
    <mergeCell ref="B102:C102"/>
    <mergeCell ref="F102:G102"/>
    <mergeCell ref="I102:J102"/>
    <mergeCell ref="T102:U102"/>
    <mergeCell ref="X104:Y104"/>
    <mergeCell ref="B101:C101"/>
    <mergeCell ref="F101:G101"/>
    <mergeCell ref="I101:J101"/>
    <mergeCell ref="T101:U101"/>
    <mergeCell ref="X102:Y102"/>
    <mergeCell ref="B103:C103"/>
    <mergeCell ref="F103:G103"/>
    <mergeCell ref="I103:J103"/>
    <mergeCell ref="T103:U103"/>
    <mergeCell ref="X103:Y103"/>
    <mergeCell ref="X105:Y105"/>
    <mergeCell ref="B108:C108"/>
    <mergeCell ref="F108:G108"/>
    <mergeCell ref="I108:J108"/>
    <mergeCell ref="T108:U108"/>
    <mergeCell ref="B106:C106"/>
    <mergeCell ref="F106:G106"/>
    <mergeCell ref="I106:J106"/>
    <mergeCell ref="T106:U106"/>
    <mergeCell ref="X108:Y108"/>
    <mergeCell ref="B105:C105"/>
    <mergeCell ref="F105:G105"/>
    <mergeCell ref="I105:J105"/>
    <mergeCell ref="T105:U105"/>
    <mergeCell ref="X106:Y106"/>
    <mergeCell ref="B107:C107"/>
    <mergeCell ref="F107:G107"/>
    <mergeCell ref="I107:J107"/>
    <mergeCell ref="T107:U107"/>
    <mergeCell ref="X107:Y107"/>
    <mergeCell ref="X109:Y109"/>
    <mergeCell ref="B112:C112"/>
    <mergeCell ref="F112:G112"/>
    <mergeCell ref="I112:J112"/>
    <mergeCell ref="T112:U112"/>
    <mergeCell ref="B110:C110"/>
    <mergeCell ref="F110:G110"/>
    <mergeCell ref="I110:J110"/>
    <mergeCell ref="T110:U110"/>
    <mergeCell ref="X112:Y112"/>
    <mergeCell ref="B109:C109"/>
    <mergeCell ref="F109:G109"/>
    <mergeCell ref="I109:J109"/>
    <mergeCell ref="T109:U109"/>
    <mergeCell ref="X110:Y110"/>
    <mergeCell ref="B111:C111"/>
    <mergeCell ref="F111:G111"/>
    <mergeCell ref="I111:J111"/>
    <mergeCell ref="T111:U111"/>
    <mergeCell ref="X111:Y111"/>
    <mergeCell ref="X113:Y113"/>
    <mergeCell ref="B116:C116"/>
    <mergeCell ref="F116:G116"/>
    <mergeCell ref="I116:J116"/>
    <mergeCell ref="T116:U116"/>
    <mergeCell ref="B114:C114"/>
    <mergeCell ref="F114:G114"/>
    <mergeCell ref="I114:J114"/>
    <mergeCell ref="T114:U114"/>
    <mergeCell ref="X116:Y116"/>
    <mergeCell ref="B113:C113"/>
    <mergeCell ref="F113:G113"/>
    <mergeCell ref="I113:J113"/>
    <mergeCell ref="T113:U113"/>
    <mergeCell ref="X114:Y114"/>
    <mergeCell ref="B115:C115"/>
    <mergeCell ref="F115:G115"/>
    <mergeCell ref="I115:J115"/>
    <mergeCell ref="T115:U115"/>
    <mergeCell ref="X115:Y115"/>
    <mergeCell ref="X117:Y117"/>
    <mergeCell ref="B120:C120"/>
    <mergeCell ref="F120:G120"/>
    <mergeCell ref="I120:J120"/>
    <mergeCell ref="T120:U120"/>
    <mergeCell ref="B118:C118"/>
    <mergeCell ref="F118:G118"/>
    <mergeCell ref="I118:J118"/>
    <mergeCell ref="T118:U118"/>
    <mergeCell ref="X120:Y120"/>
    <mergeCell ref="B117:C117"/>
    <mergeCell ref="F117:G117"/>
    <mergeCell ref="I117:J117"/>
    <mergeCell ref="T117:U117"/>
    <mergeCell ref="X118:Y118"/>
    <mergeCell ref="B119:C119"/>
    <mergeCell ref="F119:G119"/>
    <mergeCell ref="I119:J119"/>
    <mergeCell ref="T119:U119"/>
    <mergeCell ref="X119:Y119"/>
    <mergeCell ref="X121:Y121"/>
    <mergeCell ref="B124:C124"/>
    <mergeCell ref="F124:G124"/>
    <mergeCell ref="I124:J124"/>
    <mergeCell ref="T124:U124"/>
    <mergeCell ref="B122:C122"/>
    <mergeCell ref="F122:G122"/>
    <mergeCell ref="I122:J122"/>
    <mergeCell ref="T122:U122"/>
    <mergeCell ref="X124:Y124"/>
    <mergeCell ref="B121:C121"/>
    <mergeCell ref="F121:G121"/>
    <mergeCell ref="I121:J121"/>
    <mergeCell ref="T121:U121"/>
    <mergeCell ref="X122:Y122"/>
    <mergeCell ref="B123:C123"/>
    <mergeCell ref="F123:G123"/>
    <mergeCell ref="I123:J123"/>
    <mergeCell ref="T123:U123"/>
    <mergeCell ref="X123:Y123"/>
    <mergeCell ref="X125:Y125"/>
    <mergeCell ref="B128:C128"/>
    <mergeCell ref="F128:G128"/>
    <mergeCell ref="I128:J128"/>
    <mergeCell ref="T128:U128"/>
    <mergeCell ref="B126:C126"/>
    <mergeCell ref="F126:G126"/>
    <mergeCell ref="I126:J126"/>
    <mergeCell ref="T126:U126"/>
    <mergeCell ref="X128:Y128"/>
    <mergeCell ref="B125:C125"/>
    <mergeCell ref="F125:G125"/>
    <mergeCell ref="I125:J125"/>
    <mergeCell ref="T125:U125"/>
    <mergeCell ref="X126:Y126"/>
    <mergeCell ref="B127:C127"/>
    <mergeCell ref="F127:G127"/>
    <mergeCell ref="I127:J127"/>
    <mergeCell ref="T127:U127"/>
    <mergeCell ref="X127:Y127"/>
    <mergeCell ref="X129:Y129"/>
    <mergeCell ref="B132:C132"/>
    <mergeCell ref="F132:G132"/>
    <mergeCell ref="I132:J132"/>
    <mergeCell ref="T132:U132"/>
    <mergeCell ref="B130:C130"/>
    <mergeCell ref="F130:G130"/>
    <mergeCell ref="I130:J130"/>
    <mergeCell ref="T130:U130"/>
    <mergeCell ref="X132:Y132"/>
    <mergeCell ref="B129:C129"/>
    <mergeCell ref="F129:G129"/>
    <mergeCell ref="I129:J129"/>
    <mergeCell ref="T129:U129"/>
    <mergeCell ref="X130:Y130"/>
    <mergeCell ref="B131:C131"/>
    <mergeCell ref="F131:G131"/>
    <mergeCell ref="I131:J131"/>
    <mergeCell ref="T131:U131"/>
    <mergeCell ref="X131:Y131"/>
    <mergeCell ref="X133:Y133"/>
    <mergeCell ref="B136:C136"/>
    <mergeCell ref="F136:G136"/>
    <mergeCell ref="I136:J136"/>
    <mergeCell ref="T136:U136"/>
    <mergeCell ref="B134:C134"/>
    <mergeCell ref="F134:G134"/>
    <mergeCell ref="I134:J134"/>
    <mergeCell ref="T134:U134"/>
    <mergeCell ref="X136:Y136"/>
    <mergeCell ref="B133:C133"/>
    <mergeCell ref="F133:G133"/>
    <mergeCell ref="I133:J133"/>
    <mergeCell ref="T133:U133"/>
    <mergeCell ref="X134:Y134"/>
    <mergeCell ref="B135:C135"/>
    <mergeCell ref="F135:G135"/>
    <mergeCell ref="I135:J135"/>
    <mergeCell ref="T135:U135"/>
    <mergeCell ref="X135:Y135"/>
    <mergeCell ref="X137:Y137"/>
    <mergeCell ref="B140:C140"/>
    <mergeCell ref="F140:G140"/>
    <mergeCell ref="I140:J140"/>
    <mergeCell ref="T140:U140"/>
    <mergeCell ref="B138:C138"/>
    <mergeCell ref="F138:G138"/>
    <mergeCell ref="I138:J138"/>
    <mergeCell ref="T138:U138"/>
    <mergeCell ref="X140:Y140"/>
    <mergeCell ref="B137:C137"/>
    <mergeCell ref="F137:G137"/>
    <mergeCell ref="I137:J137"/>
    <mergeCell ref="T137:U137"/>
    <mergeCell ref="X138:Y138"/>
    <mergeCell ref="B139:C139"/>
    <mergeCell ref="F139:G139"/>
    <mergeCell ref="I139:J139"/>
    <mergeCell ref="T139:U139"/>
    <mergeCell ref="X139:Y139"/>
    <mergeCell ref="X141:Y141"/>
    <mergeCell ref="B144:C144"/>
    <mergeCell ref="F144:G144"/>
    <mergeCell ref="I144:J144"/>
    <mergeCell ref="T144:U144"/>
    <mergeCell ref="B142:C142"/>
    <mergeCell ref="F142:G142"/>
    <mergeCell ref="I142:J142"/>
    <mergeCell ref="T142:U142"/>
    <mergeCell ref="X144:Y144"/>
    <mergeCell ref="B141:C141"/>
    <mergeCell ref="F141:G141"/>
    <mergeCell ref="I141:J141"/>
    <mergeCell ref="T141:U141"/>
    <mergeCell ref="X142:Y142"/>
    <mergeCell ref="B143:C143"/>
    <mergeCell ref="F143:G143"/>
    <mergeCell ref="I143:J143"/>
    <mergeCell ref="T143:U143"/>
    <mergeCell ref="X143:Y143"/>
    <mergeCell ref="X145:Y145"/>
    <mergeCell ref="B148:C148"/>
    <mergeCell ref="F148:G148"/>
    <mergeCell ref="I148:J148"/>
    <mergeCell ref="T148:U148"/>
    <mergeCell ref="B146:C146"/>
    <mergeCell ref="F146:G146"/>
    <mergeCell ref="I146:J146"/>
    <mergeCell ref="T146:U146"/>
    <mergeCell ref="X148:Y148"/>
    <mergeCell ref="B145:C145"/>
    <mergeCell ref="F145:G145"/>
    <mergeCell ref="I145:J145"/>
    <mergeCell ref="T145:U145"/>
    <mergeCell ref="X146:Y146"/>
    <mergeCell ref="B147:C147"/>
    <mergeCell ref="F147:G147"/>
    <mergeCell ref="I147:J147"/>
    <mergeCell ref="T147:U147"/>
    <mergeCell ref="X147:Y147"/>
    <mergeCell ref="X149:Y149"/>
    <mergeCell ref="B152:C152"/>
    <mergeCell ref="F152:G152"/>
    <mergeCell ref="I152:J152"/>
    <mergeCell ref="T152:U152"/>
    <mergeCell ref="B150:C150"/>
    <mergeCell ref="F150:G150"/>
    <mergeCell ref="I150:J150"/>
    <mergeCell ref="T150:U150"/>
    <mergeCell ref="X152:Y152"/>
    <mergeCell ref="B149:C149"/>
    <mergeCell ref="F149:G149"/>
    <mergeCell ref="I149:J149"/>
    <mergeCell ref="T149:U149"/>
    <mergeCell ref="X150:Y150"/>
    <mergeCell ref="B151:C151"/>
    <mergeCell ref="F151:G151"/>
    <mergeCell ref="I151:J151"/>
    <mergeCell ref="T151:U151"/>
    <mergeCell ref="X151:Y151"/>
    <mergeCell ref="X153:Y153"/>
    <mergeCell ref="B156:C156"/>
    <mergeCell ref="F156:G156"/>
    <mergeCell ref="I156:J156"/>
    <mergeCell ref="T156:U156"/>
    <mergeCell ref="B154:C154"/>
    <mergeCell ref="F154:G154"/>
    <mergeCell ref="I154:J154"/>
    <mergeCell ref="T154:U154"/>
    <mergeCell ref="X156:Y156"/>
    <mergeCell ref="B153:C153"/>
    <mergeCell ref="F153:G153"/>
    <mergeCell ref="I153:J153"/>
    <mergeCell ref="T153:U153"/>
    <mergeCell ref="X154:Y154"/>
    <mergeCell ref="B155:C155"/>
    <mergeCell ref="F155:G155"/>
    <mergeCell ref="I155:J155"/>
    <mergeCell ref="T155:U155"/>
    <mergeCell ref="X155:Y155"/>
    <mergeCell ref="X157:Y157"/>
    <mergeCell ref="B160:C160"/>
    <mergeCell ref="F160:G160"/>
    <mergeCell ref="I160:J160"/>
    <mergeCell ref="T160:U160"/>
    <mergeCell ref="B158:C158"/>
    <mergeCell ref="F158:G158"/>
    <mergeCell ref="I158:J158"/>
    <mergeCell ref="T158:U158"/>
    <mergeCell ref="X160:Y160"/>
    <mergeCell ref="B157:C157"/>
    <mergeCell ref="F157:G157"/>
    <mergeCell ref="I157:J157"/>
    <mergeCell ref="T157:U157"/>
    <mergeCell ref="X158:Y158"/>
    <mergeCell ref="B159:C159"/>
    <mergeCell ref="F159:G159"/>
    <mergeCell ref="I159:J159"/>
    <mergeCell ref="T159:U159"/>
    <mergeCell ref="X159:Y159"/>
    <mergeCell ref="X161:Y161"/>
    <mergeCell ref="B164:C164"/>
    <mergeCell ref="F164:G164"/>
    <mergeCell ref="I164:J164"/>
    <mergeCell ref="T164:U164"/>
    <mergeCell ref="B162:C162"/>
    <mergeCell ref="F162:G162"/>
    <mergeCell ref="I162:J162"/>
    <mergeCell ref="T162:U162"/>
    <mergeCell ref="X164:Y164"/>
    <mergeCell ref="B161:C161"/>
    <mergeCell ref="F161:G161"/>
    <mergeCell ref="I161:J161"/>
    <mergeCell ref="T161:U161"/>
    <mergeCell ref="X162:Y162"/>
    <mergeCell ref="B163:C163"/>
    <mergeCell ref="F163:G163"/>
    <mergeCell ref="I163:J163"/>
    <mergeCell ref="T163:U163"/>
    <mergeCell ref="X163:Y163"/>
    <mergeCell ref="X165:Y165"/>
    <mergeCell ref="B168:C168"/>
    <mergeCell ref="F168:G168"/>
    <mergeCell ref="I168:J168"/>
    <mergeCell ref="T168:U168"/>
    <mergeCell ref="B166:C166"/>
    <mergeCell ref="F166:G166"/>
    <mergeCell ref="I166:J166"/>
    <mergeCell ref="T166:U166"/>
    <mergeCell ref="X168:Y168"/>
    <mergeCell ref="B165:C165"/>
    <mergeCell ref="F165:G165"/>
    <mergeCell ref="I165:J165"/>
    <mergeCell ref="T165:U165"/>
    <mergeCell ref="X166:Y166"/>
    <mergeCell ref="B167:C167"/>
    <mergeCell ref="F167:G167"/>
    <mergeCell ref="I167:J167"/>
    <mergeCell ref="T167:U167"/>
    <mergeCell ref="X167:Y167"/>
    <mergeCell ref="X169:Y169"/>
    <mergeCell ref="B172:C172"/>
    <mergeCell ref="F172:G172"/>
    <mergeCell ref="I172:J172"/>
    <mergeCell ref="T172:U172"/>
    <mergeCell ref="B170:C170"/>
    <mergeCell ref="F170:G170"/>
    <mergeCell ref="I170:J170"/>
    <mergeCell ref="T170:U170"/>
    <mergeCell ref="X172:Y172"/>
    <mergeCell ref="B169:C169"/>
    <mergeCell ref="F169:G169"/>
    <mergeCell ref="I169:J169"/>
    <mergeCell ref="T169:U169"/>
    <mergeCell ref="X170:Y170"/>
    <mergeCell ref="B171:C171"/>
    <mergeCell ref="F171:G171"/>
    <mergeCell ref="I171:J171"/>
    <mergeCell ref="T171:U171"/>
    <mergeCell ref="X171:Y171"/>
    <mergeCell ref="X173:Y173"/>
    <mergeCell ref="B176:C176"/>
    <mergeCell ref="F176:G176"/>
    <mergeCell ref="I176:J176"/>
    <mergeCell ref="T176:U176"/>
    <mergeCell ref="B174:C174"/>
    <mergeCell ref="F174:G174"/>
    <mergeCell ref="I174:J174"/>
    <mergeCell ref="T174:U174"/>
    <mergeCell ref="X176:Y176"/>
    <mergeCell ref="B173:C173"/>
    <mergeCell ref="F173:G173"/>
    <mergeCell ref="I173:J173"/>
    <mergeCell ref="T173:U173"/>
    <mergeCell ref="X174:Y174"/>
    <mergeCell ref="B175:C175"/>
    <mergeCell ref="F175:G175"/>
    <mergeCell ref="I175:J175"/>
    <mergeCell ref="T175:U175"/>
    <mergeCell ref="X175:Y175"/>
    <mergeCell ref="X177:Y177"/>
    <mergeCell ref="B180:C180"/>
    <mergeCell ref="F180:G180"/>
    <mergeCell ref="I180:J180"/>
    <mergeCell ref="T180:U180"/>
    <mergeCell ref="B178:C178"/>
    <mergeCell ref="F178:G178"/>
    <mergeCell ref="I178:J178"/>
    <mergeCell ref="T178:U178"/>
    <mergeCell ref="X180:Y180"/>
    <mergeCell ref="B177:C177"/>
    <mergeCell ref="F177:G177"/>
    <mergeCell ref="I177:J177"/>
    <mergeCell ref="T177:U177"/>
    <mergeCell ref="X178:Y178"/>
    <mergeCell ref="B179:C179"/>
    <mergeCell ref="F179:G179"/>
    <mergeCell ref="I179:J179"/>
    <mergeCell ref="T179:U179"/>
    <mergeCell ref="X179:Y179"/>
    <mergeCell ref="X181:Y181"/>
    <mergeCell ref="B184:C184"/>
    <mergeCell ref="F184:G184"/>
    <mergeCell ref="I184:J184"/>
    <mergeCell ref="T184:U184"/>
    <mergeCell ref="B182:C182"/>
    <mergeCell ref="F182:G182"/>
    <mergeCell ref="I182:J182"/>
    <mergeCell ref="T182:U182"/>
    <mergeCell ref="X184:Y184"/>
    <mergeCell ref="B181:C181"/>
    <mergeCell ref="F181:G181"/>
    <mergeCell ref="I181:J181"/>
    <mergeCell ref="T181:U181"/>
    <mergeCell ref="X182:Y182"/>
    <mergeCell ref="B183:C183"/>
    <mergeCell ref="F183:G183"/>
    <mergeCell ref="I183:J183"/>
    <mergeCell ref="T183:U183"/>
    <mergeCell ref="X183:Y183"/>
    <mergeCell ref="X185:Y185"/>
    <mergeCell ref="B188:C188"/>
    <mergeCell ref="F188:G188"/>
    <mergeCell ref="I188:J188"/>
    <mergeCell ref="T188:U188"/>
    <mergeCell ref="B186:C186"/>
    <mergeCell ref="F186:G186"/>
    <mergeCell ref="I186:J186"/>
    <mergeCell ref="T186:U186"/>
    <mergeCell ref="X188:Y188"/>
    <mergeCell ref="B185:C185"/>
    <mergeCell ref="F185:G185"/>
    <mergeCell ref="I185:J185"/>
    <mergeCell ref="T185:U185"/>
    <mergeCell ref="X186:Y186"/>
    <mergeCell ref="B187:C187"/>
    <mergeCell ref="F187:G187"/>
    <mergeCell ref="I187:J187"/>
    <mergeCell ref="T187:U187"/>
    <mergeCell ref="X187:Y187"/>
    <mergeCell ref="X189:Y189"/>
    <mergeCell ref="B192:C192"/>
    <mergeCell ref="F192:G192"/>
    <mergeCell ref="I192:J192"/>
    <mergeCell ref="T192:U192"/>
    <mergeCell ref="B190:C190"/>
    <mergeCell ref="F190:G190"/>
    <mergeCell ref="I190:J190"/>
    <mergeCell ref="T190:U190"/>
    <mergeCell ref="X192:Y192"/>
    <mergeCell ref="B189:C189"/>
    <mergeCell ref="F189:G189"/>
    <mergeCell ref="I189:J189"/>
    <mergeCell ref="T189:U189"/>
    <mergeCell ref="X190:Y190"/>
    <mergeCell ref="B191:C191"/>
    <mergeCell ref="F191:G191"/>
    <mergeCell ref="I191:J191"/>
    <mergeCell ref="T191:U191"/>
    <mergeCell ref="X191:Y191"/>
    <mergeCell ref="X193:Y193"/>
    <mergeCell ref="B196:C196"/>
    <mergeCell ref="F196:G196"/>
    <mergeCell ref="I196:J196"/>
    <mergeCell ref="T196:U196"/>
    <mergeCell ref="B194:C194"/>
    <mergeCell ref="F194:G194"/>
    <mergeCell ref="I194:J194"/>
    <mergeCell ref="T194:U194"/>
    <mergeCell ref="X196:Y196"/>
    <mergeCell ref="B193:C193"/>
    <mergeCell ref="F193:G193"/>
    <mergeCell ref="I193:J193"/>
    <mergeCell ref="T193:U193"/>
    <mergeCell ref="X194:Y194"/>
    <mergeCell ref="B195:C195"/>
    <mergeCell ref="F195:G195"/>
    <mergeCell ref="I195:J195"/>
    <mergeCell ref="T195:U195"/>
    <mergeCell ref="X195:Y195"/>
    <mergeCell ref="X197:Y197"/>
    <mergeCell ref="B200:C200"/>
    <mergeCell ref="F200:G200"/>
    <mergeCell ref="I200:J200"/>
    <mergeCell ref="T200:U200"/>
    <mergeCell ref="B198:C198"/>
    <mergeCell ref="F198:G198"/>
    <mergeCell ref="I198:J198"/>
    <mergeCell ref="T198:U198"/>
    <mergeCell ref="X200:Y200"/>
    <mergeCell ref="B197:C197"/>
    <mergeCell ref="F197:G197"/>
    <mergeCell ref="I197:J197"/>
    <mergeCell ref="T197:U197"/>
    <mergeCell ref="X198:Y198"/>
    <mergeCell ref="B199:C199"/>
    <mergeCell ref="F199:G199"/>
    <mergeCell ref="I199:J199"/>
    <mergeCell ref="T199:U199"/>
    <mergeCell ref="X199:Y199"/>
    <mergeCell ref="X201:Y201"/>
    <mergeCell ref="B204:C204"/>
    <mergeCell ref="F204:G204"/>
    <mergeCell ref="I204:J204"/>
    <mergeCell ref="T204:U204"/>
    <mergeCell ref="B202:C202"/>
    <mergeCell ref="F202:G202"/>
    <mergeCell ref="I202:J202"/>
    <mergeCell ref="T202:U202"/>
    <mergeCell ref="X204:Y204"/>
    <mergeCell ref="B201:C201"/>
    <mergeCell ref="F201:G201"/>
    <mergeCell ref="I201:J201"/>
    <mergeCell ref="T201:U201"/>
    <mergeCell ref="X202:Y202"/>
    <mergeCell ref="B203:C203"/>
    <mergeCell ref="F203:G203"/>
    <mergeCell ref="I203:J203"/>
    <mergeCell ref="T203:U203"/>
    <mergeCell ref="X203:Y203"/>
    <mergeCell ref="X205:Y205"/>
    <mergeCell ref="B208:C208"/>
    <mergeCell ref="F208:G208"/>
    <mergeCell ref="I208:J208"/>
    <mergeCell ref="T208:U208"/>
    <mergeCell ref="B206:C206"/>
    <mergeCell ref="F206:G206"/>
    <mergeCell ref="I206:J206"/>
    <mergeCell ref="T206:U206"/>
    <mergeCell ref="X208:Y208"/>
    <mergeCell ref="B205:C205"/>
    <mergeCell ref="F205:G205"/>
    <mergeCell ref="I205:J205"/>
    <mergeCell ref="T205:U205"/>
    <mergeCell ref="X206:Y206"/>
    <mergeCell ref="B207:C207"/>
    <mergeCell ref="F207:G207"/>
    <mergeCell ref="I207:J207"/>
    <mergeCell ref="T207:U207"/>
    <mergeCell ref="X207:Y207"/>
    <mergeCell ref="X209:Y209"/>
    <mergeCell ref="B212:C212"/>
    <mergeCell ref="F212:G212"/>
    <mergeCell ref="I212:J212"/>
    <mergeCell ref="T212:U212"/>
    <mergeCell ref="B210:C210"/>
    <mergeCell ref="F210:G210"/>
    <mergeCell ref="I210:J210"/>
    <mergeCell ref="T210:U210"/>
    <mergeCell ref="X212:Y212"/>
    <mergeCell ref="B209:C209"/>
    <mergeCell ref="F209:G209"/>
    <mergeCell ref="I209:J209"/>
    <mergeCell ref="T209:U209"/>
    <mergeCell ref="X210:Y210"/>
    <mergeCell ref="B211:C211"/>
    <mergeCell ref="F211:G211"/>
    <mergeCell ref="I211:J211"/>
    <mergeCell ref="T211:U211"/>
    <mergeCell ref="X211:Y211"/>
    <mergeCell ref="X213:Y213"/>
    <mergeCell ref="B216:C216"/>
    <mergeCell ref="F216:G216"/>
    <mergeCell ref="I216:J216"/>
    <mergeCell ref="T216:U216"/>
    <mergeCell ref="B214:C214"/>
    <mergeCell ref="F214:G214"/>
    <mergeCell ref="I214:J214"/>
    <mergeCell ref="T214:U214"/>
    <mergeCell ref="X216:Y216"/>
    <mergeCell ref="B213:C213"/>
    <mergeCell ref="F213:G213"/>
    <mergeCell ref="I213:J213"/>
    <mergeCell ref="T213:U213"/>
    <mergeCell ref="X214:Y214"/>
    <mergeCell ref="B215:C215"/>
    <mergeCell ref="F215:G215"/>
    <mergeCell ref="I215:J215"/>
    <mergeCell ref="T215:U215"/>
    <mergeCell ref="X215:Y215"/>
    <mergeCell ref="X217:Y217"/>
    <mergeCell ref="B220:C220"/>
    <mergeCell ref="F220:G220"/>
    <mergeCell ref="I220:J220"/>
    <mergeCell ref="T220:U220"/>
    <mergeCell ref="B218:C218"/>
    <mergeCell ref="F218:G218"/>
    <mergeCell ref="I218:J218"/>
    <mergeCell ref="T218:U218"/>
    <mergeCell ref="X220:Y220"/>
    <mergeCell ref="B217:C217"/>
    <mergeCell ref="F217:G217"/>
    <mergeCell ref="I217:J217"/>
    <mergeCell ref="T217:U217"/>
    <mergeCell ref="X218:Y218"/>
    <mergeCell ref="B219:C219"/>
    <mergeCell ref="F219:G219"/>
    <mergeCell ref="I219:J219"/>
    <mergeCell ref="T219:U219"/>
    <mergeCell ref="X219:Y219"/>
    <mergeCell ref="X221:Y221"/>
    <mergeCell ref="B224:C224"/>
    <mergeCell ref="F224:G224"/>
    <mergeCell ref="I224:J224"/>
    <mergeCell ref="T224:U224"/>
    <mergeCell ref="B222:C222"/>
    <mergeCell ref="F222:G222"/>
    <mergeCell ref="I222:J222"/>
    <mergeCell ref="T222:U222"/>
    <mergeCell ref="X224:Y224"/>
    <mergeCell ref="B221:C221"/>
    <mergeCell ref="F221:G221"/>
    <mergeCell ref="I221:J221"/>
    <mergeCell ref="T221:U221"/>
    <mergeCell ref="X222:Y222"/>
    <mergeCell ref="B223:C223"/>
    <mergeCell ref="F223:G223"/>
    <mergeCell ref="I223:J223"/>
    <mergeCell ref="T223:U223"/>
    <mergeCell ref="X223:Y223"/>
    <mergeCell ref="X225:Y225"/>
    <mergeCell ref="B228:C228"/>
    <mergeCell ref="F228:G228"/>
    <mergeCell ref="I228:J228"/>
    <mergeCell ref="T228:U228"/>
    <mergeCell ref="B226:C226"/>
    <mergeCell ref="F226:G226"/>
    <mergeCell ref="I226:J226"/>
    <mergeCell ref="T226:U226"/>
    <mergeCell ref="X228:Y228"/>
    <mergeCell ref="B225:C225"/>
    <mergeCell ref="F225:G225"/>
    <mergeCell ref="I225:J225"/>
    <mergeCell ref="T225:U225"/>
    <mergeCell ref="X226:Y226"/>
    <mergeCell ref="B227:C227"/>
    <mergeCell ref="F227:G227"/>
    <mergeCell ref="I227:J227"/>
    <mergeCell ref="T227:U227"/>
    <mergeCell ref="X227:Y227"/>
    <mergeCell ref="X229:Y229"/>
    <mergeCell ref="B232:C232"/>
    <mergeCell ref="F232:G232"/>
    <mergeCell ref="I232:J232"/>
    <mergeCell ref="T232:U232"/>
    <mergeCell ref="B230:C230"/>
    <mergeCell ref="F230:G230"/>
    <mergeCell ref="I230:J230"/>
    <mergeCell ref="T230:U230"/>
    <mergeCell ref="X232:Y232"/>
    <mergeCell ref="B229:C229"/>
    <mergeCell ref="F229:G229"/>
    <mergeCell ref="I229:J229"/>
    <mergeCell ref="T229:U229"/>
    <mergeCell ref="X230:Y230"/>
    <mergeCell ref="B231:C231"/>
    <mergeCell ref="F231:G231"/>
    <mergeCell ref="I231:J231"/>
    <mergeCell ref="T231:U231"/>
    <mergeCell ref="X231:Y231"/>
    <mergeCell ref="X233:Y233"/>
    <mergeCell ref="B236:C236"/>
    <mergeCell ref="F236:G236"/>
    <mergeCell ref="I236:J236"/>
    <mergeCell ref="T236:U236"/>
    <mergeCell ref="B234:C234"/>
    <mergeCell ref="F234:G234"/>
    <mergeCell ref="I234:J234"/>
    <mergeCell ref="T234:U234"/>
    <mergeCell ref="X236:Y236"/>
    <mergeCell ref="B233:C233"/>
    <mergeCell ref="F233:G233"/>
    <mergeCell ref="I233:J233"/>
    <mergeCell ref="T233:U233"/>
    <mergeCell ref="X234:Y234"/>
    <mergeCell ref="B235:C235"/>
    <mergeCell ref="F235:G235"/>
    <mergeCell ref="I235:J235"/>
    <mergeCell ref="T235:U235"/>
    <mergeCell ref="X235:Y235"/>
    <mergeCell ref="X237:Y237"/>
    <mergeCell ref="B240:C240"/>
    <mergeCell ref="F240:G240"/>
    <mergeCell ref="I240:J240"/>
    <mergeCell ref="T240:U240"/>
    <mergeCell ref="B238:C238"/>
    <mergeCell ref="F238:G238"/>
    <mergeCell ref="I238:J238"/>
    <mergeCell ref="T238:U238"/>
    <mergeCell ref="X240:Y240"/>
    <mergeCell ref="B237:C237"/>
    <mergeCell ref="F237:G237"/>
    <mergeCell ref="I237:J237"/>
    <mergeCell ref="T237:U237"/>
    <mergeCell ref="X238:Y238"/>
    <mergeCell ref="B239:C239"/>
    <mergeCell ref="F239:G239"/>
    <mergeCell ref="I239:J239"/>
    <mergeCell ref="T239:U239"/>
    <mergeCell ref="X239:Y239"/>
    <mergeCell ref="X241:Y241"/>
    <mergeCell ref="B244:C244"/>
    <mergeCell ref="F244:G244"/>
    <mergeCell ref="I244:J244"/>
    <mergeCell ref="T244:U244"/>
    <mergeCell ref="B242:C242"/>
    <mergeCell ref="F242:G242"/>
    <mergeCell ref="I242:J242"/>
    <mergeCell ref="T242:U242"/>
    <mergeCell ref="X244:Y244"/>
    <mergeCell ref="B241:C241"/>
    <mergeCell ref="F241:G241"/>
    <mergeCell ref="I241:J241"/>
    <mergeCell ref="T241:U241"/>
    <mergeCell ref="X242:Y242"/>
    <mergeCell ref="B243:C243"/>
    <mergeCell ref="F243:G243"/>
    <mergeCell ref="I243:J243"/>
    <mergeCell ref="T243:U243"/>
    <mergeCell ref="X243:Y243"/>
    <mergeCell ref="X245:Y245"/>
    <mergeCell ref="B248:C248"/>
    <mergeCell ref="F248:G248"/>
    <mergeCell ref="I248:J248"/>
    <mergeCell ref="T248:U248"/>
    <mergeCell ref="B246:C246"/>
    <mergeCell ref="F246:G246"/>
    <mergeCell ref="I246:J246"/>
    <mergeCell ref="T246:U246"/>
    <mergeCell ref="X248:Y248"/>
    <mergeCell ref="B245:C245"/>
    <mergeCell ref="F245:G245"/>
    <mergeCell ref="I245:J245"/>
    <mergeCell ref="T245:U245"/>
    <mergeCell ref="X246:Y246"/>
    <mergeCell ref="B247:C247"/>
    <mergeCell ref="F247:G247"/>
    <mergeCell ref="I247:J247"/>
    <mergeCell ref="T247:U247"/>
    <mergeCell ref="X247:Y247"/>
    <mergeCell ref="X249:Y249"/>
    <mergeCell ref="B252:C252"/>
    <mergeCell ref="F252:G252"/>
    <mergeCell ref="I252:J252"/>
    <mergeCell ref="T252:U252"/>
    <mergeCell ref="B250:C250"/>
    <mergeCell ref="F250:G250"/>
    <mergeCell ref="I250:J250"/>
    <mergeCell ref="T250:U250"/>
    <mergeCell ref="X252:Y252"/>
    <mergeCell ref="B249:C249"/>
    <mergeCell ref="F249:G249"/>
    <mergeCell ref="I249:J249"/>
    <mergeCell ref="T249:U249"/>
    <mergeCell ref="X250:Y250"/>
    <mergeCell ref="B251:C251"/>
    <mergeCell ref="F251:G251"/>
    <mergeCell ref="I251:J251"/>
    <mergeCell ref="T251:U251"/>
    <mergeCell ref="X251:Y251"/>
    <mergeCell ref="X253:Y253"/>
    <mergeCell ref="B256:C256"/>
    <mergeCell ref="F256:G256"/>
    <mergeCell ref="I256:J256"/>
    <mergeCell ref="T256:U256"/>
    <mergeCell ref="B254:C254"/>
    <mergeCell ref="F254:G254"/>
    <mergeCell ref="I254:J254"/>
    <mergeCell ref="T254:U254"/>
    <mergeCell ref="X256:Y256"/>
    <mergeCell ref="B253:C253"/>
    <mergeCell ref="F253:G253"/>
    <mergeCell ref="I253:J253"/>
    <mergeCell ref="T253:U253"/>
    <mergeCell ref="X254:Y254"/>
    <mergeCell ref="B255:C255"/>
    <mergeCell ref="F255:G255"/>
    <mergeCell ref="I255:J255"/>
    <mergeCell ref="T255:U255"/>
    <mergeCell ref="X255:Y255"/>
    <mergeCell ref="X257:Y257"/>
    <mergeCell ref="B260:C260"/>
    <mergeCell ref="F260:G260"/>
    <mergeCell ref="I260:J260"/>
    <mergeCell ref="T260:U260"/>
    <mergeCell ref="B258:C258"/>
    <mergeCell ref="F258:G258"/>
    <mergeCell ref="I258:J258"/>
    <mergeCell ref="T258:U258"/>
    <mergeCell ref="X260:Y260"/>
    <mergeCell ref="B257:C257"/>
    <mergeCell ref="F257:G257"/>
    <mergeCell ref="I257:J257"/>
    <mergeCell ref="T257:U257"/>
    <mergeCell ref="X258:Y258"/>
    <mergeCell ref="B259:C259"/>
    <mergeCell ref="F259:G259"/>
    <mergeCell ref="I259:J259"/>
    <mergeCell ref="T259:U259"/>
    <mergeCell ref="X259:Y259"/>
    <mergeCell ref="X261:Y261"/>
    <mergeCell ref="B264:C264"/>
    <mergeCell ref="F264:G264"/>
    <mergeCell ref="I264:J264"/>
    <mergeCell ref="T264:U264"/>
    <mergeCell ref="B262:C262"/>
    <mergeCell ref="F262:G262"/>
    <mergeCell ref="I262:J262"/>
    <mergeCell ref="T262:U262"/>
    <mergeCell ref="X264:Y264"/>
    <mergeCell ref="B261:C261"/>
    <mergeCell ref="F261:G261"/>
    <mergeCell ref="I261:J261"/>
    <mergeCell ref="T261:U261"/>
    <mergeCell ref="X262:Y262"/>
    <mergeCell ref="B263:C263"/>
    <mergeCell ref="F263:G263"/>
    <mergeCell ref="I263:J263"/>
    <mergeCell ref="T263:U263"/>
    <mergeCell ref="X263:Y263"/>
    <mergeCell ref="X265:Y265"/>
    <mergeCell ref="B268:C268"/>
    <mergeCell ref="F268:G268"/>
    <mergeCell ref="I268:J268"/>
    <mergeCell ref="T268:U268"/>
    <mergeCell ref="B266:C266"/>
    <mergeCell ref="F266:G266"/>
    <mergeCell ref="I266:J266"/>
    <mergeCell ref="T266:U266"/>
    <mergeCell ref="X268:Y268"/>
    <mergeCell ref="B265:C265"/>
    <mergeCell ref="F265:G265"/>
    <mergeCell ref="I265:J265"/>
    <mergeCell ref="T265:U265"/>
    <mergeCell ref="X266:Y266"/>
    <mergeCell ref="B267:C267"/>
    <mergeCell ref="F267:G267"/>
    <mergeCell ref="I267:J267"/>
    <mergeCell ref="T267:U267"/>
    <mergeCell ref="X267:Y267"/>
    <mergeCell ref="X269:Y269"/>
    <mergeCell ref="B272:C272"/>
    <mergeCell ref="F272:G272"/>
    <mergeCell ref="I272:J272"/>
    <mergeCell ref="T272:U272"/>
    <mergeCell ref="B270:C270"/>
    <mergeCell ref="F270:G270"/>
    <mergeCell ref="I270:J270"/>
    <mergeCell ref="T270:U270"/>
    <mergeCell ref="X272:Y272"/>
    <mergeCell ref="B269:C269"/>
    <mergeCell ref="F269:G269"/>
    <mergeCell ref="I269:J269"/>
    <mergeCell ref="T269:U269"/>
    <mergeCell ref="X270:Y270"/>
    <mergeCell ref="B271:C271"/>
    <mergeCell ref="F271:G271"/>
    <mergeCell ref="I271:J271"/>
    <mergeCell ref="T271:U271"/>
    <mergeCell ref="X271:Y271"/>
    <mergeCell ref="X273:Y273"/>
    <mergeCell ref="B276:C276"/>
    <mergeCell ref="F276:G276"/>
    <mergeCell ref="I276:J276"/>
    <mergeCell ref="T276:U276"/>
    <mergeCell ref="B274:C274"/>
    <mergeCell ref="F274:G274"/>
    <mergeCell ref="I274:J274"/>
    <mergeCell ref="T274:U274"/>
    <mergeCell ref="X276:Y276"/>
    <mergeCell ref="B273:C273"/>
    <mergeCell ref="F273:G273"/>
    <mergeCell ref="I273:J273"/>
    <mergeCell ref="T273:U273"/>
    <mergeCell ref="X274:Y274"/>
    <mergeCell ref="B275:C275"/>
    <mergeCell ref="F275:G275"/>
    <mergeCell ref="I275:J275"/>
    <mergeCell ref="T275:U275"/>
    <mergeCell ref="X275:Y275"/>
    <mergeCell ref="X277:Y277"/>
    <mergeCell ref="B280:C280"/>
    <mergeCell ref="F280:G280"/>
    <mergeCell ref="I280:J280"/>
    <mergeCell ref="T280:U280"/>
    <mergeCell ref="B278:C278"/>
    <mergeCell ref="F278:G278"/>
    <mergeCell ref="I278:J278"/>
    <mergeCell ref="T278:U278"/>
    <mergeCell ref="X280:Y280"/>
    <mergeCell ref="B277:C277"/>
    <mergeCell ref="F277:G277"/>
    <mergeCell ref="I277:J277"/>
    <mergeCell ref="T277:U277"/>
    <mergeCell ref="X278:Y278"/>
    <mergeCell ref="B279:C279"/>
    <mergeCell ref="F279:G279"/>
    <mergeCell ref="I279:J279"/>
    <mergeCell ref="T279:U279"/>
    <mergeCell ref="X279:Y279"/>
    <mergeCell ref="X281:Y281"/>
    <mergeCell ref="B284:C284"/>
    <mergeCell ref="F284:G284"/>
    <mergeCell ref="I284:J284"/>
    <mergeCell ref="T284:U284"/>
    <mergeCell ref="B282:C282"/>
    <mergeCell ref="F282:G282"/>
    <mergeCell ref="I282:J282"/>
    <mergeCell ref="T282:U282"/>
    <mergeCell ref="X284:Y284"/>
    <mergeCell ref="B281:C281"/>
    <mergeCell ref="F281:G281"/>
    <mergeCell ref="I281:J281"/>
    <mergeCell ref="T281:U281"/>
    <mergeCell ref="X282:Y282"/>
    <mergeCell ref="B283:C283"/>
    <mergeCell ref="F283:G283"/>
    <mergeCell ref="I283:J283"/>
    <mergeCell ref="T283:U283"/>
    <mergeCell ref="X283:Y283"/>
    <mergeCell ref="X285:Y285"/>
    <mergeCell ref="B288:C288"/>
    <mergeCell ref="F288:G288"/>
    <mergeCell ref="I288:J288"/>
    <mergeCell ref="T288:U288"/>
    <mergeCell ref="B286:C286"/>
    <mergeCell ref="F286:G286"/>
    <mergeCell ref="I286:J286"/>
    <mergeCell ref="T286:U286"/>
    <mergeCell ref="X288:Y288"/>
    <mergeCell ref="B285:C285"/>
    <mergeCell ref="F285:G285"/>
    <mergeCell ref="I285:J285"/>
    <mergeCell ref="T285:U285"/>
    <mergeCell ref="X286:Y286"/>
    <mergeCell ref="B287:C287"/>
    <mergeCell ref="F287:G287"/>
    <mergeCell ref="I287:J287"/>
    <mergeCell ref="T287:U287"/>
    <mergeCell ref="X287:Y287"/>
    <mergeCell ref="X289:Y289"/>
    <mergeCell ref="B292:C292"/>
    <mergeCell ref="F292:G292"/>
    <mergeCell ref="I292:J292"/>
    <mergeCell ref="T292:U292"/>
    <mergeCell ref="B290:C290"/>
    <mergeCell ref="F290:G290"/>
    <mergeCell ref="I290:J290"/>
    <mergeCell ref="T290:U290"/>
    <mergeCell ref="X292:Y292"/>
    <mergeCell ref="B289:C289"/>
    <mergeCell ref="F289:G289"/>
    <mergeCell ref="I289:J289"/>
    <mergeCell ref="T289:U289"/>
    <mergeCell ref="X290:Y290"/>
    <mergeCell ref="B291:C291"/>
    <mergeCell ref="F291:G291"/>
    <mergeCell ref="I291:J291"/>
    <mergeCell ref="T291:U291"/>
    <mergeCell ref="X291:Y291"/>
    <mergeCell ref="X293:Y293"/>
    <mergeCell ref="B296:C296"/>
    <mergeCell ref="F296:G296"/>
    <mergeCell ref="I296:J296"/>
    <mergeCell ref="T296:U296"/>
    <mergeCell ref="B294:C294"/>
    <mergeCell ref="F294:G294"/>
    <mergeCell ref="I294:J294"/>
    <mergeCell ref="T294:U294"/>
    <mergeCell ref="X296:Y296"/>
    <mergeCell ref="B293:C293"/>
    <mergeCell ref="F293:G293"/>
    <mergeCell ref="I293:J293"/>
    <mergeCell ref="T293:U293"/>
    <mergeCell ref="X294:Y294"/>
    <mergeCell ref="B295:C295"/>
    <mergeCell ref="F295:G295"/>
    <mergeCell ref="I295:J295"/>
    <mergeCell ref="T295:U295"/>
    <mergeCell ref="X295:Y295"/>
    <mergeCell ref="X297:Y297"/>
    <mergeCell ref="B300:C300"/>
    <mergeCell ref="F300:G300"/>
    <mergeCell ref="I300:J300"/>
    <mergeCell ref="T300:U300"/>
    <mergeCell ref="B298:C298"/>
    <mergeCell ref="F298:G298"/>
    <mergeCell ref="I298:J298"/>
    <mergeCell ref="T298:U298"/>
    <mergeCell ref="X300:Y300"/>
    <mergeCell ref="B297:C297"/>
    <mergeCell ref="F297:G297"/>
    <mergeCell ref="I297:J297"/>
    <mergeCell ref="T297:U297"/>
    <mergeCell ref="X298:Y298"/>
    <mergeCell ref="B299:C299"/>
    <mergeCell ref="F299:G299"/>
    <mergeCell ref="I299:J299"/>
    <mergeCell ref="T299:U299"/>
    <mergeCell ref="X299:Y299"/>
    <mergeCell ref="X301:Y301"/>
    <mergeCell ref="B304:C304"/>
    <mergeCell ref="F304:G304"/>
    <mergeCell ref="I304:J304"/>
    <mergeCell ref="T304:U304"/>
    <mergeCell ref="B302:C302"/>
    <mergeCell ref="F302:G302"/>
    <mergeCell ref="I302:J302"/>
    <mergeCell ref="T302:U302"/>
    <mergeCell ref="X304:Y304"/>
    <mergeCell ref="B301:C301"/>
    <mergeCell ref="F301:G301"/>
    <mergeCell ref="I301:J301"/>
    <mergeCell ref="T301:U301"/>
    <mergeCell ref="X302:Y302"/>
    <mergeCell ref="B303:C303"/>
    <mergeCell ref="F303:G303"/>
    <mergeCell ref="I303:J303"/>
    <mergeCell ref="T303:U303"/>
    <mergeCell ref="X303:Y303"/>
    <mergeCell ref="X305:Y305"/>
    <mergeCell ref="B308:C308"/>
    <mergeCell ref="F308:G308"/>
    <mergeCell ref="I308:J308"/>
    <mergeCell ref="T308:U308"/>
    <mergeCell ref="B306:C306"/>
    <mergeCell ref="F306:G306"/>
    <mergeCell ref="I306:J306"/>
    <mergeCell ref="T306:U306"/>
    <mergeCell ref="X308:Y308"/>
    <mergeCell ref="B305:C305"/>
    <mergeCell ref="F305:G305"/>
    <mergeCell ref="I305:J305"/>
    <mergeCell ref="T305:U305"/>
    <mergeCell ref="X306:Y306"/>
    <mergeCell ref="B307:C307"/>
    <mergeCell ref="F307:G307"/>
    <mergeCell ref="I307:J307"/>
    <mergeCell ref="T307:U307"/>
    <mergeCell ref="X307:Y307"/>
    <mergeCell ref="X309:Y309"/>
    <mergeCell ref="B312:C312"/>
    <mergeCell ref="F312:G312"/>
    <mergeCell ref="I312:J312"/>
    <mergeCell ref="T312:U312"/>
    <mergeCell ref="B310:C310"/>
    <mergeCell ref="F310:G310"/>
    <mergeCell ref="I310:J310"/>
    <mergeCell ref="T310:U310"/>
    <mergeCell ref="X312:Y312"/>
    <mergeCell ref="B309:C309"/>
    <mergeCell ref="F309:G309"/>
    <mergeCell ref="I309:J309"/>
    <mergeCell ref="T309:U309"/>
    <mergeCell ref="X310:Y310"/>
    <mergeCell ref="B311:C311"/>
    <mergeCell ref="F311:G311"/>
    <mergeCell ref="I311:J311"/>
    <mergeCell ref="T311:U311"/>
    <mergeCell ref="X311:Y311"/>
    <mergeCell ref="X313:Y313"/>
    <mergeCell ref="B316:C316"/>
    <mergeCell ref="F316:G316"/>
    <mergeCell ref="I316:J316"/>
    <mergeCell ref="T316:U316"/>
    <mergeCell ref="B314:C314"/>
    <mergeCell ref="F314:G314"/>
    <mergeCell ref="I314:J314"/>
    <mergeCell ref="T314:U314"/>
    <mergeCell ref="X316:Y316"/>
    <mergeCell ref="B313:C313"/>
    <mergeCell ref="F313:G313"/>
    <mergeCell ref="I313:J313"/>
    <mergeCell ref="T313:U313"/>
    <mergeCell ref="X314:Y314"/>
    <mergeCell ref="B315:C315"/>
    <mergeCell ref="F315:G315"/>
    <mergeCell ref="I315:J315"/>
    <mergeCell ref="T315:U315"/>
    <mergeCell ref="X315:Y315"/>
    <mergeCell ref="X317:Y317"/>
    <mergeCell ref="B320:C320"/>
    <mergeCell ref="F320:G320"/>
    <mergeCell ref="I320:J320"/>
    <mergeCell ref="T320:U320"/>
    <mergeCell ref="B318:C318"/>
    <mergeCell ref="F318:G318"/>
    <mergeCell ref="I318:J318"/>
    <mergeCell ref="T318:U318"/>
    <mergeCell ref="X320:Y320"/>
    <mergeCell ref="B317:C317"/>
    <mergeCell ref="F317:G317"/>
    <mergeCell ref="I317:J317"/>
    <mergeCell ref="T317:U317"/>
    <mergeCell ref="X318:Y318"/>
    <mergeCell ref="B319:C319"/>
    <mergeCell ref="F319:G319"/>
    <mergeCell ref="I319:J319"/>
    <mergeCell ref="T319:U319"/>
    <mergeCell ref="X319:Y319"/>
    <mergeCell ref="X321:Y321"/>
    <mergeCell ref="B324:C324"/>
    <mergeCell ref="F324:G324"/>
    <mergeCell ref="I324:J324"/>
    <mergeCell ref="T324:U324"/>
    <mergeCell ref="B322:C322"/>
    <mergeCell ref="F322:G322"/>
    <mergeCell ref="I322:J322"/>
    <mergeCell ref="T322:U322"/>
    <mergeCell ref="X324:Y324"/>
    <mergeCell ref="B321:C321"/>
    <mergeCell ref="F321:G321"/>
    <mergeCell ref="I321:J321"/>
    <mergeCell ref="T321:U321"/>
    <mergeCell ref="X322:Y322"/>
    <mergeCell ref="B323:C323"/>
    <mergeCell ref="F323:G323"/>
    <mergeCell ref="I323:J323"/>
    <mergeCell ref="T323:U323"/>
    <mergeCell ref="X323:Y323"/>
    <mergeCell ref="X325:Y325"/>
    <mergeCell ref="B328:C328"/>
    <mergeCell ref="F328:G328"/>
    <mergeCell ref="I328:J328"/>
    <mergeCell ref="T328:U328"/>
    <mergeCell ref="B326:C326"/>
    <mergeCell ref="F326:G326"/>
    <mergeCell ref="I326:J326"/>
    <mergeCell ref="T326:U326"/>
    <mergeCell ref="X328:Y328"/>
    <mergeCell ref="B325:C325"/>
    <mergeCell ref="F325:G325"/>
    <mergeCell ref="I325:J325"/>
    <mergeCell ref="T325:U325"/>
    <mergeCell ref="X326:Y326"/>
    <mergeCell ref="B327:C327"/>
    <mergeCell ref="F327:G327"/>
    <mergeCell ref="I327:J327"/>
    <mergeCell ref="T327:U327"/>
    <mergeCell ref="X327:Y327"/>
    <mergeCell ref="X329:Y329"/>
    <mergeCell ref="B332:C332"/>
    <mergeCell ref="F332:G332"/>
    <mergeCell ref="I332:J332"/>
    <mergeCell ref="T332:U332"/>
    <mergeCell ref="B330:C330"/>
    <mergeCell ref="F330:G330"/>
    <mergeCell ref="I330:J330"/>
    <mergeCell ref="T330:U330"/>
    <mergeCell ref="X332:Y332"/>
    <mergeCell ref="B329:C329"/>
    <mergeCell ref="F329:G329"/>
    <mergeCell ref="I329:J329"/>
    <mergeCell ref="T329:U329"/>
    <mergeCell ref="X330:Y330"/>
    <mergeCell ref="B331:C331"/>
    <mergeCell ref="F331:G331"/>
    <mergeCell ref="I331:J331"/>
    <mergeCell ref="T331:U331"/>
    <mergeCell ref="X331:Y331"/>
    <mergeCell ref="X333:Y333"/>
    <mergeCell ref="B336:C336"/>
    <mergeCell ref="F336:G336"/>
    <mergeCell ref="I336:J336"/>
    <mergeCell ref="T336:U336"/>
    <mergeCell ref="B334:C334"/>
    <mergeCell ref="F334:G334"/>
    <mergeCell ref="I334:J334"/>
    <mergeCell ref="T334:U334"/>
    <mergeCell ref="X336:Y336"/>
    <mergeCell ref="B333:C333"/>
    <mergeCell ref="F333:G333"/>
    <mergeCell ref="I333:J333"/>
    <mergeCell ref="T333:U333"/>
    <mergeCell ref="X334:Y334"/>
    <mergeCell ref="B335:C335"/>
    <mergeCell ref="F335:G335"/>
    <mergeCell ref="I335:J335"/>
    <mergeCell ref="T335:U335"/>
    <mergeCell ref="X335:Y335"/>
    <mergeCell ref="X337:Y337"/>
    <mergeCell ref="B340:C340"/>
    <mergeCell ref="F340:G340"/>
    <mergeCell ref="I340:J340"/>
    <mergeCell ref="T340:U340"/>
    <mergeCell ref="B338:C338"/>
    <mergeCell ref="F338:G338"/>
    <mergeCell ref="I338:J338"/>
    <mergeCell ref="T338:U338"/>
    <mergeCell ref="X340:Y340"/>
    <mergeCell ref="B337:C337"/>
    <mergeCell ref="F337:G337"/>
    <mergeCell ref="I337:J337"/>
    <mergeCell ref="T337:U337"/>
    <mergeCell ref="X338:Y338"/>
    <mergeCell ref="B339:C339"/>
    <mergeCell ref="F339:G339"/>
    <mergeCell ref="I339:J339"/>
    <mergeCell ref="T339:U339"/>
    <mergeCell ref="X339:Y339"/>
    <mergeCell ref="X341:Y341"/>
    <mergeCell ref="B344:C344"/>
    <mergeCell ref="F344:G344"/>
    <mergeCell ref="I344:J344"/>
    <mergeCell ref="T344:U344"/>
    <mergeCell ref="B342:C342"/>
    <mergeCell ref="F342:G342"/>
    <mergeCell ref="I342:J342"/>
    <mergeCell ref="T342:U342"/>
    <mergeCell ref="X344:Y344"/>
    <mergeCell ref="B341:C341"/>
    <mergeCell ref="F341:G341"/>
    <mergeCell ref="I341:J341"/>
    <mergeCell ref="T341:U341"/>
    <mergeCell ref="X342:Y342"/>
    <mergeCell ref="B343:C343"/>
    <mergeCell ref="F343:G343"/>
    <mergeCell ref="I343:J343"/>
    <mergeCell ref="T343:U343"/>
    <mergeCell ref="X343:Y343"/>
    <mergeCell ref="X345:Y345"/>
    <mergeCell ref="B348:C348"/>
    <mergeCell ref="F348:G348"/>
    <mergeCell ref="I348:J348"/>
    <mergeCell ref="T348:U348"/>
    <mergeCell ref="B346:C346"/>
    <mergeCell ref="F346:G346"/>
    <mergeCell ref="I346:J346"/>
    <mergeCell ref="T346:U346"/>
    <mergeCell ref="X348:Y348"/>
    <mergeCell ref="B345:C345"/>
    <mergeCell ref="F345:G345"/>
    <mergeCell ref="I345:J345"/>
    <mergeCell ref="T345:U345"/>
    <mergeCell ref="X346:Y346"/>
    <mergeCell ref="B347:C347"/>
    <mergeCell ref="F347:G347"/>
    <mergeCell ref="I347:J347"/>
    <mergeCell ref="T347:U347"/>
    <mergeCell ref="X347:Y347"/>
    <mergeCell ref="X349:Y349"/>
    <mergeCell ref="B352:C352"/>
    <mergeCell ref="F352:G352"/>
    <mergeCell ref="I352:J352"/>
    <mergeCell ref="T352:U352"/>
    <mergeCell ref="B350:C350"/>
    <mergeCell ref="F350:G350"/>
    <mergeCell ref="I350:J350"/>
    <mergeCell ref="T350:U350"/>
    <mergeCell ref="X352:Y352"/>
    <mergeCell ref="B349:C349"/>
    <mergeCell ref="F349:G349"/>
    <mergeCell ref="I349:J349"/>
    <mergeCell ref="T349:U349"/>
    <mergeCell ref="X350:Y350"/>
    <mergeCell ref="B351:C351"/>
    <mergeCell ref="F351:G351"/>
    <mergeCell ref="I351:J351"/>
    <mergeCell ref="T351:U351"/>
    <mergeCell ref="X351:Y351"/>
    <mergeCell ref="X353:Y353"/>
    <mergeCell ref="B356:C356"/>
    <mergeCell ref="F356:G356"/>
    <mergeCell ref="I356:J356"/>
    <mergeCell ref="T356:U356"/>
    <mergeCell ref="B354:C354"/>
    <mergeCell ref="F354:G354"/>
    <mergeCell ref="I354:J354"/>
    <mergeCell ref="T354:U354"/>
    <mergeCell ref="X356:Y356"/>
    <mergeCell ref="B353:C353"/>
    <mergeCell ref="F353:G353"/>
    <mergeCell ref="I353:J353"/>
    <mergeCell ref="T353:U353"/>
    <mergeCell ref="X354:Y354"/>
    <mergeCell ref="B355:C355"/>
    <mergeCell ref="F355:G355"/>
    <mergeCell ref="I355:J355"/>
    <mergeCell ref="T355:U355"/>
    <mergeCell ref="X355:Y355"/>
    <mergeCell ref="X357:Y357"/>
    <mergeCell ref="B360:C360"/>
    <mergeCell ref="F360:G360"/>
    <mergeCell ref="I360:J360"/>
    <mergeCell ref="T360:U360"/>
    <mergeCell ref="B358:C358"/>
    <mergeCell ref="F358:G358"/>
    <mergeCell ref="I358:J358"/>
    <mergeCell ref="T358:U358"/>
    <mergeCell ref="X360:Y360"/>
    <mergeCell ref="B357:C357"/>
    <mergeCell ref="F357:G357"/>
    <mergeCell ref="I357:J357"/>
    <mergeCell ref="T357:U357"/>
    <mergeCell ref="X358:Y358"/>
    <mergeCell ref="B359:C359"/>
    <mergeCell ref="F359:G359"/>
    <mergeCell ref="I359:J359"/>
    <mergeCell ref="T359:U359"/>
    <mergeCell ref="X359:Y359"/>
    <mergeCell ref="X361:Y361"/>
    <mergeCell ref="B364:C364"/>
    <mergeCell ref="F364:G364"/>
    <mergeCell ref="I364:J364"/>
    <mergeCell ref="T364:U364"/>
    <mergeCell ref="B362:C362"/>
    <mergeCell ref="F362:G362"/>
    <mergeCell ref="I362:J362"/>
    <mergeCell ref="T362:U362"/>
    <mergeCell ref="X364:Y364"/>
    <mergeCell ref="B361:C361"/>
    <mergeCell ref="F361:G361"/>
    <mergeCell ref="I361:J361"/>
    <mergeCell ref="T361:U361"/>
    <mergeCell ref="X362:Y362"/>
    <mergeCell ref="B363:C363"/>
    <mergeCell ref="F363:G363"/>
    <mergeCell ref="I363:J363"/>
    <mergeCell ref="T363:U363"/>
    <mergeCell ref="X363:Y363"/>
    <mergeCell ref="X365:Y365"/>
    <mergeCell ref="B368:C368"/>
    <mergeCell ref="F368:G368"/>
    <mergeCell ref="I368:J368"/>
    <mergeCell ref="T368:U368"/>
    <mergeCell ref="B366:C366"/>
    <mergeCell ref="F366:G366"/>
    <mergeCell ref="I366:J366"/>
    <mergeCell ref="T366:U366"/>
    <mergeCell ref="X368:Y368"/>
    <mergeCell ref="B365:C365"/>
    <mergeCell ref="F365:G365"/>
    <mergeCell ref="I365:J365"/>
    <mergeCell ref="T365:U365"/>
    <mergeCell ref="X366:Y366"/>
    <mergeCell ref="B367:C367"/>
    <mergeCell ref="F367:G367"/>
    <mergeCell ref="I367:J367"/>
    <mergeCell ref="T367:U367"/>
    <mergeCell ref="X367:Y367"/>
    <mergeCell ref="X369:Y369"/>
    <mergeCell ref="B372:C372"/>
    <mergeCell ref="F372:G372"/>
    <mergeCell ref="I372:J372"/>
    <mergeCell ref="T372:U372"/>
    <mergeCell ref="B370:C370"/>
    <mergeCell ref="F370:G370"/>
    <mergeCell ref="I370:J370"/>
    <mergeCell ref="T370:U370"/>
    <mergeCell ref="X372:Y372"/>
    <mergeCell ref="B369:C369"/>
    <mergeCell ref="F369:G369"/>
    <mergeCell ref="I369:J369"/>
    <mergeCell ref="T369:U369"/>
    <mergeCell ref="X370:Y370"/>
    <mergeCell ref="B371:C371"/>
    <mergeCell ref="F371:G371"/>
    <mergeCell ref="I371:J371"/>
    <mergeCell ref="T371:U371"/>
    <mergeCell ref="X371:Y371"/>
    <mergeCell ref="X373:Y373"/>
    <mergeCell ref="B376:C376"/>
    <mergeCell ref="F376:G376"/>
    <mergeCell ref="I376:J376"/>
    <mergeCell ref="T376:U376"/>
    <mergeCell ref="B374:C374"/>
    <mergeCell ref="F374:G374"/>
    <mergeCell ref="I374:J374"/>
    <mergeCell ref="T374:U374"/>
    <mergeCell ref="X376:Y376"/>
    <mergeCell ref="B373:C373"/>
    <mergeCell ref="F373:G373"/>
    <mergeCell ref="I373:J373"/>
    <mergeCell ref="T373:U373"/>
    <mergeCell ref="X374:Y374"/>
    <mergeCell ref="B375:C375"/>
    <mergeCell ref="F375:G375"/>
    <mergeCell ref="I375:J375"/>
    <mergeCell ref="T375:U375"/>
    <mergeCell ref="X375:Y375"/>
    <mergeCell ref="X377:Y377"/>
    <mergeCell ref="B380:C380"/>
    <mergeCell ref="F380:G380"/>
    <mergeCell ref="I380:J380"/>
    <mergeCell ref="T380:U380"/>
    <mergeCell ref="B378:C378"/>
    <mergeCell ref="F378:G378"/>
    <mergeCell ref="I378:J378"/>
    <mergeCell ref="T378:U378"/>
    <mergeCell ref="X380:Y380"/>
    <mergeCell ref="B377:C377"/>
    <mergeCell ref="F377:G377"/>
    <mergeCell ref="I377:J377"/>
    <mergeCell ref="T377:U377"/>
    <mergeCell ref="X378:Y378"/>
    <mergeCell ref="B379:C379"/>
    <mergeCell ref="F379:G379"/>
    <mergeCell ref="I379:J379"/>
    <mergeCell ref="T379:U379"/>
    <mergeCell ref="X379:Y379"/>
    <mergeCell ref="X381:Y381"/>
    <mergeCell ref="B384:C384"/>
    <mergeCell ref="F384:G384"/>
    <mergeCell ref="I384:J384"/>
    <mergeCell ref="T384:U384"/>
    <mergeCell ref="B382:C382"/>
    <mergeCell ref="F382:G382"/>
    <mergeCell ref="I382:J382"/>
    <mergeCell ref="T382:U382"/>
    <mergeCell ref="X384:Y384"/>
    <mergeCell ref="B381:C381"/>
    <mergeCell ref="F381:G381"/>
    <mergeCell ref="I381:J381"/>
    <mergeCell ref="T381:U381"/>
    <mergeCell ref="X382:Y382"/>
    <mergeCell ref="B383:C383"/>
    <mergeCell ref="F383:G383"/>
    <mergeCell ref="I383:J383"/>
    <mergeCell ref="T383:U383"/>
    <mergeCell ref="X383:Y383"/>
    <mergeCell ref="X385:Y385"/>
    <mergeCell ref="B388:C388"/>
    <mergeCell ref="F388:G388"/>
    <mergeCell ref="I388:J388"/>
    <mergeCell ref="T388:U388"/>
    <mergeCell ref="B386:C386"/>
    <mergeCell ref="F386:G386"/>
    <mergeCell ref="I386:J386"/>
    <mergeCell ref="T386:U386"/>
    <mergeCell ref="X388:Y388"/>
    <mergeCell ref="B385:C385"/>
    <mergeCell ref="F385:G385"/>
    <mergeCell ref="I385:J385"/>
    <mergeCell ref="T385:U385"/>
    <mergeCell ref="X386:Y386"/>
    <mergeCell ref="B387:C387"/>
    <mergeCell ref="F387:G387"/>
    <mergeCell ref="I387:J387"/>
    <mergeCell ref="T387:U387"/>
    <mergeCell ref="X387:Y387"/>
    <mergeCell ref="X389:Y389"/>
    <mergeCell ref="B392:C392"/>
    <mergeCell ref="F392:G392"/>
    <mergeCell ref="I392:J392"/>
    <mergeCell ref="T392:U392"/>
    <mergeCell ref="B390:C390"/>
    <mergeCell ref="F390:G390"/>
    <mergeCell ref="I390:J390"/>
    <mergeCell ref="T390:U390"/>
    <mergeCell ref="X392:Y392"/>
    <mergeCell ref="B389:C389"/>
    <mergeCell ref="F389:G389"/>
    <mergeCell ref="I389:J389"/>
    <mergeCell ref="T389:U389"/>
    <mergeCell ref="X390:Y390"/>
    <mergeCell ref="B391:C391"/>
    <mergeCell ref="F391:G391"/>
    <mergeCell ref="I391:J391"/>
    <mergeCell ref="T391:U391"/>
    <mergeCell ref="X391:Y391"/>
    <mergeCell ref="X393:Y393"/>
    <mergeCell ref="B396:C396"/>
    <mergeCell ref="F396:G396"/>
    <mergeCell ref="I396:J396"/>
    <mergeCell ref="T396:U396"/>
    <mergeCell ref="B394:C394"/>
    <mergeCell ref="F394:G394"/>
    <mergeCell ref="I394:J394"/>
    <mergeCell ref="T394:U394"/>
    <mergeCell ref="X396:Y396"/>
    <mergeCell ref="B393:C393"/>
    <mergeCell ref="F393:G393"/>
    <mergeCell ref="I393:J393"/>
    <mergeCell ref="T393:U393"/>
    <mergeCell ref="X394:Y394"/>
    <mergeCell ref="B395:C395"/>
    <mergeCell ref="F395:G395"/>
    <mergeCell ref="I395:J395"/>
    <mergeCell ref="T395:U395"/>
    <mergeCell ref="X395:Y395"/>
    <mergeCell ref="X397:Y397"/>
    <mergeCell ref="B400:C400"/>
    <mergeCell ref="F400:G400"/>
    <mergeCell ref="I400:J400"/>
    <mergeCell ref="T400:U400"/>
    <mergeCell ref="B398:C398"/>
    <mergeCell ref="F398:G398"/>
    <mergeCell ref="I398:J398"/>
    <mergeCell ref="T398:U398"/>
    <mergeCell ref="X400:Y400"/>
    <mergeCell ref="B397:C397"/>
    <mergeCell ref="F397:G397"/>
    <mergeCell ref="I397:J397"/>
    <mergeCell ref="T397:U397"/>
    <mergeCell ref="X398:Y398"/>
    <mergeCell ref="B399:C399"/>
    <mergeCell ref="F399:G399"/>
    <mergeCell ref="I399:J399"/>
    <mergeCell ref="T399:U399"/>
    <mergeCell ref="X399:Y399"/>
    <mergeCell ref="X401:Y401"/>
    <mergeCell ref="B404:C404"/>
    <mergeCell ref="F404:G404"/>
    <mergeCell ref="I404:J404"/>
    <mergeCell ref="T404:U404"/>
    <mergeCell ref="B402:C402"/>
    <mergeCell ref="F402:G402"/>
    <mergeCell ref="I402:J402"/>
    <mergeCell ref="T402:U402"/>
    <mergeCell ref="X404:Y404"/>
    <mergeCell ref="B401:C401"/>
    <mergeCell ref="F401:G401"/>
    <mergeCell ref="I401:J401"/>
    <mergeCell ref="T401:U401"/>
    <mergeCell ref="X402:Y402"/>
    <mergeCell ref="B403:C403"/>
    <mergeCell ref="F403:G403"/>
    <mergeCell ref="I403:J403"/>
    <mergeCell ref="T403:U403"/>
    <mergeCell ref="X403:Y403"/>
    <mergeCell ref="X405:Y405"/>
    <mergeCell ref="B408:C408"/>
    <mergeCell ref="F408:G408"/>
    <mergeCell ref="I408:J408"/>
    <mergeCell ref="T408:U408"/>
    <mergeCell ref="B406:C406"/>
    <mergeCell ref="F406:G406"/>
    <mergeCell ref="I406:J406"/>
    <mergeCell ref="T406:U406"/>
    <mergeCell ref="X408:Y408"/>
    <mergeCell ref="B405:C405"/>
    <mergeCell ref="F405:G405"/>
    <mergeCell ref="I405:J405"/>
    <mergeCell ref="T405:U405"/>
    <mergeCell ref="X406:Y406"/>
    <mergeCell ref="B407:C407"/>
    <mergeCell ref="F407:G407"/>
    <mergeCell ref="I407:J407"/>
    <mergeCell ref="T407:U407"/>
    <mergeCell ref="X407:Y407"/>
    <mergeCell ref="X409:Y409"/>
    <mergeCell ref="B412:C412"/>
    <mergeCell ref="F412:G412"/>
    <mergeCell ref="I412:J412"/>
    <mergeCell ref="T412:U412"/>
    <mergeCell ref="B410:C410"/>
    <mergeCell ref="F410:G410"/>
    <mergeCell ref="I410:J410"/>
    <mergeCell ref="T410:U410"/>
    <mergeCell ref="X412:Y412"/>
    <mergeCell ref="B409:C409"/>
    <mergeCell ref="F409:G409"/>
    <mergeCell ref="I409:J409"/>
    <mergeCell ref="T409:U409"/>
    <mergeCell ref="X410:Y410"/>
    <mergeCell ref="B411:C411"/>
    <mergeCell ref="F411:G411"/>
    <mergeCell ref="I411:J411"/>
    <mergeCell ref="T411:U411"/>
    <mergeCell ref="X411:Y411"/>
    <mergeCell ref="X413:Y413"/>
    <mergeCell ref="B416:C416"/>
    <mergeCell ref="F416:G416"/>
    <mergeCell ref="I416:J416"/>
    <mergeCell ref="T416:U416"/>
    <mergeCell ref="B414:C414"/>
    <mergeCell ref="F414:G414"/>
    <mergeCell ref="I414:J414"/>
    <mergeCell ref="T414:U414"/>
    <mergeCell ref="X416:Y416"/>
    <mergeCell ref="B413:C413"/>
    <mergeCell ref="F413:G413"/>
    <mergeCell ref="I413:J413"/>
    <mergeCell ref="T413:U413"/>
    <mergeCell ref="X414:Y414"/>
    <mergeCell ref="B415:C415"/>
    <mergeCell ref="F415:G415"/>
    <mergeCell ref="I415:J415"/>
    <mergeCell ref="T415:U415"/>
    <mergeCell ref="X415:Y415"/>
    <mergeCell ref="X417:Y417"/>
    <mergeCell ref="B420:C420"/>
    <mergeCell ref="F420:G420"/>
    <mergeCell ref="I420:J420"/>
    <mergeCell ref="T420:U420"/>
    <mergeCell ref="B418:C418"/>
    <mergeCell ref="F418:G418"/>
    <mergeCell ref="I418:J418"/>
    <mergeCell ref="T418:U418"/>
    <mergeCell ref="X420:Y420"/>
    <mergeCell ref="B417:C417"/>
    <mergeCell ref="F417:G417"/>
    <mergeCell ref="I417:J417"/>
    <mergeCell ref="T417:U417"/>
    <mergeCell ref="X418:Y418"/>
    <mergeCell ref="B419:C419"/>
    <mergeCell ref="F419:G419"/>
    <mergeCell ref="I419:J419"/>
    <mergeCell ref="T419:U419"/>
    <mergeCell ref="X419:Y419"/>
    <mergeCell ref="X421:Y421"/>
    <mergeCell ref="B424:C424"/>
    <mergeCell ref="F424:G424"/>
    <mergeCell ref="I424:J424"/>
    <mergeCell ref="T424:U424"/>
    <mergeCell ref="B422:C422"/>
    <mergeCell ref="F422:G422"/>
    <mergeCell ref="I422:J422"/>
    <mergeCell ref="T422:U422"/>
    <mergeCell ref="X424:Y424"/>
    <mergeCell ref="B421:C421"/>
    <mergeCell ref="F421:G421"/>
    <mergeCell ref="I421:J421"/>
    <mergeCell ref="T421:U421"/>
    <mergeCell ref="X422:Y422"/>
    <mergeCell ref="B423:C423"/>
    <mergeCell ref="F423:G423"/>
    <mergeCell ref="I423:J423"/>
    <mergeCell ref="T423:U423"/>
    <mergeCell ref="X423:Y423"/>
    <mergeCell ref="X425:Y425"/>
    <mergeCell ref="B428:C428"/>
    <mergeCell ref="F428:G428"/>
    <mergeCell ref="I428:J428"/>
    <mergeCell ref="T428:U428"/>
    <mergeCell ref="B426:C426"/>
    <mergeCell ref="F426:G426"/>
    <mergeCell ref="I426:J426"/>
    <mergeCell ref="T426:U426"/>
    <mergeCell ref="X428:Y428"/>
    <mergeCell ref="B425:C425"/>
    <mergeCell ref="F425:G425"/>
    <mergeCell ref="I425:J425"/>
    <mergeCell ref="T425:U425"/>
    <mergeCell ref="X426:Y426"/>
    <mergeCell ref="B427:C427"/>
    <mergeCell ref="F427:G427"/>
    <mergeCell ref="I427:J427"/>
    <mergeCell ref="T427:U427"/>
    <mergeCell ref="X427:Y427"/>
    <mergeCell ref="X429:Y429"/>
    <mergeCell ref="B432:C432"/>
    <mergeCell ref="F432:G432"/>
    <mergeCell ref="I432:J432"/>
    <mergeCell ref="T432:U432"/>
    <mergeCell ref="B430:C430"/>
    <mergeCell ref="F430:G430"/>
    <mergeCell ref="I430:J430"/>
    <mergeCell ref="T430:U430"/>
    <mergeCell ref="X432:Y432"/>
    <mergeCell ref="B429:C429"/>
    <mergeCell ref="F429:G429"/>
    <mergeCell ref="I429:J429"/>
    <mergeCell ref="T429:U429"/>
    <mergeCell ref="X430:Y430"/>
    <mergeCell ref="B431:C431"/>
    <mergeCell ref="F431:G431"/>
    <mergeCell ref="I431:J431"/>
    <mergeCell ref="T431:U431"/>
    <mergeCell ref="X431:Y431"/>
    <mergeCell ref="X433:Y433"/>
    <mergeCell ref="B436:C436"/>
    <mergeCell ref="F436:G436"/>
    <mergeCell ref="I436:J436"/>
    <mergeCell ref="T436:U436"/>
    <mergeCell ref="B434:C434"/>
    <mergeCell ref="F434:G434"/>
    <mergeCell ref="I434:J434"/>
    <mergeCell ref="T434:U434"/>
    <mergeCell ref="X436:Y436"/>
    <mergeCell ref="B433:C433"/>
    <mergeCell ref="F433:G433"/>
    <mergeCell ref="I433:J433"/>
    <mergeCell ref="T433:U433"/>
    <mergeCell ref="X434:Y434"/>
    <mergeCell ref="B435:C435"/>
    <mergeCell ref="F435:G435"/>
    <mergeCell ref="I435:J435"/>
    <mergeCell ref="T435:U435"/>
    <mergeCell ref="X435:Y435"/>
    <mergeCell ref="X437:Y437"/>
    <mergeCell ref="B440:C440"/>
    <mergeCell ref="F440:G440"/>
    <mergeCell ref="I440:J440"/>
    <mergeCell ref="T440:U440"/>
    <mergeCell ref="B438:C438"/>
    <mergeCell ref="F438:G438"/>
    <mergeCell ref="I438:J438"/>
    <mergeCell ref="T438:U438"/>
    <mergeCell ref="X440:Y440"/>
    <mergeCell ref="B437:C437"/>
    <mergeCell ref="F437:G437"/>
    <mergeCell ref="I437:J437"/>
    <mergeCell ref="T437:U437"/>
    <mergeCell ref="X438:Y438"/>
    <mergeCell ref="B439:C439"/>
    <mergeCell ref="F439:G439"/>
    <mergeCell ref="I439:J439"/>
    <mergeCell ref="T439:U439"/>
    <mergeCell ref="X439:Y439"/>
    <mergeCell ref="X441:Y441"/>
    <mergeCell ref="B444:C444"/>
    <mergeCell ref="F444:G444"/>
    <mergeCell ref="I444:J444"/>
    <mergeCell ref="T444:U444"/>
    <mergeCell ref="B442:C442"/>
    <mergeCell ref="F442:G442"/>
    <mergeCell ref="I442:J442"/>
    <mergeCell ref="T442:U442"/>
    <mergeCell ref="X444:Y444"/>
    <mergeCell ref="B441:C441"/>
    <mergeCell ref="F441:G441"/>
    <mergeCell ref="I441:J441"/>
    <mergeCell ref="T441:U441"/>
    <mergeCell ref="X442:Y442"/>
    <mergeCell ref="B443:C443"/>
    <mergeCell ref="F443:G443"/>
    <mergeCell ref="I443:J443"/>
    <mergeCell ref="T443:U443"/>
    <mergeCell ref="X443:Y443"/>
    <mergeCell ref="X445:Y445"/>
    <mergeCell ref="B448:C448"/>
    <mergeCell ref="F448:G448"/>
    <mergeCell ref="I448:J448"/>
    <mergeCell ref="T448:U448"/>
    <mergeCell ref="B446:C446"/>
    <mergeCell ref="F446:G446"/>
    <mergeCell ref="I446:J446"/>
    <mergeCell ref="T446:U446"/>
    <mergeCell ref="X448:Y448"/>
    <mergeCell ref="B445:C445"/>
    <mergeCell ref="F445:G445"/>
    <mergeCell ref="I445:J445"/>
    <mergeCell ref="T445:U445"/>
    <mergeCell ref="X446:Y446"/>
    <mergeCell ref="B447:C447"/>
    <mergeCell ref="F447:G447"/>
    <mergeCell ref="I447:J447"/>
    <mergeCell ref="T447:U447"/>
    <mergeCell ref="X447:Y447"/>
    <mergeCell ref="X449:Y449"/>
    <mergeCell ref="B452:C452"/>
    <mergeCell ref="F452:G452"/>
    <mergeCell ref="I452:J452"/>
    <mergeCell ref="T452:U452"/>
    <mergeCell ref="B450:C450"/>
    <mergeCell ref="F450:G450"/>
    <mergeCell ref="I450:J450"/>
    <mergeCell ref="T450:U450"/>
    <mergeCell ref="X452:Y452"/>
    <mergeCell ref="B449:C449"/>
    <mergeCell ref="F449:G449"/>
    <mergeCell ref="I449:J449"/>
    <mergeCell ref="T449:U449"/>
    <mergeCell ref="X450:Y450"/>
    <mergeCell ref="B451:C451"/>
    <mergeCell ref="F451:G451"/>
    <mergeCell ref="I451:J451"/>
    <mergeCell ref="T451:U451"/>
    <mergeCell ref="X451:Y451"/>
    <mergeCell ref="X453:Y453"/>
    <mergeCell ref="B456:C456"/>
    <mergeCell ref="F456:G456"/>
    <mergeCell ref="I456:J456"/>
    <mergeCell ref="T456:U456"/>
    <mergeCell ref="B454:C454"/>
    <mergeCell ref="F454:G454"/>
    <mergeCell ref="I454:J454"/>
    <mergeCell ref="T454:U454"/>
    <mergeCell ref="X456:Y456"/>
    <mergeCell ref="B453:C453"/>
    <mergeCell ref="F453:G453"/>
    <mergeCell ref="I453:J453"/>
    <mergeCell ref="T453:U453"/>
    <mergeCell ref="X454:Y454"/>
    <mergeCell ref="B455:C455"/>
    <mergeCell ref="F455:G455"/>
    <mergeCell ref="I455:J455"/>
    <mergeCell ref="T455:U455"/>
    <mergeCell ref="X455:Y455"/>
    <mergeCell ref="X457:Y457"/>
    <mergeCell ref="B460:C460"/>
    <mergeCell ref="F460:G460"/>
    <mergeCell ref="I460:J460"/>
    <mergeCell ref="T460:U460"/>
    <mergeCell ref="B458:C458"/>
    <mergeCell ref="F458:G458"/>
    <mergeCell ref="I458:J458"/>
    <mergeCell ref="T458:U458"/>
    <mergeCell ref="X460:Y460"/>
    <mergeCell ref="B457:C457"/>
    <mergeCell ref="F457:G457"/>
    <mergeCell ref="I457:J457"/>
    <mergeCell ref="T457:U457"/>
    <mergeCell ref="X458:Y458"/>
    <mergeCell ref="B459:C459"/>
    <mergeCell ref="F459:G459"/>
    <mergeCell ref="I459:J459"/>
    <mergeCell ref="T459:U459"/>
    <mergeCell ref="X459:Y459"/>
    <mergeCell ref="X461:Y461"/>
    <mergeCell ref="B464:C464"/>
    <mergeCell ref="F464:G464"/>
    <mergeCell ref="I464:J464"/>
    <mergeCell ref="T464:U464"/>
    <mergeCell ref="B462:C462"/>
    <mergeCell ref="F462:G462"/>
    <mergeCell ref="I462:J462"/>
    <mergeCell ref="T462:U462"/>
    <mergeCell ref="X464:Y464"/>
    <mergeCell ref="B461:C461"/>
    <mergeCell ref="F461:G461"/>
    <mergeCell ref="I461:J461"/>
    <mergeCell ref="T461:U461"/>
    <mergeCell ref="X462:Y462"/>
    <mergeCell ref="B463:C463"/>
    <mergeCell ref="F463:G463"/>
    <mergeCell ref="I463:J463"/>
    <mergeCell ref="T463:U463"/>
    <mergeCell ref="X463:Y463"/>
    <mergeCell ref="X465:Y465"/>
    <mergeCell ref="B468:C468"/>
    <mergeCell ref="F468:G468"/>
    <mergeCell ref="I468:J468"/>
    <mergeCell ref="T468:U468"/>
    <mergeCell ref="B466:C466"/>
    <mergeCell ref="F466:G466"/>
    <mergeCell ref="I466:J466"/>
    <mergeCell ref="T466:U466"/>
    <mergeCell ref="X468:Y468"/>
    <mergeCell ref="B465:C465"/>
    <mergeCell ref="F465:G465"/>
    <mergeCell ref="I465:J465"/>
    <mergeCell ref="T465:U465"/>
    <mergeCell ref="X466:Y466"/>
    <mergeCell ref="B467:C467"/>
    <mergeCell ref="F467:G467"/>
    <mergeCell ref="I467:J467"/>
    <mergeCell ref="T467:U467"/>
    <mergeCell ref="X467:Y467"/>
    <mergeCell ref="X469:Y469"/>
    <mergeCell ref="B472:C472"/>
    <mergeCell ref="F472:G472"/>
    <mergeCell ref="I472:J472"/>
    <mergeCell ref="T472:U472"/>
    <mergeCell ref="B470:C470"/>
    <mergeCell ref="F470:G470"/>
    <mergeCell ref="I470:J470"/>
    <mergeCell ref="T470:U470"/>
    <mergeCell ref="X472:Y472"/>
    <mergeCell ref="B469:C469"/>
    <mergeCell ref="F469:G469"/>
    <mergeCell ref="I469:J469"/>
    <mergeCell ref="T469:U469"/>
    <mergeCell ref="X470:Y470"/>
    <mergeCell ref="B471:C471"/>
    <mergeCell ref="F471:G471"/>
    <mergeCell ref="I471:J471"/>
    <mergeCell ref="T471:U471"/>
    <mergeCell ref="X471:Y471"/>
    <mergeCell ref="X473:Y473"/>
    <mergeCell ref="B476:C476"/>
    <mergeCell ref="F476:G476"/>
    <mergeCell ref="I476:J476"/>
    <mergeCell ref="T476:U476"/>
    <mergeCell ref="B474:C474"/>
    <mergeCell ref="F474:G474"/>
    <mergeCell ref="I474:J474"/>
    <mergeCell ref="T474:U474"/>
    <mergeCell ref="X476:Y476"/>
    <mergeCell ref="B473:C473"/>
    <mergeCell ref="F473:G473"/>
    <mergeCell ref="I473:J473"/>
    <mergeCell ref="T473:U473"/>
    <mergeCell ref="X474:Y474"/>
    <mergeCell ref="B475:C475"/>
    <mergeCell ref="F475:G475"/>
    <mergeCell ref="I475:J475"/>
    <mergeCell ref="T475:U475"/>
    <mergeCell ref="X475:Y475"/>
    <mergeCell ref="X477:Y477"/>
    <mergeCell ref="B480:C480"/>
    <mergeCell ref="F480:G480"/>
    <mergeCell ref="I480:J480"/>
    <mergeCell ref="T480:U480"/>
    <mergeCell ref="B478:C478"/>
    <mergeCell ref="F478:G478"/>
    <mergeCell ref="I478:J478"/>
    <mergeCell ref="T478:U478"/>
    <mergeCell ref="X480:Y480"/>
    <mergeCell ref="B477:C477"/>
    <mergeCell ref="F477:G477"/>
    <mergeCell ref="I477:J477"/>
    <mergeCell ref="T477:U477"/>
    <mergeCell ref="X478:Y478"/>
    <mergeCell ref="B479:C479"/>
    <mergeCell ref="F479:G479"/>
    <mergeCell ref="I479:J479"/>
    <mergeCell ref="T479:U479"/>
    <mergeCell ref="X479:Y479"/>
    <mergeCell ref="X481:Y481"/>
    <mergeCell ref="B484:C484"/>
    <mergeCell ref="F484:G484"/>
    <mergeCell ref="I484:J484"/>
    <mergeCell ref="T484:U484"/>
    <mergeCell ref="B482:C482"/>
    <mergeCell ref="F482:G482"/>
    <mergeCell ref="I482:J482"/>
    <mergeCell ref="T482:U482"/>
    <mergeCell ref="X484:Y484"/>
    <mergeCell ref="B481:C481"/>
    <mergeCell ref="F481:G481"/>
    <mergeCell ref="I481:J481"/>
    <mergeCell ref="T481:U481"/>
    <mergeCell ref="X482:Y482"/>
    <mergeCell ref="B483:C483"/>
    <mergeCell ref="F483:G483"/>
    <mergeCell ref="I483:J483"/>
    <mergeCell ref="T483:U483"/>
    <mergeCell ref="X483:Y483"/>
    <mergeCell ref="X485:Y485"/>
    <mergeCell ref="B488:C488"/>
    <mergeCell ref="F488:G488"/>
    <mergeCell ref="I488:J488"/>
    <mergeCell ref="T488:U488"/>
    <mergeCell ref="B486:C486"/>
    <mergeCell ref="F486:G486"/>
    <mergeCell ref="I486:J486"/>
    <mergeCell ref="T486:U486"/>
    <mergeCell ref="X488:Y488"/>
    <mergeCell ref="B485:C485"/>
    <mergeCell ref="F485:G485"/>
    <mergeCell ref="I485:J485"/>
    <mergeCell ref="T485:U485"/>
    <mergeCell ref="X486:Y486"/>
    <mergeCell ref="B487:C487"/>
    <mergeCell ref="F487:G487"/>
    <mergeCell ref="I487:J487"/>
    <mergeCell ref="T487:U487"/>
    <mergeCell ref="X487:Y487"/>
    <mergeCell ref="X489:Y489"/>
    <mergeCell ref="B492:C492"/>
    <mergeCell ref="F492:G492"/>
    <mergeCell ref="I492:J492"/>
    <mergeCell ref="T492:U492"/>
    <mergeCell ref="B490:C490"/>
    <mergeCell ref="F490:G490"/>
    <mergeCell ref="I490:J490"/>
    <mergeCell ref="T490:U490"/>
    <mergeCell ref="X492:Y492"/>
    <mergeCell ref="B489:C489"/>
    <mergeCell ref="F489:G489"/>
    <mergeCell ref="I489:J489"/>
    <mergeCell ref="T489:U489"/>
    <mergeCell ref="X490:Y490"/>
    <mergeCell ref="B491:C491"/>
    <mergeCell ref="F491:G491"/>
    <mergeCell ref="I491:J491"/>
    <mergeCell ref="T491:U491"/>
    <mergeCell ref="X491:Y491"/>
    <mergeCell ref="X493:Y493"/>
    <mergeCell ref="B496:C496"/>
    <mergeCell ref="F496:G496"/>
    <mergeCell ref="I496:J496"/>
    <mergeCell ref="T496:U496"/>
    <mergeCell ref="B494:C494"/>
    <mergeCell ref="F494:G494"/>
    <mergeCell ref="I494:J494"/>
    <mergeCell ref="T494:U494"/>
    <mergeCell ref="X496:Y496"/>
    <mergeCell ref="B493:C493"/>
    <mergeCell ref="F493:G493"/>
    <mergeCell ref="I493:J493"/>
    <mergeCell ref="T493:U493"/>
    <mergeCell ref="X494:Y494"/>
    <mergeCell ref="B495:C495"/>
    <mergeCell ref="F495:G495"/>
    <mergeCell ref="I495:J495"/>
    <mergeCell ref="T495:U495"/>
    <mergeCell ref="X495:Y495"/>
    <mergeCell ref="X497:Y497"/>
    <mergeCell ref="B500:C500"/>
    <mergeCell ref="F500:G500"/>
    <mergeCell ref="I500:J500"/>
    <mergeCell ref="T500:U500"/>
    <mergeCell ref="B498:C498"/>
    <mergeCell ref="F498:G498"/>
    <mergeCell ref="I498:J498"/>
    <mergeCell ref="T498:U498"/>
    <mergeCell ref="X500:Y500"/>
    <mergeCell ref="B497:C497"/>
    <mergeCell ref="F497:G497"/>
    <mergeCell ref="I497:J497"/>
    <mergeCell ref="T497:U497"/>
    <mergeCell ref="X498:Y498"/>
    <mergeCell ref="B499:C499"/>
    <mergeCell ref="F499:G499"/>
    <mergeCell ref="I499:J499"/>
    <mergeCell ref="T499:U499"/>
    <mergeCell ref="X499:Y499"/>
    <mergeCell ref="X501:Y501"/>
    <mergeCell ref="B504:C504"/>
    <mergeCell ref="F504:G504"/>
    <mergeCell ref="I504:J504"/>
    <mergeCell ref="T504:U504"/>
    <mergeCell ref="B502:C502"/>
    <mergeCell ref="F502:G502"/>
    <mergeCell ref="I502:J502"/>
    <mergeCell ref="T502:U502"/>
    <mergeCell ref="X504:Y504"/>
    <mergeCell ref="B501:C501"/>
    <mergeCell ref="F501:G501"/>
    <mergeCell ref="I501:J501"/>
    <mergeCell ref="T501:U501"/>
    <mergeCell ref="X502:Y502"/>
    <mergeCell ref="B503:C503"/>
    <mergeCell ref="F503:G503"/>
    <mergeCell ref="I503:J503"/>
    <mergeCell ref="T503:U503"/>
    <mergeCell ref="X503:Y503"/>
    <mergeCell ref="X505:Y505"/>
    <mergeCell ref="B508:C508"/>
    <mergeCell ref="F508:G508"/>
    <mergeCell ref="I508:J508"/>
    <mergeCell ref="T508:U508"/>
    <mergeCell ref="B506:C506"/>
    <mergeCell ref="F506:G506"/>
    <mergeCell ref="I506:J506"/>
    <mergeCell ref="T506:U506"/>
    <mergeCell ref="X508:Y508"/>
    <mergeCell ref="B505:C505"/>
    <mergeCell ref="F505:G505"/>
    <mergeCell ref="I505:J505"/>
    <mergeCell ref="T505:U505"/>
    <mergeCell ref="X506:Y506"/>
    <mergeCell ref="B507:C507"/>
    <mergeCell ref="F507:G507"/>
    <mergeCell ref="I507:J507"/>
    <mergeCell ref="T507:U507"/>
    <mergeCell ref="X507:Y507"/>
    <mergeCell ref="X509:Y509"/>
    <mergeCell ref="B512:C512"/>
    <mergeCell ref="F512:G512"/>
    <mergeCell ref="I512:J512"/>
    <mergeCell ref="T512:U512"/>
    <mergeCell ref="B510:C510"/>
    <mergeCell ref="F510:G510"/>
    <mergeCell ref="I510:J510"/>
    <mergeCell ref="T510:U510"/>
    <mergeCell ref="X512:Y512"/>
    <mergeCell ref="B509:C509"/>
    <mergeCell ref="F509:G509"/>
    <mergeCell ref="I509:J509"/>
    <mergeCell ref="T509:U509"/>
    <mergeCell ref="X510:Y510"/>
    <mergeCell ref="B511:C511"/>
    <mergeCell ref="F511:G511"/>
    <mergeCell ref="I511:J511"/>
    <mergeCell ref="T511:U511"/>
    <mergeCell ref="X511:Y511"/>
    <mergeCell ref="X513:Y513"/>
    <mergeCell ref="B516:C516"/>
    <mergeCell ref="F516:G516"/>
    <mergeCell ref="I516:J516"/>
    <mergeCell ref="T516:U516"/>
    <mergeCell ref="B514:C514"/>
    <mergeCell ref="F514:G514"/>
    <mergeCell ref="I514:J514"/>
    <mergeCell ref="T514:U514"/>
    <mergeCell ref="X516:Y516"/>
    <mergeCell ref="B513:C513"/>
    <mergeCell ref="F513:G513"/>
    <mergeCell ref="I513:J513"/>
    <mergeCell ref="T513:U513"/>
    <mergeCell ref="X514:Y514"/>
    <mergeCell ref="B515:C515"/>
    <mergeCell ref="F515:G515"/>
    <mergeCell ref="I515:J515"/>
    <mergeCell ref="T515:U515"/>
    <mergeCell ref="X515:Y515"/>
    <mergeCell ref="X517:Y517"/>
    <mergeCell ref="B520:C520"/>
    <mergeCell ref="F520:G520"/>
    <mergeCell ref="I520:J520"/>
    <mergeCell ref="T520:U520"/>
    <mergeCell ref="B518:C518"/>
    <mergeCell ref="F518:G518"/>
    <mergeCell ref="I518:J518"/>
    <mergeCell ref="T518:U518"/>
    <mergeCell ref="X520:Y520"/>
    <mergeCell ref="B517:C517"/>
    <mergeCell ref="F517:G517"/>
    <mergeCell ref="I517:J517"/>
    <mergeCell ref="T517:U517"/>
    <mergeCell ref="X518:Y518"/>
    <mergeCell ref="B519:C519"/>
    <mergeCell ref="F519:G519"/>
    <mergeCell ref="I519:J519"/>
    <mergeCell ref="T519:U519"/>
    <mergeCell ref="X519:Y519"/>
    <mergeCell ref="X521:Y521"/>
    <mergeCell ref="B524:C524"/>
    <mergeCell ref="F524:G524"/>
    <mergeCell ref="I524:J524"/>
    <mergeCell ref="T524:U524"/>
    <mergeCell ref="B522:C522"/>
    <mergeCell ref="F522:G522"/>
    <mergeCell ref="I522:J522"/>
    <mergeCell ref="T522:U522"/>
    <mergeCell ref="X524:Y524"/>
    <mergeCell ref="B521:C521"/>
    <mergeCell ref="F521:G521"/>
    <mergeCell ref="I521:J521"/>
    <mergeCell ref="T521:U521"/>
    <mergeCell ref="X522:Y522"/>
    <mergeCell ref="B523:C523"/>
    <mergeCell ref="F523:G523"/>
    <mergeCell ref="I523:J523"/>
    <mergeCell ref="T523:U523"/>
    <mergeCell ref="X523:Y523"/>
    <mergeCell ref="X525:Y525"/>
    <mergeCell ref="B528:C528"/>
    <mergeCell ref="F528:G528"/>
    <mergeCell ref="I528:J528"/>
    <mergeCell ref="T528:U528"/>
    <mergeCell ref="B526:C526"/>
    <mergeCell ref="F526:G526"/>
    <mergeCell ref="I526:J526"/>
    <mergeCell ref="T526:U526"/>
    <mergeCell ref="X528:Y528"/>
    <mergeCell ref="B525:C525"/>
    <mergeCell ref="F525:G525"/>
    <mergeCell ref="I525:J525"/>
    <mergeCell ref="T525:U525"/>
    <mergeCell ref="X526:Y526"/>
    <mergeCell ref="B527:C527"/>
    <mergeCell ref="F527:G527"/>
    <mergeCell ref="I527:J527"/>
    <mergeCell ref="T527:U527"/>
    <mergeCell ref="X527:Y527"/>
    <mergeCell ref="X529:Y529"/>
    <mergeCell ref="B532:C532"/>
    <mergeCell ref="F532:G532"/>
    <mergeCell ref="I532:J532"/>
    <mergeCell ref="T532:U532"/>
    <mergeCell ref="B530:C530"/>
    <mergeCell ref="F530:G530"/>
    <mergeCell ref="I530:J530"/>
    <mergeCell ref="T530:U530"/>
    <mergeCell ref="X532:Y532"/>
    <mergeCell ref="B529:C529"/>
    <mergeCell ref="F529:G529"/>
    <mergeCell ref="I529:J529"/>
    <mergeCell ref="T529:U529"/>
    <mergeCell ref="X530:Y530"/>
    <mergeCell ref="B531:C531"/>
    <mergeCell ref="F531:G531"/>
    <mergeCell ref="I531:J531"/>
    <mergeCell ref="T531:U531"/>
    <mergeCell ref="X531:Y531"/>
    <mergeCell ref="X533:Y533"/>
    <mergeCell ref="B536:C536"/>
    <mergeCell ref="F536:G536"/>
    <mergeCell ref="I536:J536"/>
    <mergeCell ref="T536:U536"/>
    <mergeCell ref="B534:C534"/>
    <mergeCell ref="F534:G534"/>
    <mergeCell ref="I534:J534"/>
    <mergeCell ref="T534:U534"/>
    <mergeCell ref="X536:Y536"/>
    <mergeCell ref="B533:C533"/>
    <mergeCell ref="F533:G533"/>
    <mergeCell ref="I533:J533"/>
    <mergeCell ref="T533:U533"/>
    <mergeCell ref="X534:Y534"/>
    <mergeCell ref="B535:C535"/>
    <mergeCell ref="F535:G535"/>
    <mergeCell ref="I535:J535"/>
    <mergeCell ref="T535:U535"/>
    <mergeCell ref="X535:Y535"/>
    <mergeCell ref="X537:Y537"/>
    <mergeCell ref="B540:C540"/>
    <mergeCell ref="F540:G540"/>
    <mergeCell ref="I540:J540"/>
    <mergeCell ref="T540:U540"/>
    <mergeCell ref="B538:C538"/>
    <mergeCell ref="F538:G538"/>
    <mergeCell ref="I538:J538"/>
    <mergeCell ref="T538:U538"/>
    <mergeCell ref="X540:Y540"/>
    <mergeCell ref="B537:C537"/>
    <mergeCell ref="F537:G537"/>
    <mergeCell ref="I537:J537"/>
    <mergeCell ref="T537:U537"/>
    <mergeCell ref="X538:Y538"/>
    <mergeCell ref="B539:C539"/>
    <mergeCell ref="F539:G539"/>
    <mergeCell ref="I539:J539"/>
    <mergeCell ref="T539:U539"/>
    <mergeCell ref="X539:Y539"/>
    <mergeCell ref="X541:Y541"/>
    <mergeCell ref="B544:C544"/>
    <mergeCell ref="F544:G544"/>
    <mergeCell ref="I544:J544"/>
    <mergeCell ref="T544:U544"/>
    <mergeCell ref="B542:C542"/>
    <mergeCell ref="F542:G542"/>
    <mergeCell ref="I542:J542"/>
    <mergeCell ref="T542:U542"/>
    <mergeCell ref="X544:Y544"/>
    <mergeCell ref="B541:C541"/>
    <mergeCell ref="F541:G541"/>
    <mergeCell ref="I541:J541"/>
    <mergeCell ref="T541:U541"/>
    <mergeCell ref="X542:Y542"/>
    <mergeCell ref="B543:C543"/>
    <mergeCell ref="F543:G543"/>
    <mergeCell ref="I543:J543"/>
    <mergeCell ref="T543:U543"/>
    <mergeCell ref="X543:Y543"/>
    <mergeCell ref="X545:Y545"/>
    <mergeCell ref="B548:C548"/>
    <mergeCell ref="F548:G548"/>
    <mergeCell ref="I548:J548"/>
    <mergeCell ref="T548:U548"/>
    <mergeCell ref="B546:C546"/>
    <mergeCell ref="F546:G546"/>
    <mergeCell ref="I546:J546"/>
    <mergeCell ref="T546:U546"/>
    <mergeCell ref="X548:Y548"/>
    <mergeCell ref="B545:C545"/>
    <mergeCell ref="F545:G545"/>
    <mergeCell ref="I545:J545"/>
    <mergeCell ref="T545:U545"/>
    <mergeCell ref="X546:Y546"/>
    <mergeCell ref="B547:C547"/>
    <mergeCell ref="F547:G547"/>
    <mergeCell ref="I547:J547"/>
    <mergeCell ref="T547:U547"/>
    <mergeCell ref="X547:Y547"/>
    <mergeCell ref="X549:Y549"/>
    <mergeCell ref="B552:C552"/>
    <mergeCell ref="F552:G552"/>
    <mergeCell ref="I552:J552"/>
    <mergeCell ref="T552:U552"/>
    <mergeCell ref="B550:C550"/>
    <mergeCell ref="F550:G550"/>
    <mergeCell ref="I550:J550"/>
    <mergeCell ref="T550:U550"/>
    <mergeCell ref="X552:Y552"/>
    <mergeCell ref="B549:C549"/>
    <mergeCell ref="F549:G549"/>
    <mergeCell ref="I549:J549"/>
    <mergeCell ref="T549:U549"/>
    <mergeCell ref="X550:Y550"/>
    <mergeCell ref="B551:C551"/>
    <mergeCell ref="F551:G551"/>
    <mergeCell ref="I551:J551"/>
    <mergeCell ref="T551:U551"/>
    <mergeCell ref="X551:Y551"/>
    <mergeCell ref="X553:Y553"/>
    <mergeCell ref="B556:C556"/>
    <mergeCell ref="F556:G556"/>
    <mergeCell ref="I556:J556"/>
    <mergeCell ref="T556:U556"/>
    <mergeCell ref="B554:C554"/>
    <mergeCell ref="F554:G554"/>
    <mergeCell ref="I554:J554"/>
    <mergeCell ref="T554:U554"/>
    <mergeCell ref="X556:Y556"/>
    <mergeCell ref="B553:C553"/>
    <mergeCell ref="F553:G553"/>
    <mergeCell ref="I553:J553"/>
    <mergeCell ref="T553:U553"/>
    <mergeCell ref="X554:Y554"/>
    <mergeCell ref="B555:C555"/>
    <mergeCell ref="F555:G555"/>
    <mergeCell ref="I555:J555"/>
    <mergeCell ref="T555:U555"/>
    <mergeCell ref="X555:Y555"/>
    <mergeCell ref="X557:Y557"/>
    <mergeCell ref="B560:C560"/>
    <mergeCell ref="F560:G560"/>
    <mergeCell ref="I560:J560"/>
    <mergeCell ref="T560:U560"/>
    <mergeCell ref="B558:C558"/>
    <mergeCell ref="F558:G558"/>
    <mergeCell ref="I558:J558"/>
    <mergeCell ref="T558:U558"/>
    <mergeCell ref="X560:Y560"/>
    <mergeCell ref="B557:C557"/>
    <mergeCell ref="F557:G557"/>
    <mergeCell ref="I557:J557"/>
    <mergeCell ref="T557:U557"/>
    <mergeCell ref="X558:Y558"/>
    <mergeCell ref="B559:C559"/>
    <mergeCell ref="F559:G559"/>
    <mergeCell ref="I559:J559"/>
    <mergeCell ref="T559:U559"/>
    <mergeCell ref="X559:Y559"/>
    <mergeCell ref="X561:Y561"/>
    <mergeCell ref="B564:C564"/>
    <mergeCell ref="F564:G564"/>
    <mergeCell ref="I564:J564"/>
    <mergeCell ref="T564:U564"/>
    <mergeCell ref="B562:C562"/>
    <mergeCell ref="F562:G562"/>
    <mergeCell ref="I562:J562"/>
    <mergeCell ref="T562:U562"/>
    <mergeCell ref="X564:Y564"/>
    <mergeCell ref="B561:C561"/>
    <mergeCell ref="F561:G561"/>
    <mergeCell ref="I561:J561"/>
    <mergeCell ref="T561:U561"/>
    <mergeCell ref="X562:Y562"/>
    <mergeCell ref="B563:C563"/>
    <mergeCell ref="F563:G563"/>
    <mergeCell ref="I563:J563"/>
    <mergeCell ref="T563:U563"/>
    <mergeCell ref="X563:Y563"/>
    <mergeCell ref="X565:Y565"/>
    <mergeCell ref="B568:C568"/>
    <mergeCell ref="F568:G568"/>
    <mergeCell ref="I568:J568"/>
    <mergeCell ref="T568:U568"/>
    <mergeCell ref="B566:C566"/>
    <mergeCell ref="F566:G566"/>
    <mergeCell ref="I566:J566"/>
    <mergeCell ref="T566:U566"/>
    <mergeCell ref="X568:Y568"/>
    <mergeCell ref="B565:C565"/>
    <mergeCell ref="F565:G565"/>
    <mergeCell ref="I565:J565"/>
    <mergeCell ref="T565:U565"/>
    <mergeCell ref="X566:Y566"/>
    <mergeCell ref="B567:C567"/>
    <mergeCell ref="F567:G567"/>
    <mergeCell ref="I567:J567"/>
    <mergeCell ref="T567:U567"/>
    <mergeCell ref="X567:Y567"/>
    <mergeCell ref="X569:Y569"/>
    <mergeCell ref="B572:C572"/>
    <mergeCell ref="F572:G572"/>
    <mergeCell ref="I572:J572"/>
    <mergeCell ref="T572:U572"/>
    <mergeCell ref="B570:C570"/>
    <mergeCell ref="F570:G570"/>
    <mergeCell ref="I570:J570"/>
    <mergeCell ref="T570:U570"/>
    <mergeCell ref="X572:Y572"/>
    <mergeCell ref="B569:C569"/>
    <mergeCell ref="F569:G569"/>
    <mergeCell ref="I569:J569"/>
    <mergeCell ref="T569:U569"/>
    <mergeCell ref="X570:Y570"/>
    <mergeCell ref="B571:C571"/>
    <mergeCell ref="F571:G571"/>
    <mergeCell ref="I571:J571"/>
    <mergeCell ref="T571:U571"/>
    <mergeCell ref="X571:Y571"/>
    <mergeCell ref="X573:Y573"/>
    <mergeCell ref="B576:C576"/>
    <mergeCell ref="F576:G576"/>
    <mergeCell ref="I576:J576"/>
    <mergeCell ref="T576:U576"/>
    <mergeCell ref="B574:C574"/>
    <mergeCell ref="F574:G574"/>
    <mergeCell ref="I574:J574"/>
    <mergeCell ref="T574:U574"/>
    <mergeCell ref="X576:Y576"/>
    <mergeCell ref="B573:C573"/>
    <mergeCell ref="F573:G573"/>
    <mergeCell ref="I573:J573"/>
    <mergeCell ref="T573:U573"/>
    <mergeCell ref="X574:Y574"/>
    <mergeCell ref="B575:C575"/>
    <mergeCell ref="F575:G575"/>
    <mergeCell ref="I575:J575"/>
    <mergeCell ref="T575:U575"/>
    <mergeCell ref="X575:Y575"/>
    <mergeCell ref="X577:Y577"/>
    <mergeCell ref="B580:C580"/>
    <mergeCell ref="F580:G580"/>
    <mergeCell ref="I580:J580"/>
    <mergeCell ref="T580:U580"/>
    <mergeCell ref="B578:C578"/>
    <mergeCell ref="F578:G578"/>
    <mergeCell ref="I578:J578"/>
    <mergeCell ref="T578:U578"/>
    <mergeCell ref="X580:Y580"/>
    <mergeCell ref="B577:C577"/>
    <mergeCell ref="F577:G577"/>
    <mergeCell ref="I577:J577"/>
    <mergeCell ref="T577:U577"/>
    <mergeCell ref="X578:Y578"/>
    <mergeCell ref="B579:C579"/>
    <mergeCell ref="F579:G579"/>
    <mergeCell ref="I579:J579"/>
    <mergeCell ref="T579:U579"/>
    <mergeCell ref="X579:Y579"/>
    <mergeCell ref="X581:Y581"/>
    <mergeCell ref="B584:C584"/>
    <mergeCell ref="F584:G584"/>
    <mergeCell ref="I584:J584"/>
    <mergeCell ref="T584:U584"/>
    <mergeCell ref="B582:C582"/>
    <mergeCell ref="F582:G582"/>
    <mergeCell ref="I582:J582"/>
    <mergeCell ref="T582:U582"/>
    <mergeCell ref="X584:Y584"/>
    <mergeCell ref="B581:C581"/>
    <mergeCell ref="F581:G581"/>
    <mergeCell ref="I581:J581"/>
    <mergeCell ref="T581:U581"/>
    <mergeCell ref="X582:Y582"/>
    <mergeCell ref="B583:C583"/>
    <mergeCell ref="F583:G583"/>
    <mergeCell ref="I583:J583"/>
    <mergeCell ref="T583:U583"/>
    <mergeCell ref="X583:Y583"/>
    <mergeCell ref="X585:Y585"/>
    <mergeCell ref="B588:C588"/>
    <mergeCell ref="F588:G588"/>
    <mergeCell ref="I588:J588"/>
    <mergeCell ref="T588:U588"/>
    <mergeCell ref="B586:C586"/>
    <mergeCell ref="F586:G586"/>
    <mergeCell ref="I586:J586"/>
    <mergeCell ref="T586:U586"/>
    <mergeCell ref="X588:Y588"/>
    <mergeCell ref="B585:C585"/>
    <mergeCell ref="F585:G585"/>
    <mergeCell ref="I585:J585"/>
    <mergeCell ref="T585:U585"/>
    <mergeCell ref="X586:Y586"/>
    <mergeCell ref="B587:C587"/>
    <mergeCell ref="F587:G587"/>
    <mergeCell ref="I587:J587"/>
    <mergeCell ref="T587:U587"/>
    <mergeCell ref="X587:Y587"/>
    <mergeCell ref="X589:Y589"/>
    <mergeCell ref="B592:C592"/>
    <mergeCell ref="F592:G592"/>
    <mergeCell ref="I592:J592"/>
    <mergeCell ref="T592:U592"/>
    <mergeCell ref="B590:C590"/>
    <mergeCell ref="F590:G590"/>
    <mergeCell ref="I590:J590"/>
    <mergeCell ref="T590:U590"/>
    <mergeCell ref="X592:Y592"/>
    <mergeCell ref="B589:C589"/>
    <mergeCell ref="F589:G589"/>
    <mergeCell ref="I589:J589"/>
    <mergeCell ref="T589:U589"/>
    <mergeCell ref="X590:Y590"/>
    <mergeCell ref="B591:C591"/>
    <mergeCell ref="F591:G591"/>
    <mergeCell ref="I591:J591"/>
    <mergeCell ref="T591:U591"/>
    <mergeCell ref="X591:Y591"/>
    <mergeCell ref="X593:Y593"/>
    <mergeCell ref="B596:C596"/>
    <mergeCell ref="F596:G596"/>
    <mergeCell ref="I596:J596"/>
    <mergeCell ref="T596:U596"/>
    <mergeCell ref="B594:C594"/>
    <mergeCell ref="F594:G594"/>
    <mergeCell ref="I594:J594"/>
    <mergeCell ref="T594:U594"/>
    <mergeCell ref="X596:Y596"/>
    <mergeCell ref="B593:C593"/>
    <mergeCell ref="F593:G593"/>
    <mergeCell ref="I593:J593"/>
    <mergeCell ref="T593:U593"/>
    <mergeCell ref="X594:Y594"/>
    <mergeCell ref="B595:C595"/>
    <mergeCell ref="F595:G595"/>
    <mergeCell ref="I595:J595"/>
    <mergeCell ref="T595:U595"/>
    <mergeCell ref="X595:Y595"/>
    <mergeCell ref="X597:Y597"/>
    <mergeCell ref="B600:C600"/>
    <mergeCell ref="F600:G600"/>
    <mergeCell ref="I600:J600"/>
    <mergeCell ref="T600:U600"/>
    <mergeCell ref="B598:C598"/>
    <mergeCell ref="F598:G598"/>
    <mergeCell ref="I598:J598"/>
    <mergeCell ref="T598:U598"/>
    <mergeCell ref="X600:Y600"/>
    <mergeCell ref="B597:C597"/>
    <mergeCell ref="F597:G597"/>
    <mergeCell ref="I597:J597"/>
    <mergeCell ref="T597:U597"/>
    <mergeCell ref="X598:Y598"/>
    <mergeCell ref="B599:C599"/>
    <mergeCell ref="F599:G599"/>
    <mergeCell ref="I599:J599"/>
    <mergeCell ref="T599:U599"/>
    <mergeCell ref="X599:Y599"/>
    <mergeCell ref="X601:Y601"/>
    <mergeCell ref="B604:C604"/>
    <mergeCell ref="F604:G604"/>
    <mergeCell ref="I604:J604"/>
    <mergeCell ref="T604:U604"/>
    <mergeCell ref="B602:C602"/>
    <mergeCell ref="F602:G602"/>
    <mergeCell ref="I602:J602"/>
    <mergeCell ref="T602:U602"/>
    <mergeCell ref="X604:Y604"/>
    <mergeCell ref="B601:C601"/>
    <mergeCell ref="F601:G601"/>
    <mergeCell ref="I601:J601"/>
    <mergeCell ref="T601:U601"/>
    <mergeCell ref="X602:Y602"/>
    <mergeCell ref="B603:C603"/>
    <mergeCell ref="F603:G603"/>
    <mergeCell ref="I603:J603"/>
    <mergeCell ref="T603:U603"/>
    <mergeCell ref="X603:Y603"/>
    <mergeCell ref="X605:Y605"/>
    <mergeCell ref="B608:C608"/>
    <mergeCell ref="F608:G608"/>
    <mergeCell ref="I608:J608"/>
    <mergeCell ref="T608:U608"/>
    <mergeCell ref="B606:C606"/>
    <mergeCell ref="F606:G606"/>
    <mergeCell ref="I606:J606"/>
    <mergeCell ref="T606:U606"/>
    <mergeCell ref="X608:Y608"/>
    <mergeCell ref="B605:C605"/>
    <mergeCell ref="F605:G605"/>
    <mergeCell ref="I605:J605"/>
    <mergeCell ref="T605:U605"/>
    <mergeCell ref="X606:Y606"/>
    <mergeCell ref="B607:C607"/>
    <mergeCell ref="F607:G607"/>
    <mergeCell ref="I607:J607"/>
    <mergeCell ref="T607:U607"/>
    <mergeCell ref="X607:Y607"/>
    <mergeCell ref="X609:Y609"/>
    <mergeCell ref="B612:C612"/>
    <mergeCell ref="F612:G612"/>
    <mergeCell ref="I612:J612"/>
    <mergeCell ref="T612:U612"/>
    <mergeCell ref="B610:C610"/>
    <mergeCell ref="F610:G610"/>
    <mergeCell ref="I610:J610"/>
    <mergeCell ref="T610:U610"/>
    <mergeCell ref="X612:Y612"/>
    <mergeCell ref="B609:C609"/>
    <mergeCell ref="F609:G609"/>
    <mergeCell ref="I609:J609"/>
    <mergeCell ref="T609:U609"/>
    <mergeCell ref="X610:Y610"/>
    <mergeCell ref="B611:C611"/>
    <mergeCell ref="F611:G611"/>
    <mergeCell ref="I611:J611"/>
    <mergeCell ref="T611:U611"/>
    <mergeCell ref="X611:Y611"/>
    <mergeCell ref="X613:Y613"/>
    <mergeCell ref="B616:C616"/>
    <mergeCell ref="F616:G616"/>
    <mergeCell ref="I616:J616"/>
    <mergeCell ref="T616:U616"/>
    <mergeCell ref="B614:C614"/>
    <mergeCell ref="F614:G614"/>
    <mergeCell ref="I614:J614"/>
    <mergeCell ref="T614:U614"/>
    <mergeCell ref="X616:Y616"/>
    <mergeCell ref="B613:C613"/>
    <mergeCell ref="F613:G613"/>
    <mergeCell ref="I613:J613"/>
    <mergeCell ref="T613:U613"/>
    <mergeCell ref="X614:Y614"/>
    <mergeCell ref="B615:C615"/>
    <mergeCell ref="F615:G615"/>
    <mergeCell ref="I615:J615"/>
    <mergeCell ref="T615:U615"/>
    <mergeCell ref="X615:Y615"/>
    <mergeCell ref="X617:Y617"/>
    <mergeCell ref="B620:C620"/>
    <mergeCell ref="F620:G620"/>
    <mergeCell ref="I620:J620"/>
    <mergeCell ref="T620:U620"/>
    <mergeCell ref="B618:C618"/>
    <mergeCell ref="F618:G618"/>
    <mergeCell ref="I618:J618"/>
    <mergeCell ref="T618:U618"/>
    <mergeCell ref="X620:Y620"/>
    <mergeCell ref="B617:C617"/>
    <mergeCell ref="F617:G617"/>
    <mergeCell ref="I617:J617"/>
    <mergeCell ref="T617:U617"/>
    <mergeCell ref="X618:Y618"/>
    <mergeCell ref="B619:C619"/>
    <mergeCell ref="F619:G619"/>
    <mergeCell ref="I619:J619"/>
    <mergeCell ref="T619:U619"/>
    <mergeCell ref="X619:Y619"/>
    <mergeCell ref="X621:Y621"/>
    <mergeCell ref="B624:C624"/>
    <mergeCell ref="F624:G624"/>
    <mergeCell ref="I624:J624"/>
    <mergeCell ref="T624:U624"/>
    <mergeCell ref="B622:C622"/>
    <mergeCell ref="F622:G622"/>
    <mergeCell ref="I622:J622"/>
    <mergeCell ref="T622:U622"/>
    <mergeCell ref="X624:Y624"/>
    <mergeCell ref="B621:C621"/>
    <mergeCell ref="F621:G621"/>
    <mergeCell ref="I621:J621"/>
    <mergeCell ref="T621:U621"/>
    <mergeCell ref="X622:Y622"/>
    <mergeCell ref="B623:C623"/>
    <mergeCell ref="F623:G623"/>
    <mergeCell ref="I623:J623"/>
    <mergeCell ref="T623:U623"/>
    <mergeCell ref="X623:Y623"/>
    <mergeCell ref="X625:Y625"/>
    <mergeCell ref="B628:C628"/>
    <mergeCell ref="F628:G628"/>
    <mergeCell ref="I628:J628"/>
    <mergeCell ref="T628:U628"/>
    <mergeCell ref="B626:C626"/>
    <mergeCell ref="F626:G626"/>
    <mergeCell ref="I626:J626"/>
    <mergeCell ref="T626:U626"/>
    <mergeCell ref="X628:Y628"/>
    <mergeCell ref="B625:C625"/>
    <mergeCell ref="F625:G625"/>
    <mergeCell ref="I625:J625"/>
    <mergeCell ref="T625:U625"/>
    <mergeCell ref="X626:Y626"/>
    <mergeCell ref="B627:C627"/>
    <mergeCell ref="F627:G627"/>
    <mergeCell ref="I627:J627"/>
    <mergeCell ref="T627:U627"/>
    <mergeCell ref="X627:Y627"/>
    <mergeCell ref="X629:Y629"/>
    <mergeCell ref="B632:C632"/>
    <mergeCell ref="F632:G632"/>
    <mergeCell ref="I632:J632"/>
    <mergeCell ref="T632:U632"/>
    <mergeCell ref="B630:C630"/>
    <mergeCell ref="F630:G630"/>
    <mergeCell ref="I630:J630"/>
    <mergeCell ref="T630:U630"/>
    <mergeCell ref="X632:Y632"/>
    <mergeCell ref="B629:C629"/>
    <mergeCell ref="F629:G629"/>
    <mergeCell ref="I629:J629"/>
    <mergeCell ref="T629:U629"/>
    <mergeCell ref="X630:Y630"/>
    <mergeCell ref="B631:C631"/>
    <mergeCell ref="F631:G631"/>
    <mergeCell ref="I631:J631"/>
    <mergeCell ref="T631:U631"/>
    <mergeCell ref="X631:Y631"/>
    <mergeCell ref="X633:Y633"/>
    <mergeCell ref="B636:C636"/>
    <mergeCell ref="F636:G636"/>
    <mergeCell ref="I636:J636"/>
    <mergeCell ref="T636:U636"/>
    <mergeCell ref="B634:C634"/>
    <mergeCell ref="F634:G634"/>
    <mergeCell ref="I634:J634"/>
    <mergeCell ref="T634:U634"/>
    <mergeCell ref="X636:Y636"/>
    <mergeCell ref="B633:C633"/>
    <mergeCell ref="F633:G633"/>
    <mergeCell ref="I633:J633"/>
    <mergeCell ref="T633:U633"/>
    <mergeCell ref="X634:Y634"/>
    <mergeCell ref="B635:C635"/>
    <mergeCell ref="F635:G635"/>
    <mergeCell ref="I635:J635"/>
    <mergeCell ref="T635:U635"/>
    <mergeCell ref="X635:Y635"/>
    <mergeCell ref="X637:Y637"/>
    <mergeCell ref="B640:C640"/>
    <mergeCell ref="F640:G640"/>
    <mergeCell ref="I640:J640"/>
    <mergeCell ref="T640:U640"/>
    <mergeCell ref="B638:C638"/>
    <mergeCell ref="F638:G638"/>
    <mergeCell ref="I638:J638"/>
    <mergeCell ref="T638:U638"/>
    <mergeCell ref="X640:Y640"/>
    <mergeCell ref="B637:C637"/>
    <mergeCell ref="F637:G637"/>
    <mergeCell ref="I637:J637"/>
    <mergeCell ref="T637:U637"/>
    <mergeCell ref="X638:Y638"/>
    <mergeCell ref="B639:C639"/>
    <mergeCell ref="F639:G639"/>
    <mergeCell ref="I639:J639"/>
    <mergeCell ref="T639:U639"/>
    <mergeCell ref="X639:Y639"/>
    <mergeCell ref="X641:Y641"/>
    <mergeCell ref="B644:C644"/>
    <mergeCell ref="F644:G644"/>
    <mergeCell ref="I644:J644"/>
    <mergeCell ref="T644:U644"/>
    <mergeCell ref="B642:C642"/>
    <mergeCell ref="F642:G642"/>
    <mergeCell ref="I642:J642"/>
    <mergeCell ref="T642:U642"/>
    <mergeCell ref="X644:Y644"/>
    <mergeCell ref="B641:C641"/>
    <mergeCell ref="F641:G641"/>
    <mergeCell ref="I641:J641"/>
    <mergeCell ref="T641:U641"/>
    <mergeCell ref="X642:Y642"/>
    <mergeCell ref="B643:C643"/>
    <mergeCell ref="F643:G643"/>
    <mergeCell ref="I643:J643"/>
    <mergeCell ref="T643:U643"/>
    <mergeCell ref="X643:Y643"/>
    <mergeCell ref="X645:Y645"/>
    <mergeCell ref="B648:C648"/>
    <mergeCell ref="F648:G648"/>
    <mergeCell ref="I648:J648"/>
    <mergeCell ref="T648:U648"/>
    <mergeCell ref="B646:C646"/>
    <mergeCell ref="F646:G646"/>
    <mergeCell ref="I646:J646"/>
    <mergeCell ref="T646:U646"/>
    <mergeCell ref="X648:Y648"/>
    <mergeCell ref="B645:C645"/>
    <mergeCell ref="F645:G645"/>
    <mergeCell ref="I645:J645"/>
    <mergeCell ref="T645:U645"/>
    <mergeCell ref="X646:Y646"/>
    <mergeCell ref="B647:C647"/>
    <mergeCell ref="F647:G647"/>
    <mergeCell ref="I647:J647"/>
    <mergeCell ref="T647:U647"/>
    <mergeCell ref="X647:Y647"/>
    <mergeCell ref="X649:Y649"/>
    <mergeCell ref="B652:C652"/>
    <mergeCell ref="F652:G652"/>
    <mergeCell ref="I652:J652"/>
    <mergeCell ref="T652:U652"/>
    <mergeCell ref="B650:C650"/>
    <mergeCell ref="F650:G650"/>
    <mergeCell ref="I650:J650"/>
    <mergeCell ref="T650:U650"/>
    <mergeCell ref="X652:Y652"/>
    <mergeCell ref="B649:C649"/>
    <mergeCell ref="F649:G649"/>
    <mergeCell ref="I649:J649"/>
    <mergeCell ref="T649:U649"/>
    <mergeCell ref="X650:Y650"/>
    <mergeCell ref="B651:C651"/>
    <mergeCell ref="F651:G651"/>
    <mergeCell ref="I651:J651"/>
    <mergeCell ref="T651:U651"/>
    <mergeCell ref="X651:Y651"/>
    <mergeCell ref="X653:Y653"/>
    <mergeCell ref="B656:C656"/>
    <mergeCell ref="F656:G656"/>
    <mergeCell ref="I656:J656"/>
    <mergeCell ref="T656:U656"/>
    <mergeCell ref="B654:C654"/>
    <mergeCell ref="F654:G654"/>
    <mergeCell ref="I654:J654"/>
    <mergeCell ref="T654:U654"/>
    <mergeCell ref="X656:Y656"/>
    <mergeCell ref="B653:C653"/>
    <mergeCell ref="F653:G653"/>
    <mergeCell ref="I653:J653"/>
    <mergeCell ref="T653:U653"/>
    <mergeCell ref="X654:Y654"/>
    <mergeCell ref="B655:C655"/>
    <mergeCell ref="F655:G655"/>
    <mergeCell ref="I655:J655"/>
    <mergeCell ref="T655:U655"/>
    <mergeCell ref="X655:Y655"/>
    <mergeCell ref="X657:Y657"/>
    <mergeCell ref="B660:C660"/>
    <mergeCell ref="F660:G660"/>
    <mergeCell ref="I660:J660"/>
    <mergeCell ref="T660:U660"/>
    <mergeCell ref="B658:C658"/>
    <mergeCell ref="F658:G658"/>
    <mergeCell ref="I658:J658"/>
    <mergeCell ref="T658:U658"/>
    <mergeCell ref="X660:Y660"/>
    <mergeCell ref="B657:C657"/>
    <mergeCell ref="F657:G657"/>
    <mergeCell ref="I657:J657"/>
    <mergeCell ref="T657:U657"/>
    <mergeCell ref="X658:Y658"/>
    <mergeCell ref="B659:C659"/>
    <mergeCell ref="F659:G659"/>
    <mergeCell ref="I659:J659"/>
    <mergeCell ref="T659:U659"/>
    <mergeCell ref="X659:Y659"/>
    <mergeCell ref="X661:Y661"/>
    <mergeCell ref="B664:C664"/>
    <mergeCell ref="F664:G664"/>
    <mergeCell ref="I664:J664"/>
    <mergeCell ref="T664:U664"/>
    <mergeCell ref="B662:C662"/>
    <mergeCell ref="F662:G662"/>
    <mergeCell ref="I662:J662"/>
    <mergeCell ref="T662:U662"/>
    <mergeCell ref="X664:Y664"/>
    <mergeCell ref="B661:C661"/>
    <mergeCell ref="F661:G661"/>
    <mergeCell ref="I661:J661"/>
    <mergeCell ref="T661:U661"/>
    <mergeCell ref="X662:Y662"/>
    <mergeCell ref="B663:C663"/>
    <mergeCell ref="F663:G663"/>
    <mergeCell ref="I663:J663"/>
    <mergeCell ref="T663:U663"/>
    <mergeCell ref="X663:Y663"/>
    <mergeCell ref="X665:Y665"/>
    <mergeCell ref="B668:C668"/>
    <mergeCell ref="F668:G668"/>
    <mergeCell ref="I668:J668"/>
    <mergeCell ref="T668:U668"/>
    <mergeCell ref="B666:C666"/>
    <mergeCell ref="F666:G666"/>
    <mergeCell ref="I666:J666"/>
    <mergeCell ref="T666:U666"/>
    <mergeCell ref="X668:Y668"/>
    <mergeCell ref="B665:C665"/>
    <mergeCell ref="F665:G665"/>
    <mergeCell ref="I665:J665"/>
    <mergeCell ref="T665:U665"/>
    <mergeCell ref="X666:Y666"/>
    <mergeCell ref="B667:C667"/>
    <mergeCell ref="F667:G667"/>
    <mergeCell ref="I667:J667"/>
    <mergeCell ref="T667:U667"/>
    <mergeCell ref="X667:Y667"/>
    <mergeCell ref="X669:Y669"/>
    <mergeCell ref="B672:C672"/>
    <mergeCell ref="F672:G672"/>
    <mergeCell ref="I672:J672"/>
    <mergeCell ref="T672:U672"/>
    <mergeCell ref="B670:C670"/>
    <mergeCell ref="F670:G670"/>
    <mergeCell ref="I670:J670"/>
    <mergeCell ref="T670:U670"/>
    <mergeCell ref="X672:Y672"/>
    <mergeCell ref="B669:C669"/>
    <mergeCell ref="F669:G669"/>
    <mergeCell ref="I669:J669"/>
    <mergeCell ref="T669:U669"/>
    <mergeCell ref="X670:Y670"/>
    <mergeCell ref="B671:C671"/>
    <mergeCell ref="F671:G671"/>
    <mergeCell ref="I671:J671"/>
    <mergeCell ref="T671:U671"/>
    <mergeCell ref="X671:Y671"/>
    <mergeCell ref="X673:Y673"/>
    <mergeCell ref="B676:C676"/>
    <mergeCell ref="F676:G676"/>
    <mergeCell ref="I676:J676"/>
    <mergeCell ref="T676:U676"/>
    <mergeCell ref="B674:C674"/>
    <mergeCell ref="F674:G674"/>
    <mergeCell ref="I674:J674"/>
    <mergeCell ref="T674:U674"/>
    <mergeCell ref="X676:Y676"/>
    <mergeCell ref="B673:C673"/>
    <mergeCell ref="F673:G673"/>
    <mergeCell ref="I673:J673"/>
    <mergeCell ref="T673:U673"/>
    <mergeCell ref="X674:Y674"/>
    <mergeCell ref="B675:C675"/>
    <mergeCell ref="F675:G675"/>
    <mergeCell ref="I675:J675"/>
    <mergeCell ref="T675:U675"/>
    <mergeCell ref="X675:Y675"/>
    <mergeCell ref="X677:Y677"/>
    <mergeCell ref="B680:C680"/>
    <mergeCell ref="F680:G680"/>
    <mergeCell ref="I680:J680"/>
    <mergeCell ref="T680:U680"/>
    <mergeCell ref="B678:C678"/>
    <mergeCell ref="F678:G678"/>
    <mergeCell ref="I678:J678"/>
    <mergeCell ref="T678:U678"/>
    <mergeCell ref="X680:Y680"/>
    <mergeCell ref="B677:C677"/>
    <mergeCell ref="F677:G677"/>
    <mergeCell ref="I677:J677"/>
    <mergeCell ref="T677:U677"/>
    <mergeCell ref="X678:Y678"/>
    <mergeCell ref="B679:C679"/>
    <mergeCell ref="F679:G679"/>
    <mergeCell ref="I679:J679"/>
    <mergeCell ref="T679:U679"/>
    <mergeCell ref="X679:Y679"/>
    <mergeCell ref="X681:Y681"/>
    <mergeCell ref="B684:C684"/>
    <mergeCell ref="F684:G684"/>
    <mergeCell ref="I684:J684"/>
    <mergeCell ref="T684:U684"/>
    <mergeCell ref="B682:C682"/>
    <mergeCell ref="F682:G682"/>
    <mergeCell ref="I682:J682"/>
    <mergeCell ref="T682:U682"/>
    <mergeCell ref="X684:Y684"/>
    <mergeCell ref="B681:C681"/>
    <mergeCell ref="F681:G681"/>
    <mergeCell ref="I681:J681"/>
    <mergeCell ref="T681:U681"/>
    <mergeCell ref="X682:Y682"/>
    <mergeCell ref="B683:C683"/>
    <mergeCell ref="F683:G683"/>
    <mergeCell ref="I683:J683"/>
    <mergeCell ref="T683:U683"/>
    <mergeCell ref="X683:Y683"/>
    <mergeCell ref="X685:Y685"/>
    <mergeCell ref="B688:C688"/>
    <mergeCell ref="F688:G688"/>
    <mergeCell ref="I688:J688"/>
    <mergeCell ref="T688:U688"/>
    <mergeCell ref="B686:C686"/>
    <mergeCell ref="F686:G686"/>
    <mergeCell ref="I686:J686"/>
    <mergeCell ref="T686:U686"/>
    <mergeCell ref="X688:Y688"/>
    <mergeCell ref="B685:C685"/>
    <mergeCell ref="F685:G685"/>
    <mergeCell ref="I685:J685"/>
    <mergeCell ref="T685:U685"/>
    <mergeCell ref="X686:Y686"/>
    <mergeCell ref="B687:C687"/>
    <mergeCell ref="F687:G687"/>
    <mergeCell ref="I687:J687"/>
    <mergeCell ref="T687:U687"/>
    <mergeCell ref="X687:Y687"/>
    <mergeCell ref="X689:Y689"/>
    <mergeCell ref="B692:C692"/>
    <mergeCell ref="F692:G692"/>
    <mergeCell ref="I692:J692"/>
    <mergeCell ref="T692:U692"/>
    <mergeCell ref="B690:C690"/>
    <mergeCell ref="F690:G690"/>
    <mergeCell ref="I690:J690"/>
    <mergeCell ref="T690:U690"/>
    <mergeCell ref="X692:Y692"/>
    <mergeCell ref="B689:C689"/>
    <mergeCell ref="F689:G689"/>
    <mergeCell ref="I689:J689"/>
    <mergeCell ref="T689:U689"/>
    <mergeCell ref="X690:Y690"/>
    <mergeCell ref="B691:C691"/>
    <mergeCell ref="F691:G691"/>
    <mergeCell ref="I691:J691"/>
    <mergeCell ref="T691:U691"/>
    <mergeCell ref="X691:Y691"/>
    <mergeCell ref="X693:Y693"/>
    <mergeCell ref="B696:C696"/>
    <mergeCell ref="F696:G696"/>
    <mergeCell ref="I696:J696"/>
    <mergeCell ref="T696:U696"/>
    <mergeCell ref="B694:C694"/>
    <mergeCell ref="F694:G694"/>
    <mergeCell ref="I694:J694"/>
    <mergeCell ref="T694:U694"/>
    <mergeCell ref="X696:Y696"/>
    <mergeCell ref="B693:C693"/>
    <mergeCell ref="F693:G693"/>
    <mergeCell ref="I693:J693"/>
    <mergeCell ref="T693:U693"/>
    <mergeCell ref="X694:Y694"/>
    <mergeCell ref="B695:C695"/>
    <mergeCell ref="F695:G695"/>
    <mergeCell ref="I695:J695"/>
    <mergeCell ref="T695:U695"/>
    <mergeCell ref="X695:Y695"/>
    <mergeCell ref="X697:Y697"/>
    <mergeCell ref="B700:C700"/>
    <mergeCell ref="F700:G700"/>
    <mergeCell ref="I700:J700"/>
    <mergeCell ref="T700:U700"/>
    <mergeCell ref="B698:C698"/>
    <mergeCell ref="F698:G698"/>
    <mergeCell ref="I698:J698"/>
    <mergeCell ref="T698:U698"/>
    <mergeCell ref="X700:Y700"/>
    <mergeCell ref="B697:C697"/>
    <mergeCell ref="F697:G697"/>
    <mergeCell ref="I697:J697"/>
    <mergeCell ref="T697:U697"/>
    <mergeCell ref="X698:Y698"/>
    <mergeCell ref="B699:C699"/>
    <mergeCell ref="F699:G699"/>
    <mergeCell ref="I699:J699"/>
    <mergeCell ref="T699:U699"/>
    <mergeCell ref="X699:Y699"/>
    <mergeCell ref="X701:Y701"/>
    <mergeCell ref="B704:C704"/>
    <mergeCell ref="F704:G704"/>
    <mergeCell ref="I704:J704"/>
    <mergeCell ref="T704:U704"/>
    <mergeCell ref="B702:C702"/>
    <mergeCell ref="F702:G702"/>
    <mergeCell ref="I702:J702"/>
    <mergeCell ref="T702:U702"/>
    <mergeCell ref="X704:Y704"/>
    <mergeCell ref="B701:C701"/>
    <mergeCell ref="F701:G701"/>
    <mergeCell ref="I701:J701"/>
    <mergeCell ref="T701:U701"/>
    <mergeCell ref="X702:Y702"/>
    <mergeCell ref="B703:C703"/>
    <mergeCell ref="F703:G703"/>
    <mergeCell ref="I703:J703"/>
    <mergeCell ref="T703:U703"/>
    <mergeCell ref="X703:Y703"/>
    <mergeCell ref="X705:Y705"/>
    <mergeCell ref="B708:C708"/>
    <mergeCell ref="F708:G708"/>
    <mergeCell ref="I708:J708"/>
    <mergeCell ref="T708:U708"/>
    <mergeCell ref="B706:C706"/>
    <mergeCell ref="F706:G706"/>
    <mergeCell ref="I706:J706"/>
    <mergeCell ref="T706:U706"/>
    <mergeCell ref="X708:Y708"/>
    <mergeCell ref="B705:C705"/>
    <mergeCell ref="F705:G705"/>
    <mergeCell ref="I705:J705"/>
    <mergeCell ref="T705:U705"/>
    <mergeCell ref="X706:Y706"/>
    <mergeCell ref="B707:C707"/>
    <mergeCell ref="F707:G707"/>
    <mergeCell ref="I707:J707"/>
    <mergeCell ref="T707:U707"/>
    <mergeCell ref="X707:Y707"/>
    <mergeCell ref="X709:Y709"/>
    <mergeCell ref="B712:C712"/>
    <mergeCell ref="F712:G712"/>
    <mergeCell ref="I712:J712"/>
    <mergeCell ref="T712:U712"/>
    <mergeCell ref="B710:C710"/>
    <mergeCell ref="F710:G710"/>
    <mergeCell ref="I710:J710"/>
    <mergeCell ref="T710:U710"/>
    <mergeCell ref="X712:Y712"/>
    <mergeCell ref="B709:C709"/>
    <mergeCell ref="F709:G709"/>
    <mergeCell ref="I709:J709"/>
    <mergeCell ref="T709:U709"/>
    <mergeCell ref="X710:Y710"/>
    <mergeCell ref="B711:C711"/>
    <mergeCell ref="F711:G711"/>
    <mergeCell ref="I711:J711"/>
    <mergeCell ref="T711:U711"/>
    <mergeCell ref="X711:Y711"/>
    <mergeCell ref="X713:Y713"/>
    <mergeCell ref="B716:C716"/>
    <mergeCell ref="F716:G716"/>
    <mergeCell ref="I716:J716"/>
    <mergeCell ref="T716:U716"/>
    <mergeCell ref="B714:C714"/>
    <mergeCell ref="F714:G714"/>
    <mergeCell ref="I714:J714"/>
    <mergeCell ref="T714:U714"/>
    <mergeCell ref="X716:Y716"/>
    <mergeCell ref="B713:C713"/>
    <mergeCell ref="F713:G713"/>
    <mergeCell ref="I713:J713"/>
    <mergeCell ref="T713:U713"/>
    <mergeCell ref="X714:Y714"/>
    <mergeCell ref="B715:C715"/>
    <mergeCell ref="F715:G715"/>
    <mergeCell ref="I715:J715"/>
    <mergeCell ref="T715:U715"/>
    <mergeCell ref="X715:Y715"/>
    <mergeCell ref="X717:Y717"/>
    <mergeCell ref="B720:C720"/>
    <mergeCell ref="F720:G720"/>
    <mergeCell ref="I720:J720"/>
    <mergeCell ref="T720:U720"/>
    <mergeCell ref="B718:C718"/>
    <mergeCell ref="F718:G718"/>
    <mergeCell ref="I718:J718"/>
    <mergeCell ref="T718:U718"/>
    <mergeCell ref="X720:Y720"/>
    <mergeCell ref="B717:C717"/>
    <mergeCell ref="F717:G717"/>
    <mergeCell ref="I717:J717"/>
    <mergeCell ref="T717:U717"/>
    <mergeCell ref="X718:Y718"/>
    <mergeCell ref="B719:C719"/>
    <mergeCell ref="F719:G719"/>
    <mergeCell ref="I719:J719"/>
    <mergeCell ref="T719:U719"/>
    <mergeCell ref="X719:Y719"/>
    <mergeCell ref="B730:C730"/>
    <mergeCell ref="F730:G730"/>
    <mergeCell ref="X721:Y721"/>
    <mergeCell ref="B724:C724"/>
    <mergeCell ref="F724:G724"/>
    <mergeCell ref="I724:J724"/>
    <mergeCell ref="T724:U724"/>
    <mergeCell ref="B722:C722"/>
    <mergeCell ref="F722:G722"/>
    <mergeCell ref="I722:J722"/>
    <mergeCell ref="T722:U722"/>
    <mergeCell ref="X724:Y724"/>
    <mergeCell ref="B721:C721"/>
    <mergeCell ref="F721:G721"/>
    <mergeCell ref="I721:J721"/>
    <mergeCell ref="T721:U721"/>
    <mergeCell ref="X722:Y722"/>
    <mergeCell ref="B723:C723"/>
    <mergeCell ref="F723:G723"/>
    <mergeCell ref="I723:J723"/>
    <mergeCell ref="T723:U723"/>
    <mergeCell ref="X723:Y723"/>
    <mergeCell ref="X725:Y725"/>
    <mergeCell ref="B728:C728"/>
    <mergeCell ref="F728:G728"/>
    <mergeCell ref="I728:J728"/>
    <mergeCell ref="T728:U728"/>
    <mergeCell ref="B726:C726"/>
    <mergeCell ref="F726:G726"/>
    <mergeCell ref="I726:J726"/>
    <mergeCell ref="T726:U726"/>
    <mergeCell ref="T735:U735"/>
    <mergeCell ref="X735:Y735"/>
    <mergeCell ref="X737:Y737"/>
    <mergeCell ref="X729:Y729"/>
    <mergeCell ref="B732:C732"/>
    <mergeCell ref="F732:G732"/>
    <mergeCell ref="I732:J732"/>
    <mergeCell ref="X728:Y728"/>
    <mergeCell ref="B725:C725"/>
    <mergeCell ref="F725:G725"/>
    <mergeCell ref="I725:J725"/>
    <mergeCell ref="T725:U725"/>
    <mergeCell ref="X726:Y726"/>
    <mergeCell ref="B727:C727"/>
    <mergeCell ref="F727:G727"/>
    <mergeCell ref="I727:J727"/>
    <mergeCell ref="T727:U727"/>
    <mergeCell ref="X727:Y727"/>
    <mergeCell ref="I730:J730"/>
    <mergeCell ref="T730:U730"/>
    <mergeCell ref="X732:Y732"/>
    <mergeCell ref="B729:C729"/>
    <mergeCell ref="F729:G729"/>
    <mergeCell ref="I729:J729"/>
    <mergeCell ref="T729:U729"/>
    <mergeCell ref="X730:Y730"/>
    <mergeCell ref="B731:C731"/>
    <mergeCell ref="F731:G731"/>
    <mergeCell ref="I731:J731"/>
    <mergeCell ref="T731:U731"/>
    <mergeCell ref="X731:Y731"/>
    <mergeCell ref="T732:U732"/>
    <mergeCell ref="X733:Y733"/>
    <mergeCell ref="B736:C736"/>
    <mergeCell ref="F736:G736"/>
    <mergeCell ref="I736:J736"/>
    <mergeCell ref="T736:U736"/>
    <mergeCell ref="X740:Y740"/>
    <mergeCell ref="B733:C733"/>
    <mergeCell ref="F733:G733"/>
    <mergeCell ref="I733:J733"/>
    <mergeCell ref="T733:U733"/>
    <mergeCell ref="X742:Y742"/>
    <mergeCell ref="B734:C734"/>
    <mergeCell ref="F734:G734"/>
    <mergeCell ref="I734:J734"/>
    <mergeCell ref="T734:U734"/>
    <mergeCell ref="X738:Y738"/>
    <mergeCell ref="F738:G738"/>
    <mergeCell ref="B739:C739"/>
    <mergeCell ref="B735:C735"/>
    <mergeCell ref="F735:G735"/>
    <mergeCell ref="I735:J735"/>
    <mergeCell ref="T737:U737"/>
    <mergeCell ref="B738:C738"/>
    <mergeCell ref="B740:C740"/>
    <mergeCell ref="F740:G740"/>
    <mergeCell ref="I740:J740"/>
    <mergeCell ref="T740:U740"/>
    <mergeCell ref="F739:G739"/>
    <mergeCell ref="I739:J739"/>
    <mergeCell ref="T739:U739"/>
    <mergeCell ref="X739:Y739"/>
    <mergeCell ref="I738:J738"/>
    <mergeCell ref="I741:J741"/>
    <mergeCell ref="T741:U741"/>
    <mergeCell ref="X741:Y741"/>
    <mergeCell ref="B745:C745"/>
    <mergeCell ref="F745:G745"/>
    <mergeCell ref="I745:J745"/>
    <mergeCell ref="T745:U745"/>
    <mergeCell ref="B743:C743"/>
    <mergeCell ref="F743:G743"/>
    <mergeCell ref="I743:J743"/>
    <mergeCell ref="T743:U743"/>
    <mergeCell ref="B744:C744"/>
    <mergeCell ref="X736:Y736"/>
    <mergeCell ref="B737:C737"/>
    <mergeCell ref="F737:G737"/>
    <mergeCell ref="I737:J737"/>
    <mergeCell ref="B742:C742"/>
    <mergeCell ref="F742:G742"/>
    <mergeCell ref="I742:J742"/>
    <mergeCell ref="T742:U742"/>
    <mergeCell ref="I744:J744"/>
    <mergeCell ref="T744:U744"/>
    <mergeCell ref="X744:Y744"/>
    <mergeCell ref="T738:U738"/>
    <mergeCell ref="J6:T6"/>
    <mergeCell ref="X749:Y749"/>
    <mergeCell ref="B746:C746"/>
    <mergeCell ref="F746:G746"/>
    <mergeCell ref="V750:AA750"/>
    <mergeCell ref="B748:C748"/>
    <mergeCell ref="F748:G748"/>
    <mergeCell ref="I748:J748"/>
    <mergeCell ref="T748:U748"/>
    <mergeCell ref="X748:Y748"/>
    <mergeCell ref="B749:C749"/>
    <mergeCell ref="F749:G749"/>
    <mergeCell ref="I749:J749"/>
    <mergeCell ref="T749:U749"/>
    <mergeCell ref="B750:C750"/>
    <mergeCell ref="F750:G750"/>
    <mergeCell ref="I750:J750"/>
    <mergeCell ref="T750:U750"/>
    <mergeCell ref="I746:J746"/>
    <mergeCell ref="T746:U746"/>
    <mergeCell ref="X746:Y746"/>
    <mergeCell ref="X745:Y745"/>
    <mergeCell ref="F744:G744"/>
    <mergeCell ref="X743:Y743"/>
    <mergeCell ref="X734:Y734"/>
    <mergeCell ref="B747:C747"/>
    <mergeCell ref="F747:G747"/>
    <mergeCell ref="I747:J747"/>
    <mergeCell ref="T747:U747"/>
    <mergeCell ref="X747:Y747"/>
    <mergeCell ref="B741:C741"/>
    <mergeCell ref="F741:G741"/>
  </mergeCells>
  <phoneticPr fontId="81" type="noConversion"/>
  <pageMargins left="0.75" right="0.75" top="1" bottom="1" header="0.5" footer="0.5"/>
  <pageSetup orientation="landscape" horizontalDpi="0" verticalDpi="0"/>
  <headerFooter>
    <oddFooter xml:space="preserve">&amp;L&amp;"Arial"&amp;6 Fecha de Imp.: 26/05/2009 Hora: 06:08:40 p.m. &amp;C&amp;Z&amp;"Arial"&amp;6 Página: 1 </oddFooter>
  </headerFooter>
  <drawing r:id="rId1"/>
</worksheet>
</file>

<file path=xl/worksheets/sheet14.xml><?xml version="1.0" encoding="utf-8"?>
<worksheet xmlns="http://schemas.openxmlformats.org/spreadsheetml/2006/main" xmlns:r="http://schemas.openxmlformats.org/officeDocument/2006/relationships">
  <sheetPr codeName="Hoja11">
    <outlinePr summaryBelow="0" summaryRight="0"/>
  </sheetPr>
  <dimension ref="A1:AD335"/>
  <sheetViews>
    <sheetView showGridLines="0" workbookViewId="0">
      <pane xSplit="4" ySplit="16" topLeftCell="E17" activePane="bottomRight" state="frozen"/>
      <selection pane="topRight" activeCell="E1" sqref="E1"/>
      <selection pane="bottomLeft" activeCell="A17" sqref="A17"/>
      <selection pane="bottomRight"/>
    </sheetView>
  </sheetViews>
  <sheetFormatPr baseColWidth="10" defaultColWidth="9.109375" defaultRowHeight="13.2"/>
  <cols>
    <col min="1" max="1" width="0.109375" style="243" customWidth="1"/>
    <col min="2" max="2" width="0.88671875" style="243" customWidth="1"/>
    <col min="3" max="3" width="8.33203125" style="243" customWidth="1"/>
    <col min="4" max="4" width="0.44140625" style="243" customWidth="1"/>
    <col min="5" max="5" width="9.109375" style="243"/>
    <col min="6" max="6" width="1" style="243" customWidth="1"/>
    <col min="7" max="7" width="6" style="243" customWidth="1"/>
    <col min="8" max="8" width="9.109375" style="243"/>
    <col min="9" max="9" width="2.6640625" style="243" customWidth="1"/>
    <col min="10" max="10" width="4.33203125" style="243" customWidth="1"/>
    <col min="11" max="11" width="9.109375" style="243"/>
    <col min="12" max="12" width="7" style="243" customWidth="1"/>
    <col min="13" max="13" width="9.109375" style="243"/>
    <col min="14" max="14" width="7.109375" style="243" customWidth="1"/>
    <col min="15" max="15" width="7" style="243" customWidth="1"/>
    <col min="16" max="16" width="0.44140625" style="243" customWidth="1"/>
    <col min="17" max="17" width="8.109375" style="243" customWidth="1"/>
    <col min="18" max="18" width="7" style="243" customWidth="1"/>
    <col min="19" max="19" width="8.109375" style="243" customWidth="1"/>
    <col min="20" max="20" width="2.5546875" style="243" customWidth="1"/>
    <col min="21" max="21" width="4.44140625" style="243" customWidth="1"/>
    <col min="22" max="22" width="7" style="243" customWidth="1"/>
    <col min="23" max="23" width="0.44140625" style="243" customWidth="1"/>
    <col min="24" max="24" width="5.6640625" style="243" customWidth="1"/>
    <col min="25" max="25" width="1.33203125" style="243" customWidth="1"/>
    <col min="26" max="26" width="0.44140625" style="243" customWidth="1"/>
    <col min="27" max="27" width="9.33203125" style="243" bestFit="1" customWidth="1"/>
    <col min="28" max="28" width="8.5546875" style="243" customWidth="1"/>
    <col min="29" max="29" width="0.109375" style="243" customWidth="1"/>
    <col min="30" max="30" width="0.44140625" style="243" customWidth="1"/>
    <col min="31" max="16384" width="9.109375" style="243"/>
  </cols>
  <sheetData>
    <row r="1" spans="1:30" ht="3" customHeight="1">
      <c r="A1" s="242"/>
      <c r="B1" s="242"/>
      <c r="C1" s="242"/>
      <c r="D1" s="242"/>
      <c r="E1" s="242"/>
      <c r="F1" s="242"/>
      <c r="G1" s="242"/>
      <c r="H1" s="242"/>
      <c r="I1" s="242"/>
      <c r="J1" s="242"/>
      <c r="K1" s="242"/>
      <c r="L1" s="242"/>
      <c r="M1" s="242"/>
      <c r="N1" s="242"/>
      <c r="O1" s="242"/>
      <c r="P1" s="242"/>
      <c r="Q1" s="242"/>
      <c r="R1" s="242"/>
      <c r="S1" s="242"/>
      <c r="T1" s="242"/>
      <c r="U1" s="242"/>
      <c r="V1" s="242"/>
      <c r="W1" s="242"/>
      <c r="X1" s="242"/>
      <c r="Y1" s="242"/>
      <c r="Z1" s="242"/>
      <c r="AA1" s="242"/>
      <c r="AB1" s="242"/>
      <c r="AC1" s="242"/>
      <c r="AD1" s="242"/>
    </row>
    <row r="2" spans="1:30" ht="1.2" customHeight="1">
      <c r="A2" s="242"/>
      <c r="B2" s="244"/>
      <c r="C2" s="568"/>
      <c r="D2" s="568"/>
      <c r="E2" s="568"/>
      <c r="F2" s="568"/>
      <c r="G2" s="244"/>
      <c r="H2" s="244"/>
      <c r="I2" s="244"/>
      <c r="J2" s="244"/>
      <c r="K2" s="244"/>
      <c r="L2" s="244"/>
      <c r="M2" s="244"/>
      <c r="N2" s="244"/>
      <c r="O2" s="244"/>
      <c r="P2" s="244"/>
      <c r="Q2" s="244"/>
      <c r="R2" s="244"/>
      <c r="S2" s="244"/>
      <c r="T2" s="244"/>
      <c r="U2" s="244"/>
      <c r="V2" s="244"/>
      <c r="W2" s="244"/>
      <c r="X2" s="244"/>
      <c r="Y2" s="244"/>
      <c r="Z2" s="244"/>
      <c r="AA2" s="244"/>
      <c r="AB2" s="242"/>
      <c r="AC2" s="244"/>
      <c r="AD2" s="242"/>
    </row>
    <row r="3" spans="1:30" ht="2.85" customHeight="1">
      <c r="A3" s="242"/>
      <c r="B3" s="244"/>
      <c r="C3" s="568"/>
      <c r="D3" s="568"/>
      <c r="E3" s="568"/>
      <c r="F3" s="568"/>
      <c r="G3" s="244"/>
      <c r="H3" s="244"/>
      <c r="I3" s="244"/>
      <c r="J3" s="244"/>
      <c r="K3" s="244"/>
      <c r="L3" s="244"/>
      <c r="M3" s="244"/>
      <c r="N3" s="244"/>
      <c r="O3" s="244"/>
      <c r="P3" s="244"/>
      <c r="Q3" s="244"/>
      <c r="R3" s="244"/>
      <c r="S3" s="244"/>
      <c r="T3" s="244"/>
      <c r="U3" s="244"/>
      <c r="V3" s="244"/>
      <c r="W3" s="244"/>
      <c r="X3" s="244"/>
      <c r="Y3" s="568"/>
      <c r="Z3" s="568"/>
      <c r="AA3" s="568"/>
      <c r="AB3" s="568"/>
      <c r="AC3" s="244"/>
      <c r="AD3" s="242"/>
    </row>
    <row r="4" spans="1:30" ht="14.1" customHeight="1">
      <c r="A4" s="242"/>
      <c r="B4" s="244"/>
      <c r="C4" s="568"/>
      <c r="D4" s="568"/>
      <c r="E4" s="568"/>
      <c r="F4" s="568"/>
      <c r="G4" s="244"/>
      <c r="H4" s="244"/>
      <c r="I4" s="244"/>
      <c r="J4" s="538" t="s">
        <v>386</v>
      </c>
      <c r="K4" s="538"/>
      <c r="L4" s="538"/>
      <c r="M4" s="538"/>
      <c r="N4" s="538"/>
      <c r="O4" s="538"/>
      <c r="P4" s="538"/>
      <c r="Q4" s="538"/>
      <c r="R4" s="538"/>
      <c r="S4" s="538"/>
      <c r="T4" s="538"/>
      <c r="U4" s="244"/>
      <c r="V4" s="244"/>
      <c r="W4" s="244"/>
      <c r="X4" s="244"/>
      <c r="Y4" s="568"/>
      <c r="Z4" s="568"/>
      <c r="AA4" s="568"/>
      <c r="AB4" s="568"/>
      <c r="AC4" s="244"/>
      <c r="AD4" s="242"/>
    </row>
    <row r="5" spans="1:30" ht="14.1" customHeight="1">
      <c r="A5" s="242"/>
      <c r="B5" s="244"/>
      <c r="C5" s="568"/>
      <c r="D5" s="568"/>
      <c r="E5" s="568"/>
      <c r="F5" s="568"/>
      <c r="G5" s="244"/>
      <c r="H5" s="244"/>
      <c r="I5" s="244"/>
      <c r="J5" s="538" t="s">
        <v>387</v>
      </c>
      <c r="K5" s="538"/>
      <c r="L5" s="538"/>
      <c r="M5" s="538"/>
      <c r="N5" s="538"/>
      <c r="O5" s="538"/>
      <c r="P5" s="538"/>
      <c r="Q5" s="538"/>
      <c r="R5" s="538"/>
      <c r="S5" s="538"/>
      <c r="T5" s="538"/>
      <c r="U5" s="244"/>
      <c r="V5" s="244"/>
      <c r="W5" s="244"/>
      <c r="X5" s="244"/>
      <c r="Y5" s="568"/>
      <c r="Z5" s="568"/>
      <c r="AA5" s="568"/>
      <c r="AB5" s="568"/>
      <c r="AC5" s="244"/>
      <c r="AD5" s="242"/>
    </row>
    <row r="6" spans="1:30" ht="14.25" customHeight="1">
      <c r="A6" s="242"/>
      <c r="B6" s="244"/>
      <c r="C6" s="568"/>
      <c r="D6" s="568"/>
      <c r="E6" s="568"/>
      <c r="F6" s="568"/>
      <c r="G6" s="244"/>
      <c r="H6" s="244"/>
      <c r="I6" s="244"/>
      <c r="J6" s="538" t="s">
        <v>388</v>
      </c>
      <c r="K6" s="538"/>
      <c r="L6" s="538"/>
      <c r="M6" s="538"/>
      <c r="N6" s="538"/>
      <c r="O6" s="538"/>
      <c r="P6" s="538"/>
      <c r="Q6" s="538"/>
      <c r="R6" s="538"/>
      <c r="S6" s="538"/>
      <c r="T6" s="538"/>
      <c r="U6" s="244"/>
      <c r="V6" s="244"/>
      <c r="W6" s="244"/>
      <c r="X6" s="244"/>
      <c r="Y6" s="568"/>
      <c r="Z6" s="568"/>
      <c r="AA6" s="568"/>
      <c r="AB6" s="568"/>
      <c r="AC6" s="244"/>
      <c r="AD6" s="242"/>
    </row>
    <row r="7" spans="1:30" ht="10.199999999999999" customHeight="1">
      <c r="A7" s="242"/>
      <c r="B7" s="244"/>
      <c r="C7" s="568"/>
      <c r="D7" s="568"/>
      <c r="E7" s="568"/>
      <c r="F7" s="568"/>
      <c r="G7" s="244"/>
      <c r="H7" s="244"/>
      <c r="I7" s="244"/>
      <c r="J7" s="244"/>
      <c r="K7" s="244"/>
      <c r="L7" s="244"/>
      <c r="M7" s="244"/>
      <c r="N7" s="244"/>
      <c r="O7" s="244"/>
      <c r="P7" s="244"/>
      <c r="Q7" s="244"/>
      <c r="R7" s="244"/>
      <c r="S7" s="244"/>
      <c r="T7" s="244"/>
      <c r="U7" s="244"/>
      <c r="V7" s="244"/>
      <c r="W7" s="244"/>
      <c r="X7" s="244"/>
      <c r="Y7" s="568"/>
      <c r="Z7" s="568"/>
      <c r="AA7" s="568"/>
      <c r="AB7" s="568"/>
      <c r="AC7" s="244"/>
      <c r="AD7" s="242"/>
    </row>
    <row r="8" spans="1:30" ht="1.2" customHeight="1">
      <c r="A8" s="242"/>
      <c r="B8" s="244"/>
      <c r="C8" s="244"/>
      <c r="D8" s="244"/>
      <c r="E8" s="244"/>
      <c r="F8" s="244"/>
      <c r="G8" s="244"/>
      <c r="H8" s="244"/>
      <c r="I8" s="244"/>
      <c r="J8" s="244"/>
      <c r="K8" s="244"/>
      <c r="L8" s="244"/>
      <c r="M8" s="244"/>
      <c r="N8" s="244"/>
      <c r="O8" s="244"/>
      <c r="P8" s="244"/>
      <c r="Q8" s="244"/>
      <c r="R8" s="244"/>
      <c r="S8" s="244"/>
      <c r="T8" s="244"/>
      <c r="U8" s="244"/>
      <c r="V8" s="244"/>
      <c r="W8" s="244"/>
      <c r="X8" s="244"/>
      <c r="Y8" s="568"/>
      <c r="Z8" s="568"/>
      <c r="AA8" s="568"/>
      <c r="AB8" s="568"/>
      <c r="AC8" s="244"/>
      <c r="AD8" s="242"/>
    </row>
    <row r="9" spans="1:30" ht="3" customHeight="1" thickBot="1">
      <c r="A9" s="242"/>
      <c r="B9" s="244"/>
      <c r="C9" s="244"/>
      <c r="D9" s="244"/>
      <c r="E9" s="244"/>
      <c r="F9" s="244"/>
      <c r="G9" s="244"/>
      <c r="H9" s="244"/>
      <c r="I9" s="244"/>
      <c r="J9" s="244"/>
      <c r="K9" s="244"/>
      <c r="L9" s="244"/>
      <c r="M9" s="244"/>
      <c r="N9" s="244"/>
      <c r="O9" s="244"/>
      <c r="P9" s="244"/>
      <c r="Q9" s="244"/>
      <c r="R9" s="244"/>
      <c r="S9" s="244"/>
      <c r="T9" s="244"/>
      <c r="U9" s="244"/>
      <c r="V9" s="244"/>
      <c r="W9" s="244"/>
      <c r="X9" s="244"/>
      <c r="Y9" s="244"/>
      <c r="Z9" s="244"/>
      <c r="AA9" s="244"/>
      <c r="AB9" s="242"/>
      <c r="AC9" s="244"/>
      <c r="AD9" s="242"/>
    </row>
    <row r="10" spans="1:30" ht="0.9" customHeight="1">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s="569"/>
      <c r="AC10" s="244"/>
      <c r="AD10" s="242"/>
    </row>
    <row r="11" spans="1:30" ht="6" customHeight="1">
      <c r="A11" s="242"/>
      <c r="B11" s="242"/>
      <c r="C11" s="242"/>
      <c r="D11" s="242"/>
      <c r="E11" s="242"/>
      <c r="F11" s="242"/>
      <c r="G11" s="242"/>
      <c r="H11" s="242"/>
      <c r="I11" s="242"/>
      <c r="J11" s="242"/>
      <c r="K11" s="242"/>
      <c r="L11" s="242"/>
      <c r="M11" s="242"/>
      <c r="N11" s="242"/>
      <c r="O11" s="242"/>
      <c r="P11" s="242"/>
      <c r="Q11" s="242"/>
      <c r="R11" s="242"/>
      <c r="S11" s="242"/>
      <c r="T11" s="242"/>
      <c r="U11" s="242"/>
      <c r="V11" s="242"/>
      <c r="W11" s="242"/>
      <c r="X11" s="242"/>
      <c r="Y11" s="242"/>
      <c r="Z11" s="242"/>
      <c r="AA11" s="242"/>
      <c r="AB11" s="242"/>
      <c r="AC11" s="242"/>
      <c r="AD11" s="242"/>
    </row>
    <row r="12" spans="1:30" ht="14.1" customHeight="1">
      <c r="A12" s="242"/>
      <c r="B12" s="242"/>
      <c r="C12" s="242"/>
      <c r="D12" s="242"/>
      <c r="E12" s="242"/>
      <c r="F12" s="242"/>
      <c r="G12" s="242"/>
      <c r="H12" s="242"/>
      <c r="I12" s="242"/>
      <c r="J12" s="242"/>
      <c r="K12" s="242"/>
      <c r="L12" s="242"/>
      <c r="M12" s="242"/>
      <c r="N12" s="242"/>
      <c r="O12" s="242"/>
      <c r="P12" s="242"/>
      <c r="Q12" s="242"/>
      <c r="R12" s="242"/>
      <c r="S12" s="242"/>
      <c r="T12" s="242"/>
      <c r="U12" s="242"/>
      <c r="V12" s="242"/>
      <c r="W12" s="242"/>
      <c r="X12" s="242"/>
      <c r="Y12" s="242"/>
      <c r="Z12" s="242"/>
      <c r="AA12" s="242"/>
      <c r="AB12" s="242"/>
      <c r="AC12" s="242"/>
      <c r="AD12" s="242"/>
    </row>
    <row r="13" spans="1:30">
      <c r="A13" s="242"/>
      <c r="B13" s="573"/>
      <c r="C13" s="573"/>
      <c r="D13" s="245"/>
      <c r="E13" s="570" t="s">
        <v>392</v>
      </c>
      <c r="F13" s="570"/>
      <c r="G13" s="570"/>
      <c r="H13" s="570"/>
      <c r="I13" s="570"/>
      <c r="J13" s="570"/>
      <c r="K13" s="570"/>
      <c r="L13" s="570"/>
      <c r="M13" s="570"/>
      <c r="N13" s="570"/>
      <c r="O13" s="570"/>
      <c r="P13" s="246"/>
      <c r="Q13" s="570" t="s">
        <v>391</v>
      </c>
      <c r="R13" s="570"/>
      <c r="S13" s="570"/>
      <c r="T13" s="570"/>
      <c r="U13" s="570"/>
      <c r="V13" s="570"/>
      <c r="W13" s="246"/>
      <c r="X13" s="571"/>
      <c r="Y13" s="571"/>
      <c r="Z13" s="246"/>
      <c r="AA13" s="570" t="s">
        <v>395</v>
      </c>
      <c r="AB13" s="570"/>
      <c r="AC13" s="570"/>
      <c r="AD13" s="242"/>
    </row>
    <row r="14" spans="1:30">
      <c r="A14" s="242"/>
      <c r="B14" s="548"/>
      <c r="C14" s="548"/>
      <c r="D14" s="247"/>
      <c r="E14" s="553" t="s">
        <v>136</v>
      </c>
      <c r="F14" s="553"/>
      <c r="G14" s="553"/>
      <c r="H14" s="553" t="s">
        <v>137</v>
      </c>
      <c r="I14" s="553"/>
      <c r="J14" s="553"/>
      <c r="K14" s="553" t="s">
        <v>138</v>
      </c>
      <c r="L14" s="553"/>
      <c r="M14" s="553" t="s">
        <v>139</v>
      </c>
      <c r="N14" s="553"/>
      <c r="O14" s="248"/>
      <c r="P14" s="249"/>
      <c r="Q14" s="553" t="s">
        <v>140</v>
      </c>
      <c r="R14" s="553"/>
      <c r="S14" s="553" t="s">
        <v>141</v>
      </c>
      <c r="T14" s="553"/>
      <c r="U14" s="553"/>
      <c r="V14" s="248"/>
      <c r="W14" s="249"/>
      <c r="X14" s="572"/>
      <c r="Y14" s="572"/>
      <c r="Z14" s="249"/>
      <c r="AA14" s="248"/>
      <c r="AB14" s="572"/>
      <c r="AC14" s="572"/>
      <c r="AD14" s="242"/>
    </row>
    <row r="15" spans="1:30" ht="21.6">
      <c r="A15" s="242"/>
      <c r="B15" s="553" t="s">
        <v>401</v>
      </c>
      <c r="C15" s="553"/>
      <c r="D15" s="250"/>
      <c r="E15" s="251" t="s">
        <v>389</v>
      </c>
      <c r="F15" s="553" t="s">
        <v>404</v>
      </c>
      <c r="G15" s="553"/>
      <c r="H15" s="251" t="s">
        <v>389</v>
      </c>
      <c r="I15" s="553" t="s">
        <v>404</v>
      </c>
      <c r="J15" s="553"/>
      <c r="K15" s="251" t="s">
        <v>389</v>
      </c>
      <c r="L15" s="251" t="s">
        <v>404</v>
      </c>
      <c r="M15" s="251" t="s">
        <v>389</v>
      </c>
      <c r="N15" s="251" t="s">
        <v>404</v>
      </c>
      <c r="O15" s="251" t="s">
        <v>142</v>
      </c>
      <c r="P15" s="250"/>
      <c r="Q15" s="251" t="s">
        <v>390</v>
      </c>
      <c r="R15" s="251" t="s">
        <v>404</v>
      </c>
      <c r="S15" s="251" t="s">
        <v>390</v>
      </c>
      <c r="T15" s="553" t="s">
        <v>404</v>
      </c>
      <c r="U15" s="553"/>
      <c r="V15" s="251" t="s">
        <v>143</v>
      </c>
      <c r="W15" s="250"/>
      <c r="X15" s="567" t="s">
        <v>402</v>
      </c>
      <c r="Y15" s="567"/>
      <c r="Z15" s="250"/>
      <c r="AA15" s="251" t="s">
        <v>144</v>
      </c>
      <c r="AB15" s="553" t="s">
        <v>394</v>
      </c>
      <c r="AC15" s="553"/>
      <c r="AD15" s="242"/>
    </row>
    <row r="16" spans="1:30">
      <c r="A16" s="242"/>
      <c r="B16" s="559"/>
      <c r="C16" s="559"/>
      <c r="D16" s="247"/>
      <c r="E16" s="250"/>
      <c r="F16" s="554"/>
      <c r="G16" s="554"/>
      <c r="H16" s="250"/>
      <c r="I16" s="554"/>
      <c r="J16" s="554"/>
      <c r="K16" s="250"/>
      <c r="L16" s="250"/>
      <c r="M16" s="250"/>
      <c r="N16" s="250"/>
      <c r="O16" s="250"/>
      <c r="P16" s="250"/>
      <c r="Q16" s="250"/>
      <c r="R16" s="250"/>
      <c r="S16" s="250"/>
      <c r="T16" s="554"/>
      <c r="U16" s="554"/>
      <c r="V16" s="250"/>
      <c r="W16" s="250"/>
      <c r="X16" s="554"/>
      <c r="Y16" s="554"/>
      <c r="Z16" s="250"/>
      <c r="AA16" s="250"/>
      <c r="AB16" s="554"/>
      <c r="AC16" s="554"/>
      <c r="AD16" s="242"/>
    </row>
    <row r="17" spans="1:30">
      <c r="A17" s="242"/>
      <c r="B17" s="563">
        <v>39448</v>
      </c>
      <c r="C17" s="563"/>
      <c r="D17" s="247"/>
      <c r="E17" s="252">
        <v>0</v>
      </c>
      <c r="F17" s="564">
        <v>0</v>
      </c>
      <c r="G17" s="564"/>
      <c r="H17" s="252">
        <v>259</v>
      </c>
      <c r="I17" s="564">
        <v>24</v>
      </c>
      <c r="J17" s="564"/>
      <c r="K17" s="252">
        <v>0</v>
      </c>
      <c r="L17" s="253">
        <v>0</v>
      </c>
      <c r="M17" s="252">
        <v>302</v>
      </c>
      <c r="N17" s="253">
        <v>24</v>
      </c>
      <c r="O17" s="254">
        <v>561</v>
      </c>
      <c r="P17" s="250"/>
      <c r="Q17" s="252">
        <v>0</v>
      </c>
      <c r="R17" s="253">
        <v>0</v>
      </c>
      <c r="S17" s="252">
        <v>0</v>
      </c>
      <c r="T17" s="564">
        <v>0</v>
      </c>
      <c r="U17" s="564"/>
      <c r="V17" s="252">
        <v>0</v>
      </c>
      <c r="W17" s="250"/>
      <c r="X17" s="561">
        <v>561</v>
      </c>
      <c r="Y17" s="561"/>
      <c r="Z17" s="250"/>
      <c r="AA17" s="255">
        <v>0</v>
      </c>
      <c r="AB17" s="566">
        <v>251379</v>
      </c>
      <c r="AC17" s="566"/>
      <c r="AD17" s="242"/>
    </row>
    <row r="18" spans="1:30">
      <c r="A18" s="242"/>
      <c r="B18" s="559"/>
      <c r="C18" s="559"/>
      <c r="D18" s="247"/>
      <c r="E18" s="250"/>
      <c r="F18" s="554"/>
      <c r="G18" s="554"/>
      <c r="H18" s="250"/>
      <c r="I18" s="554"/>
      <c r="J18" s="554"/>
      <c r="K18" s="250"/>
      <c r="L18" s="250"/>
      <c r="M18" s="250"/>
      <c r="N18" s="250"/>
      <c r="O18" s="250"/>
      <c r="P18" s="250"/>
      <c r="Q18" s="250"/>
      <c r="R18" s="250"/>
      <c r="S18" s="250"/>
      <c r="T18" s="554"/>
      <c r="U18" s="554"/>
      <c r="V18" s="250"/>
      <c r="W18" s="250"/>
      <c r="X18" s="554"/>
      <c r="Y18" s="554"/>
      <c r="Z18" s="250"/>
      <c r="AA18" s="250"/>
      <c r="AB18" s="554"/>
      <c r="AC18" s="554"/>
      <c r="AD18" s="242"/>
    </row>
    <row r="19" spans="1:30">
      <c r="A19" s="242"/>
      <c r="B19" s="558">
        <v>39449</v>
      </c>
      <c r="C19" s="558"/>
      <c r="D19" s="247"/>
      <c r="E19" s="256">
        <v>0</v>
      </c>
      <c r="F19" s="557">
        <v>0</v>
      </c>
      <c r="G19" s="557"/>
      <c r="H19" s="256">
        <v>298.10000000000002</v>
      </c>
      <c r="I19" s="557">
        <v>24</v>
      </c>
      <c r="J19" s="557"/>
      <c r="K19" s="256">
        <v>0</v>
      </c>
      <c r="L19" s="257">
        <v>0</v>
      </c>
      <c r="M19" s="256">
        <v>305</v>
      </c>
      <c r="N19" s="257">
        <v>24</v>
      </c>
      <c r="O19" s="258">
        <v>603.1</v>
      </c>
      <c r="P19" s="250"/>
      <c r="Q19" s="256">
        <v>0</v>
      </c>
      <c r="R19" s="257">
        <v>0</v>
      </c>
      <c r="S19" s="256">
        <v>0</v>
      </c>
      <c r="T19" s="557">
        <v>0</v>
      </c>
      <c r="U19" s="557"/>
      <c r="V19" s="256">
        <v>0</v>
      </c>
      <c r="W19" s="250"/>
      <c r="X19" s="556">
        <v>603.1</v>
      </c>
      <c r="Y19" s="556"/>
      <c r="Z19" s="250"/>
      <c r="AA19" s="259">
        <v>0</v>
      </c>
      <c r="AB19" s="565">
        <v>263882</v>
      </c>
      <c r="AC19" s="565"/>
      <c r="AD19" s="242"/>
    </row>
    <row r="20" spans="1:30">
      <c r="A20" s="242"/>
      <c r="B20" s="559"/>
      <c r="C20" s="559"/>
      <c r="D20" s="247"/>
      <c r="E20" s="250"/>
      <c r="F20" s="554"/>
      <c r="G20" s="554"/>
      <c r="H20" s="250"/>
      <c r="I20" s="554"/>
      <c r="J20" s="554"/>
      <c r="K20" s="250"/>
      <c r="L20" s="250"/>
      <c r="M20" s="250"/>
      <c r="N20" s="250"/>
      <c r="O20" s="250"/>
      <c r="P20" s="250"/>
      <c r="Q20" s="250"/>
      <c r="R20" s="250"/>
      <c r="S20" s="250"/>
      <c r="T20" s="554"/>
      <c r="U20" s="554"/>
      <c r="V20" s="250"/>
      <c r="W20" s="250"/>
      <c r="X20" s="554"/>
      <c r="Y20" s="554"/>
      <c r="Z20" s="250"/>
      <c r="AA20" s="250"/>
      <c r="AB20" s="554"/>
      <c r="AC20" s="554"/>
      <c r="AD20" s="242"/>
    </row>
    <row r="21" spans="1:30">
      <c r="A21" s="242"/>
      <c r="B21" s="563">
        <v>39450</v>
      </c>
      <c r="C21" s="563"/>
      <c r="D21" s="247"/>
      <c r="E21" s="252">
        <v>0</v>
      </c>
      <c r="F21" s="564">
        <v>0</v>
      </c>
      <c r="G21" s="564"/>
      <c r="H21" s="252">
        <v>285</v>
      </c>
      <c r="I21" s="564">
        <v>24</v>
      </c>
      <c r="J21" s="564"/>
      <c r="K21" s="252">
        <v>0</v>
      </c>
      <c r="L21" s="253">
        <v>0</v>
      </c>
      <c r="M21" s="252">
        <v>344</v>
      </c>
      <c r="N21" s="253">
        <v>24</v>
      </c>
      <c r="O21" s="254">
        <v>629</v>
      </c>
      <c r="P21" s="250"/>
      <c r="Q21" s="252">
        <v>0</v>
      </c>
      <c r="R21" s="253">
        <v>0</v>
      </c>
      <c r="S21" s="252">
        <v>0</v>
      </c>
      <c r="T21" s="564">
        <v>0</v>
      </c>
      <c r="U21" s="564"/>
      <c r="V21" s="252">
        <v>0</v>
      </c>
      <c r="W21" s="250"/>
      <c r="X21" s="561">
        <v>629</v>
      </c>
      <c r="Y21" s="561"/>
      <c r="Z21" s="250"/>
      <c r="AA21" s="255">
        <v>0</v>
      </c>
      <c r="AB21" s="566">
        <v>267136</v>
      </c>
      <c r="AC21" s="566"/>
      <c r="AD21" s="242"/>
    </row>
    <row r="22" spans="1:30">
      <c r="A22" s="242"/>
      <c r="B22" s="559"/>
      <c r="C22" s="559"/>
      <c r="D22" s="247"/>
      <c r="E22" s="250"/>
      <c r="F22" s="554"/>
      <c r="G22" s="554"/>
      <c r="H22" s="250"/>
      <c r="I22" s="554"/>
      <c r="J22" s="554"/>
      <c r="K22" s="250"/>
      <c r="L22" s="250"/>
      <c r="M22" s="250"/>
      <c r="N22" s="250"/>
      <c r="O22" s="250"/>
      <c r="P22" s="250"/>
      <c r="Q22" s="250"/>
      <c r="R22" s="250"/>
      <c r="S22" s="250"/>
      <c r="T22" s="554"/>
      <c r="U22" s="554"/>
      <c r="V22" s="250"/>
      <c r="W22" s="250"/>
      <c r="X22" s="554"/>
      <c r="Y22" s="554"/>
      <c r="Z22" s="250"/>
      <c r="AA22" s="250"/>
      <c r="AB22" s="554"/>
      <c r="AC22" s="554"/>
      <c r="AD22" s="242"/>
    </row>
    <row r="23" spans="1:30">
      <c r="A23" s="242"/>
      <c r="B23" s="558">
        <v>39451</v>
      </c>
      <c r="C23" s="558"/>
      <c r="D23" s="247"/>
      <c r="E23" s="256">
        <v>0</v>
      </c>
      <c r="F23" s="557">
        <v>0</v>
      </c>
      <c r="G23" s="557"/>
      <c r="H23" s="256">
        <v>350.5</v>
      </c>
      <c r="I23" s="557">
        <v>24</v>
      </c>
      <c r="J23" s="557"/>
      <c r="K23" s="256">
        <v>0</v>
      </c>
      <c r="L23" s="257">
        <v>0</v>
      </c>
      <c r="M23" s="256">
        <v>390</v>
      </c>
      <c r="N23" s="257">
        <v>24</v>
      </c>
      <c r="O23" s="258">
        <v>740.5</v>
      </c>
      <c r="P23" s="250"/>
      <c r="Q23" s="256">
        <v>0</v>
      </c>
      <c r="R23" s="257">
        <v>0</v>
      </c>
      <c r="S23" s="256">
        <v>0</v>
      </c>
      <c r="T23" s="557">
        <v>0</v>
      </c>
      <c r="U23" s="557"/>
      <c r="V23" s="256">
        <v>0</v>
      </c>
      <c r="W23" s="250"/>
      <c r="X23" s="556">
        <v>740.5</v>
      </c>
      <c r="Y23" s="556"/>
      <c r="Z23" s="250"/>
      <c r="AA23" s="259">
        <v>0</v>
      </c>
      <c r="AB23" s="565">
        <v>298046</v>
      </c>
      <c r="AC23" s="565"/>
      <c r="AD23" s="242"/>
    </row>
    <row r="24" spans="1:30">
      <c r="A24" s="242"/>
      <c r="B24" s="559"/>
      <c r="C24" s="559"/>
      <c r="D24" s="247"/>
      <c r="E24" s="250"/>
      <c r="F24" s="554"/>
      <c r="G24" s="554"/>
      <c r="H24" s="250"/>
      <c r="I24" s="554"/>
      <c r="J24" s="554"/>
      <c r="K24" s="250"/>
      <c r="L24" s="250"/>
      <c r="M24" s="250"/>
      <c r="N24" s="250"/>
      <c r="O24" s="250"/>
      <c r="P24" s="250"/>
      <c r="Q24" s="250"/>
      <c r="R24" s="250"/>
      <c r="S24" s="250"/>
      <c r="T24" s="554"/>
      <c r="U24" s="554"/>
      <c r="V24" s="250"/>
      <c r="W24" s="250"/>
      <c r="X24" s="554"/>
      <c r="Y24" s="554"/>
      <c r="Z24" s="250"/>
      <c r="AA24" s="250"/>
      <c r="AB24" s="554"/>
      <c r="AC24" s="554"/>
      <c r="AD24" s="242"/>
    </row>
    <row r="25" spans="1:30">
      <c r="A25" s="242"/>
      <c r="B25" s="563">
        <v>39452</v>
      </c>
      <c r="C25" s="563"/>
      <c r="D25" s="247"/>
      <c r="E25" s="252">
        <v>90.5</v>
      </c>
      <c r="F25" s="564">
        <v>14</v>
      </c>
      <c r="G25" s="564"/>
      <c r="H25" s="252">
        <v>265.5</v>
      </c>
      <c r="I25" s="564">
        <v>24</v>
      </c>
      <c r="J25" s="564"/>
      <c r="K25" s="252">
        <v>0</v>
      </c>
      <c r="L25" s="253">
        <v>0</v>
      </c>
      <c r="M25" s="252">
        <v>396</v>
      </c>
      <c r="N25" s="253">
        <v>24</v>
      </c>
      <c r="O25" s="254">
        <v>752</v>
      </c>
      <c r="P25" s="250"/>
      <c r="Q25" s="252">
        <v>0</v>
      </c>
      <c r="R25" s="253">
        <v>0</v>
      </c>
      <c r="S25" s="252">
        <v>0</v>
      </c>
      <c r="T25" s="564">
        <v>0</v>
      </c>
      <c r="U25" s="564"/>
      <c r="V25" s="252">
        <v>0</v>
      </c>
      <c r="W25" s="250"/>
      <c r="X25" s="561">
        <v>752</v>
      </c>
      <c r="Y25" s="561"/>
      <c r="Z25" s="250"/>
      <c r="AA25" s="255">
        <v>1776800</v>
      </c>
      <c r="AB25" s="566">
        <v>275677</v>
      </c>
      <c r="AC25" s="566"/>
      <c r="AD25" s="242"/>
    </row>
    <row r="26" spans="1:30">
      <c r="A26" s="242"/>
      <c r="B26" s="559"/>
      <c r="C26" s="559"/>
      <c r="D26" s="247"/>
      <c r="E26" s="250"/>
      <c r="F26" s="554"/>
      <c r="G26" s="554"/>
      <c r="H26" s="250"/>
      <c r="I26" s="554"/>
      <c r="J26" s="554"/>
      <c r="K26" s="250"/>
      <c r="L26" s="250"/>
      <c r="M26" s="250"/>
      <c r="N26" s="250"/>
      <c r="O26" s="250"/>
      <c r="P26" s="250"/>
      <c r="Q26" s="250"/>
      <c r="R26" s="250"/>
      <c r="S26" s="250"/>
      <c r="T26" s="554"/>
      <c r="U26" s="554"/>
      <c r="V26" s="250"/>
      <c r="W26" s="250"/>
      <c r="X26" s="554"/>
      <c r="Y26" s="554"/>
      <c r="Z26" s="250"/>
      <c r="AA26" s="250"/>
      <c r="AB26" s="554"/>
      <c r="AC26" s="554"/>
      <c r="AD26" s="242"/>
    </row>
    <row r="27" spans="1:30">
      <c r="A27" s="242"/>
      <c r="B27" s="558">
        <v>39453</v>
      </c>
      <c r="C27" s="558"/>
      <c r="D27" s="247"/>
      <c r="E27" s="256">
        <v>259.5</v>
      </c>
      <c r="F27" s="557">
        <v>24</v>
      </c>
      <c r="G27" s="557"/>
      <c r="H27" s="256">
        <v>277.2</v>
      </c>
      <c r="I27" s="557">
        <v>24</v>
      </c>
      <c r="J27" s="557"/>
      <c r="K27" s="256">
        <v>0</v>
      </c>
      <c r="L27" s="257">
        <v>0</v>
      </c>
      <c r="M27" s="256">
        <v>169</v>
      </c>
      <c r="N27" s="257">
        <v>11</v>
      </c>
      <c r="O27" s="258">
        <v>705.7</v>
      </c>
      <c r="P27" s="250"/>
      <c r="Q27" s="256">
        <v>0</v>
      </c>
      <c r="R27" s="257">
        <v>0</v>
      </c>
      <c r="S27" s="256">
        <v>0</v>
      </c>
      <c r="T27" s="557">
        <v>0</v>
      </c>
      <c r="U27" s="557"/>
      <c r="V27" s="256">
        <v>0</v>
      </c>
      <c r="W27" s="250"/>
      <c r="X27" s="556">
        <v>705.7</v>
      </c>
      <c r="Y27" s="556"/>
      <c r="Z27" s="250"/>
      <c r="AA27" s="259">
        <v>3925100</v>
      </c>
      <c r="AB27" s="565">
        <v>196964</v>
      </c>
      <c r="AC27" s="565"/>
      <c r="AD27" s="242"/>
    </row>
    <row r="28" spans="1:30">
      <c r="A28" s="242"/>
      <c r="B28" s="559"/>
      <c r="C28" s="559"/>
      <c r="D28" s="247"/>
      <c r="E28" s="250"/>
      <c r="F28" s="554"/>
      <c r="G28" s="554"/>
      <c r="H28" s="250"/>
      <c r="I28" s="554"/>
      <c r="J28" s="554"/>
      <c r="K28" s="250"/>
      <c r="L28" s="250"/>
      <c r="M28" s="250"/>
      <c r="N28" s="250"/>
      <c r="O28" s="250"/>
      <c r="P28" s="250"/>
      <c r="Q28" s="250"/>
      <c r="R28" s="250"/>
      <c r="S28" s="250"/>
      <c r="T28" s="554"/>
      <c r="U28" s="554"/>
      <c r="V28" s="250"/>
      <c r="W28" s="250"/>
      <c r="X28" s="554"/>
      <c r="Y28" s="554"/>
      <c r="Z28" s="250"/>
      <c r="AA28" s="250"/>
      <c r="AB28" s="554"/>
      <c r="AC28" s="554"/>
      <c r="AD28" s="242"/>
    </row>
    <row r="29" spans="1:30">
      <c r="A29" s="242"/>
      <c r="B29" s="563">
        <v>39454</v>
      </c>
      <c r="C29" s="563"/>
      <c r="D29" s="247"/>
      <c r="E29" s="252">
        <v>290.89999999999998</v>
      </c>
      <c r="F29" s="564">
        <v>24</v>
      </c>
      <c r="G29" s="564"/>
      <c r="H29" s="252">
        <v>356.7</v>
      </c>
      <c r="I29" s="564">
        <v>24</v>
      </c>
      <c r="J29" s="564"/>
      <c r="K29" s="252">
        <v>0</v>
      </c>
      <c r="L29" s="253">
        <v>0</v>
      </c>
      <c r="M29" s="252">
        <v>0</v>
      </c>
      <c r="N29" s="253">
        <v>0</v>
      </c>
      <c r="O29" s="254">
        <v>647.6</v>
      </c>
      <c r="P29" s="250"/>
      <c r="Q29" s="252">
        <v>0</v>
      </c>
      <c r="R29" s="253">
        <v>0</v>
      </c>
      <c r="S29" s="252">
        <v>0</v>
      </c>
      <c r="T29" s="564">
        <v>0</v>
      </c>
      <c r="U29" s="564"/>
      <c r="V29" s="252">
        <v>0</v>
      </c>
      <c r="W29" s="250"/>
      <c r="X29" s="561">
        <v>647.6</v>
      </c>
      <c r="Y29" s="561"/>
      <c r="Z29" s="250"/>
      <c r="AA29" s="255">
        <v>4098600</v>
      </c>
      <c r="AB29" s="566">
        <v>161570</v>
      </c>
      <c r="AC29" s="566"/>
      <c r="AD29" s="242"/>
    </row>
    <row r="30" spans="1:30">
      <c r="A30" s="242"/>
      <c r="B30" s="559"/>
      <c r="C30" s="559"/>
      <c r="D30" s="247"/>
      <c r="E30" s="250"/>
      <c r="F30" s="554"/>
      <c r="G30" s="554"/>
      <c r="H30" s="250"/>
      <c r="I30" s="554"/>
      <c r="J30" s="554"/>
      <c r="K30" s="250"/>
      <c r="L30" s="250"/>
      <c r="M30" s="250"/>
      <c r="N30" s="250"/>
      <c r="O30" s="250"/>
      <c r="P30" s="250"/>
      <c r="Q30" s="250"/>
      <c r="R30" s="250"/>
      <c r="S30" s="250"/>
      <c r="T30" s="554"/>
      <c r="U30" s="554"/>
      <c r="V30" s="250"/>
      <c r="W30" s="250"/>
      <c r="X30" s="554"/>
      <c r="Y30" s="554"/>
      <c r="Z30" s="250"/>
      <c r="AA30" s="250"/>
      <c r="AB30" s="554"/>
      <c r="AC30" s="554"/>
      <c r="AD30" s="242"/>
    </row>
    <row r="31" spans="1:30">
      <c r="A31" s="242"/>
      <c r="B31" s="558">
        <v>39455</v>
      </c>
      <c r="C31" s="558"/>
      <c r="D31" s="247"/>
      <c r="E31" s="256">
        <v>284.10000000000002</v>
      </c>
      <c r="F31" s="557">
        <v>24</v>
      </c>
      <c r="G31" s="557"/>
      <c r="H31" s="256">
        <v>327.10000000000002</v>
      </c>
      <c r="I31" s="557">
        <v>24</v>
      </c>
      <c r="J31" s="557"/>
      <c r="K31" s="256">
        <v>0</v>
      </c>
      <c r="L31" s="257">
        <v>0</v>
      </c>
      <c r="M31" s="256">
        <v>0</v>
      </c>
      <c r="N31" s="257">
        <v>0</v>
      </c>
      <c r="O31" s="258">
        <v>611.20000000000005</v>
      </c>
      <c r="P31" s="250"/>
      <c r="Q31" s="256">
        <v>0</v>
      </c>
      <c r="R31" s="257">
        <v>0</v>
      </c>
      <c r="S31" s="256">
        <v>0</v>
      </c>
      <c r="T31" s="557">
        <v>0</v>
      </c>
      <c r="U31" s="557"/>
      <c r="V31" s="256">
        <v>0</v>
      </c>
      <c r="W31" s="250"/>
      <c r="X31" s="556">
        <v>611.20000000000005</v>
      </c>
      <c r="Y31" s="556"/>
      <c r="Z31" s="250"/>
      <c r="AA31" s="259">
        <v>4012000</v>
      </c>
      <c r="AB31" s="565">
        <v>153084</v>
      </c>
      <c r="AC31" s="565"/>
      <c r="AD31" s="242"/>
    </row>
    <row r="32" spans="1:30">
      <c r="A32" s="242"/>
      <c r="B32" s="559"/>
      <c r="C32" s="559"/>
      <c r="D32" s="247"/>
      <c r="E32" s="250"/>
      <c r="F32" s="554"/>
      <c r="G32" s="554"/>
      <c r="H32" s="250"/>
      <c r="I32" s="554"/>
      <c r="J32" s="554"/>
      <c r="K32" s="250"/>
      <c r="L32" s="250"/>
      <c r="M32" s="250"/>
      <c r="N32" s="250"/>
      <c r="O32" s="250"/>
      <c r="P32" s="250"/>
      <c r="Q32" s="250"/>
      <c r="R32" s="250"/>
      <c r="S32" s="250"/>
      <c r="T32" s="554"/>
      <c r="U32" s="554"/>
      <c r="V32" s="250"/>
      <c r="W32" s="250"/>
      <c r="X32" s="554"/>
      <c r="Y32" s="554"/>
      <c r="Z32" s="250"/>
      <c r="AA32" s="250"/>
      <c r="AB32" s="554"/>
      <c r="AC32" s="554"/>
      <c r="AD32" s="242"/>
    </row>
    <row r="33" spans="1:30">
      <c r="A33" s="242"/>
      <c r="B33" s="563">
        <v>39456</v>
      </c>
      <c r="C33" s="563"/>
      <c r="D33" s="247"/>
      <c r="E33" s="252">
        <v>181.2</v>
      </c>
      <c r="F33" s="564">
        <v>24</v>
      </c>
      <c r="G33" s="564"/>
      <c r="H33" s="252">
        <v>240.8</v>
      </c>
      <c r="I33" s="564">
        <v>24</v>
      </c>
      <c r="J33" s="564"/>
      <c r="K33" s="252">
        <v>0</v>
      </c>
      <c r="L33" s="253">
        <v>0</v>
      </c>
      <c r="M33" s="252">
        <v>150</v>
      </c>
      <c r="N33" s="253">
        <v>14</v>
      </c>
      <c r="O33" s="254">
        <v>572</v>
      </c>
      <c r="P33" s="250"/>
      <c r="Q33" s="252">
        <v>0</v>
      </c>
      <c r="R33" s="253">
        <v>0</v>
      </c>
      <c r="S33" s="252">
        <v>0</v>
      </c>
      <c r="T33" s="564">
        <v>0</v>
      </c>
      <c r="U33" s="564"/>
      <c r="V33" s="252">
        <v>0</v>
      </c>
      <c r="W33" s="250"/>
      <c r="X33" s="561">
        <v>572</v>
      </c>
      <c r="Y33" s="561"/>
      <c r="Z33" s="250"/>
      <c r="AA33" s="255">
        <v>3150200</v>
      </c>
      <c r="AB33" s="566">
        <v>184995</v>
      </c>
      <c r="AC33" s="566"/>
      <c r="AD33" s="242"/>
    </row>
    <row r="34" spans="1:30">
      <c r="A34" s="242"/>
      <c r="B34" s="559"/>
      <c r="C34" s="559"/>
      <c r="D34" s="247"/>
      <c r="E34" s="250"/>
      <c r="F34" s="554"/>
      <c r="G34" s="554"/>
      <c r="H34" s="250"/>
      <c r="I34" s="554"/>
      <c r="J34" s="554"/>
      <c r="K34" s="250"/>
      <c r="L34" s="250"/>
      <c r="M34" s="250"/>
      <c r="N34" s="250"/>
      <c r="O34" s="250"/>
      <c r="P34" s="250"/>
      <c r="Q34" s="250"/>
      <c r="R34" s="250"/>
      <c r="S34" s="250"/>
      <c r="T34" s="554"/>
      <c r="U34" s="554"/>
      <c r="V34" s="250"/>
      <c r="W34" s="250"/>
      <c r="X34" s="554"/>
      <c r="Y34" s="554"/>
      <c r="Z34" s="250"/>
      <c r="AA34" s="250"/>
      <c r="AB34" s="554"/>
      <c r="AC34" s="554"/>
      <c r="AD34" s="242"/>
    </row>
    <row r="35" spans="1:30">
      <c r="A35" s="242"/>
      <c r="B35" s="558">
        <v>39457</v>
      </c>
      <c r="C35" s="558"/>
      <c r="D35" s="247"/>
      <c r="E35" s="256">
        <v>86.3</v>
      </c>
      <c r="F35" s="557">
        <v>20</v>
      </c>
      <c r="G35" s="557"/>
      <c r="H35" s="256">
        <v>190.6</v>
      </c>
      <c r="I35" s="557">
        <v>24</v>
      </c>
      <c r="J35" s="557"/>
      <c r="K35" s="256">
        <v>0</v>
      </c>
      <c r="L35" s="257">
        <v>0</v>
      </c>
      <c r="M35" s="256">
        <v>278</v>
      </c>
      <c r="N35" s="257">
        <v>24</v>
      </c>
      <c r="O35" s="258">
        <v>554.9</v>
      </c>
      <c r="P35" s="250"/>
      <c r="Q35" s="256">
        <v>0</v>
      </c>
      <c r="R35" s="257">
        <v>0</v>
      </c>
      <c r="S35" s="256">
        <v>0</v>
      </c>
      <c r="T35" s="557">
        <v>0</v>
      </c>
      <c r="U35" s="557"/>
      <c r="V35" s="256">
        <v>0</v>
      </c>
      <c r="W35" s="250"/>
      <c r="X35" s="556">
        <v>554.9</v>
      </c>
      <c r="Y35" s="556"/>
      <c r="Z35" s="250"/>
      <c r="AA35" s="259">
        <v>3133800</v>
      </c>
      <c r="AB35" s="565">
        <v>193753</v>
      </c>
      <c r="AC35" s="565"/>
      <c r="AD35" s="242"/>
    </row>
    <row r="36" spans="1:30">
      <c r="A36" s="242"/>
      <c r="B36" s="559"/>
      <c r="C36" s="559"/>
      <c r="D36" s="247"/>
      <c r="E36" s="250"/>
      <c r="F36" s="554"/>
      <c r="G36" s="554"/>
      <c r="H36" s="250"/>
      <c r="I36" s="554"/>
      <c r="J36" s="554"/>
      <c r="K36" s="250"/>
      <c r="L36" s="250"/>
      <c r="M36" s="250"/>
      <c r="N36" s="250"/>
      <c r="O36" s="250"/>
      <c r="P36" s="250"/>
      <c r="Q36" s="250"/>
      <c r="R36" s="250"/>
      <c r="S36" s="250"/>
      <c r="T36" s="554"/>
      <c r="U36" s="554"/>
      <c r="V36" s="250"/>
      <c r="W36" s="250"/>
      <c r="X36" s="554"/>
      <c r="Y36" s="554"/>
      <c r="Z36" s="250"/>
      <c r="AA36" s="250"/>
      <c r="AB36" s="554"/>
      <c r="AC36" s="554"/>
      <c r="AD36" s="242"/>
    </row>
    <row r="37" spans="1:30">
      <c r="A37" s="242"/>
      <c r="B37" s="563">
        <v>39458</v>
      </c>
      <c r="C37" s="563"/>
      <c r="D37" s="247"/>
      <c r="E37" s="252">
        <v>0</v>
      </c>
      <c r="F37" s="564">
        <v>0</v>
      </c>
      <c r="G37" s="564"/>
      <c r="H37" s="252">
        <v>324.10000000000002</v>
      </c>
      <c r="I37" s="564">
        <v>24</v>
      </c>
      <c r="J37" s="564"/>
      <c r="K37" s="252">
        <v>0</v>
      </c>
      <c r="L37" s="253">
        <v>0</v>
      </c>
      <c r="M37" s="252">
        <v>293</v>
      </c>
      <c r="N37" s="253">
        <v>24</v>
      </c>
      <c r="O37" s="254">
        <v>617.1</v>
      </c>
      <c r="P37" s="250"/>
      <c r="Q37" s="252">
        <v>0</v>
      </c>
      <c r="R37" s="253">
        <v>0</v>
      </c>
      <c r="S37" s="252">
        <v>0</v>
      </c>
      <c r="T37" s="564">
        <v>0</v>
      </c>
      <c r="U37" s="564"/>
      <c r="V37" s="252">
        <v>0</v>
      </c>
      <c r="W37" s="250"/>
      <c r="X37" s="561">
        <v>617.1</v>
      </c>
      <c r="Y37" s="561"/>
      <c r="Z37" s="250"/>
      <c r="AA37" s="255">
        <v>4140600</v>
      </c>
      <c r="AB37" s="566">
        <v>117064</v>
      </c>
      <c r="AC37" s="566"/>
      <c r="AD37" s="242"/>
    </row>
    <row r="38" spans="1:30">
      <c r="A38" s="242"/>
      <c r="B38" s="559"/>
      <c r="C38" s="559"/>
      <c r="D38" s="247"/>
      <c r="E38" s="250"/>
      <c r="F38" s="554"/>
      <c r="G38" s="554"/>
      <c r="H38" s="250"/>
      <c r="I38" s="554"/>
      <c r="J38" s="554"/>
      <c r="K38" s="250"/>
      <c r="L38" s="250"/>
      <c r="M38" s="250"/>
      <c r="N38" s="250"/>
      <c r="O38" s="250"/>
      <c r="P38" s="250"/>
      <c r="Q38" s="250"/>
      <c r="R38" s="250"/>
      <c r="S38" s="250"/>
      <c r="T38" s="554"/>
      <c r="U38" s="554"/>
      <c r="V38" s="250"/>
      <c r="W38" s="250"/>
      <c r="X38" s="554"/>
      <c r="Y38" s="554"/>
      <c r="Z38" s="250"/>
      <c r="AA38" s="250"/>
      <c r="AB38" s="554"/>
      <c r="AC38" s="554"/>
      <c r="AD38" s="242"/>
    </row>
    <row r="39" spans="1:30">
      <c r="A39" s="242"/>
      <c r="B39" s="558">
        <v>39459</v>
      </c>
      <c r="C39" s="558"/>
      <c r="D39" s="247"/>
      <c r="E39" s="256">
        <v>74.099999999999994</v>
      </c>
      <c r="F39" s="557">
        <v>7</v>
      </c>
      <c r="G39" s="557"/>
      <c r="H39" s="256">
        <v>334.5</v>
      </c>
      <c r="I39" s="557">
        <v>22</v>
      </c>
      <c r="J39" s="557"/>
      <c r="K39" s="256">
        <v>0</v>
      </c>
      <c r="L39" s="257">
        <v>0</v>
      </c>
      <c r="M39" s="256">
        <v>282</v>
      </c>
      <c r="N39" s="257">
        <v>17</v>
      </c>
      <c r="O39" s="258">
        <v>690.6</v>
      </c>
      <c r="P39" s="250"/>
      <c r="Q39" s="256">
        <v>42</v>
      </c>
      <c r="R39" s="257">
        <v>7</v>
      </c>
      <c r="S39" s="256">
        <v>0</v>
      </c>
      <c r="T39" s="557">
        <v>0</v>
      </c>
      <c r="U39" s="557"/>
      <c r="V39" s="256">
        <v>42</v>
      </c>
      <c r="W39" s="250"/>
      <c r="X39" s="556">
        <v>732.6</v>
      </c>
      <c r="Y39" s="556"/>
      <c r="Z39" s="250"/>
      <c r="AA39" s="259">
        <v>3261500</v>
      </c>
      <c r="AB39" s="565">
        <v>167534</v>
      </c>
      <c r="AC39" s="565"/>
      <c r="AD39" s="242"/>
    </row>
    <row r="40" spans="1:30">
      <c r="A40" s="242"/>
      <c r="B40" s="559"/>
      <c r="C40" s="559"/>
      <c r="D40" s="247"/>
      <c r="E40" s="250"/>
      <c r="F40" s="554"/>
      <c r="G40" s="554"/>
      <c r="H40" s="250"/>
      <c r="I40" s="554"/>
      <c r="J40" s="554"/>
      <c r="K40" s="250"/>
      <c r="L40" s="250"/>
      <c r="M40" s="250"/>
      <c r="N40" s="250"/>
      <c r="O40" s="250"/>
      <c r="P40" s="250"/>
      <c r="Q40" s="250"/>
      <c r="R40" s="250"/>
      <c r="S40" s="250"/>
      <c r="T40" s="554"/>
      <c r="U40" s="554"/>
      <c r="V40" s="250"/>
      <c r="W40" s="250"/>
      <c r="X40" s="554"/>
      <c r="Y40" s="554"/>
      <c r="Z40" s="250"/>
      <c r="AA40" s="250"/>
      <c r="AB40" s="554"/>
      <c r="AC40" s="554"/>
      <c r="AD40" s="242"/>
    </row>
    <row r="41" spans="1:30">
      <c r="A41" s="242"/>
      <c r="B41" s="563">
        <v>39460</v>
      </c>
      <c r="C41" s="563"/>
      <c r="D41" s="247"/>
      <c r="E41" s="252">
        <v>276.10000000000002</v>
      </c>
      <c r="F41" s="564">
        <v>24</v>
      </c>
      <c r="G41" s="564"/>
      <c r="H41" s="252">
        <v>298.3</v>
      </c>
      <c r="I41" s="564">
        <v>24</v>
      </c>
      <c r="J41" s="564"/>
      <c r="K41" s="252">
        <v>0</v>
      </c>
      <c r="L41" s="253">
        <v>0</v>
      </c>
      <c r="M41" s="252">
        <v>0</v>
      </c>
      <c r="N41" s="253">
        <v>0</v>
      </c>
      <c r="O41" s="254">
        <v>574.4</v>
      </c>
      <c r="P41" s="250"/>
      <c r="Q41" s="252">
        <v>21</v>
      </c>
      <c r="R41" s="253">
        <v>6</v>
      </c>
      <c r="S41" s="252">
        <v>0</v>
      </c>
      <c r="T41" s="564">
        <v>0</v>
      </c>
      <c r="U41" s="564"/>
      <c r="V41" s="252">
        <v>21</v>
      </c>
      <c r="W41" s="250"/>
      <c r="X41" s="561">
        <v>595.4</v>
      </c>
      <c r="Y41" s="561"/>
      <c r="Z41" s="250"/>
      <c r="AA41" s="255">
        <v>0</v>
      </c>
      <c r="AB41" s="566">
        <v>287225</v>
      </c>
      <c r="AC41" s="566"/>
      <c r="AD41" s="242"/>
    </row>
    <row r="42" spans="1:30">
      <c r="A42" s="242"/>
      <c r="B42" s="559"/>
      <c r="C42" s="559"/>
      <c r="D42" s="247"/>
      <c r="E42" s="250"/>
      <c r="F42" s="554"/>
      <c r="G42" s="554"/>
      <c r="H42" s="250"/>
      <c r="I42" s="554"/>
      <c r="J42" s="554"/>
      <c r="K42" s="250"/>
      <c r="L42" s="250"/>
      <c r="M42" s="250"/>
      <c r="N42" s="250"/>
      <c r="O42" s="250"/>
      <c r="P42" s="250"/>
      <c r="Q42" s="250"/>
      <c r="R42" s="250"/>
      <c r="S42" s="250"/>
      <c r="T42" s="554"/>
      <c r="U42" s="554"/>
      <c r="V42" s="250"/>
      <c r="W42" s="250"/>
      <c r="X42" s="554"/>
      <c r="Y42" s="554"/>
      <c r="Z42" s="250"/>
      <c r="AA42" s="250"/>
      <c r="AB42" s="554"/>
      <c r="AC42" s="554"/>
      <c r="AD42" s="242"/>
    </row>
    <row r="43" spans="1:30">
      <c r="A43" s="242"/>
      <c r="B43" s="558">
        <v>39461</v>
      </c>
      <c r="C43" s="558"/>
      <c r="D43" s="247"/>
      <c r="E43" s="256">
        <v>311.8</v>
      </c>
      <c r="F43" s="557">
        <v>24</v>
      </c>
      <c r="G43" s="557"/>
      <c r="H43" s="256">
        <v>339.7</v>
      </c>
      <c r="I43" s="557">
        <v>24</v>
      </c>
      <c r="J43" s="557"/>
      <c r="K43" s="256">
        <v>0</v>
      </c>
      <c r="L43" s="257">
        <v>0</v>
      </c>
      <c r="M43" s="256">
        <v>0</v>
      </c>
      <c r="N43" s="257">
        <v>0</v>
      </c>
      <c r="O43" s="258">
        <v>651.5</v>
      </c>
      <c r="P43" s="250"/>
      <c r="Q43" s="256">
        <v>0</v>
      </c>
      <c r="R43" s="257">
        <v>0</v>
      </c>
      <c r="S43" s="256">
        <v>0</v>
      </c>
      <c r="T43" s="557">
        <v>0</v>
      </c>
      <c r="U43" s="557"/>
      <c r="V43" s="256">
        <v>0</v>
      </c>
      <c r="W43" s="250"/>
      <c r="X43" s="556">
        <v>651.5</v>
      </c>
      <c r="Y43" s="556"/>
      <c r="Z43" s="250"/>
      <c r="AA43" s="259">
        <v>0</v>
      </c>
      <c r="AB43" s="565">
        <v>310326</v>
      </c>
      <c r="AC43" s="565"/>
      <c r="AD43" s="242"/>
    </row>
    <row r="44" spans="1:30">
      <c r="A44" s="242"/>
      <c r="B44" s="559"/>
      <c r="C44" s="559"/>
      <c r="D44" s="247"/>
      <c r="E44" s="250"/>
      <c r="F44" s="554"/>
      <c r="G44" s="554"/>
      <c r="H44" s="250"/>
      <c r="I44" s="554"/>
      <c r="J44" s="554"/>
      <c r="K44" s="250"/>
      <c r="L44" s="250"/>
      <c r="M44" s="250"/>
      <c r="N44" s="250"/>
      <c r="O44" s="250"/>
      <c r="P44" s="250"/>
      <c r="Q44" s="250"/>
      <c r="R44" s="250"/>
      <c r="S44" s="250"/>
      <c r="T44" s="554"/>
      <c r="U44" s="554"/>
      <c r="V44" s="250"/>
      <c r="W44" s="250"/>
      <c r="X44" s="554"/>
      <c r="Y44" s="554"/>
      <c r="Z44" s="250"/>
      <c r="AA44" s="250"/>
      <c r="AB44" s="554"/>
      <c r="AC44" s="554"/>
      <c r="AD44" s="242"/>
    </row>
    <row r="45" spans="1:30">
      <c r="A45" s="242"/>
      <c r="B45" s="563">
        <v>39462</v>
      </c>
      <c r="C45" s="563"/>
      <c r="D45" s="247"/>
      <c r="E45" s="252">
        <v>320.5</v>
      </c>
      <c r="F45" s="564">
        <v>24</v>
      </c>
      <c r="G45" s="564"/>
      <c r="H45" s="252">
        <v>382</v>
      </c>
      <c r="I45" s="564">
        <v>24</v>
      </c>
      <c r="J45" s="564"/>
      <c r="K45" s="252">
        <v>0</v>
      </c>
      <c r="L45" s="253">
        <v>0</v>
      </c>
      <c r="M45" s="252">
        <v>0</v>
      </c>
      <c r="N45" s="253">
        <v>0</v>
      </c>
      <c r="O45" s="254">
        <v>702.5</v>
      </c>
      <c r="P45" s="250"/>
      <c r="Q45" s="252">
        <v>4</v>
      </c>
      <c r="R45" s="253">
        <v>1</v>
      </c>
      <c r="S45" s="252">
        <v>0</v>
      </c>
      <c r="T45" s="564">
        <v>0</v>
      </c>
      <c r="U45" s="564"/>
      <c r="V45" s="252">
        <v>4</v>
      </c>
      <c r="W45" s="250"/>
      <c r="X45" s="561">
        <v>706.5</v>
      </c>
      <c r="Y45" s="561"/>
      <c r="Z45" s="250"/>
      <c r="AA45" s="255">
        <v>0</v>
      </c>
      <c r="AB45" s="566">
        <v>325402</v>
      </c>
      <c r="AC45" s="566"/>
      <c r="AD45" s="242"/>
    </row>
    <row r="46" spans="1:30">
      <c r="A46" s="242"/>
      <c r="B46" s="559"/>
      <c r="C46" s="559"/>
      <c r="D46" s="247"/>
      <c r="E46" s="250"/>
      <c r="F46" s="554"/>
      <c r="G46" s="554"/>
      <c r="H46" s="250"/>
      <c r="I46" s="554"/>
      <c r="J46" s="554"/>
      <c r="K46" s="250"/>
      <c r="L46" s="250"/>
      <c r="M46" s="250"/>
      <c r="N46" s="250"/>
      <c r="O46" s="250"/>
      <c r="P46" s="250"/>
      <c r="Q46" s="250"/>
      <c r="R46" s="250"/>
      <c r="S46" s="250"/>
      <c r="T46" s="554"/>
      <c r="U46" s="554"/>
      <c r="V46" s="250"/>
      <c r="W46" s="250"/>
      <c r="X46" s="554"/>
      <c r="Y46" s="554"/>
      <c r="Z46" s="250"/>
      <c r="AA46" s="250"/>
      <c r="AB46" s="554"/>
      <c r="AC46" s="554"/>
      <c r="AD46" s="242"/>
    </row>
    <row r="47" spans="1:30">
      <c r="A47" s="242"/>
      <c r="B47" s="558">
        <v>39463</v>
      </c>
      <c r="C47" s="558"/>
      <c r="D47" s="247"/>
      <c r="E47" s="256">
        <v>305.8</v>
      </c>
      <c r="F47" s="557">
        <v>24</v>
      </c>
      <c r="G47" s="557"/>
      <c r="H47" s="256">
        <v>352.2</v>
      </c>
      <c r="I47" s="557">
        <v>24</v>
      </c>
      <c r="J47" s="557"/>
      <c r="K47" s="256">
        <v>0</v>
      </c>
      <c r="L47" s="257">
        <v>0</v>
      </c>
      <c r="M47" s="256">
        <v>0</v>
      </c>
      <c r="N47" s="257">
        <v>0</v>
      </c>
      <c r="O47" s="258">
        <v>658</v>
      </c>
      <c r="P47" s="250"/>
      <c r="Q47" s="256">
        <v>0</v>
      </c>
      <c r="R47" s="257">
        <v>0</v>
      </c>
      <c r="S47" s="256">
        <v>0</v>
      </c>
      <c r="T47" s="557">
        <v>0</v>
      </c>
      <c r="U47" s="557"/>
      <c r="V47" s="256">
        <v>0</v>
      </c>
      <c r="W47" s="250"/>
      <c r="X47" s="556">
        <v>658</v>
      </c>
      <c r="Y47" s="556"/>
      <c r="Z47" s="250"/>
      <c r="AA47" s="259">
        <v>0</v>
      </c>
      <c r="AB47" s="565">
        <v>311518</v>
      </c>
      <c r="AC47" s="565"/>
      <c r="AD47" s="242"/>
    </row>
    <row r="48" spans="1:30">
      <c r="A48" s="242"/>
      <c r="B48" s="559"/>
      <c r="C48" s="559"/>
      <c r="D48" s="247"/>
      <c r="E48" s="250"/>
      <c r="F48" s="554"/>
      <c r="G48" s="554"/>
      <c r="H48" s="250"/>
      <c r="I48" s="554"/>
      <c r="J48" s="554"/>
      <c r="K48" s="250"/>
      <c r="L48" s="250"/>
      <c r="M48" s="250"/>
      <c r="N48" s="250"/>
      <c r="O48" s="250"/>
      <c r="P48" s="250"/>
      <c r="Q48" s="250"/>
      <c r="R48" s="250"/>
      <c r="S48" s="250"/>
      <c r="T48" s="554"/>
      <c r="U48" s="554"/>
      <c r="V48" s="250"/>
      <c r="W48" s="250"/>
      <c r="X48" s="554"/>
      <c r="Y48" s="554"/>
      <c r="Z48" s="250"/>
      <c r="AA48" s="250"/>
      <c r="AB48" s="554"/>
      <c r="AC48" s="554"/>
      <c r="AD48" s="242"/>
    </row>
    <row r="49" spans="1:30">
      <c r="A49" s="242"/>
      <c r="B49" s="563">
        <v>39464</v>
      </c>
      <c r="C49" s="563"/>
      <c r="D49" s="247"/>
      <c r="E49" s="252">
        <v>305.5</v>
      </c>
      <c r="F49" s="564">
        <v>24</v>
      </c>
      <c r="G49" s="564"/>
      <c r="H49" s="252">
        <v>351</v>
      </c>
      <c r="I49" s="564">
        <v>24</v>
      </c>
      <c r="J49" s="564"/>
      <c r="K49" s="252">
        <v>0</v>
      </c>
      <c r="L49" s="253">
        <v>10</v>
      </c>
      <c r="M49" s="252">
        <v>0</v>
      </c>
      <c r="N49" s="253">
        <v>0</v>
      </c>
      <c r="O49" s="254">
        <v>656.5</v>
      </c>
      <c r="P49" s="250"/>
      <c r="Q49" s="252">
        <v>0</v>
      </c>
      <c r="R49" s="253">
        <v>0</v>
      </c>
      <c r="S49" s="252">
        <v>0</v>
      </c>
      <c r="T49" s="564">
        <v>0</v>
      </c>
      <c r="U49" s="564"/>
      <c r="V49" s="252">
        <v>0</v>
      </c>
      <c r="W49" s="250"/>
      <c r="X49" s="561">
        <v>656.5</v>
      </c>
      <c r="Y49" s="561"/>
      <c r="Z49" s="250"/>
      <c r="AA49" s="255">
        <v>751200</v>
      </c>
      <c r="AB49" s="566">
        <v>310259</v>
      </c>
      <c r="AC49" s="566"/>
      <c r="AD49" s="242"/>
    </row>
    <row r="50" spans="1:30">
      <c r="A50" s="242"/>
      <c r="B50" s="559"/>
      <c r="C50" s="559"/>
      <c r="D50" s="247"/>
      <c r="E50" s="250"/>
      <c r="F50" s="554"/>
      <c r="G50" s="554"/>
      <c r="H50" s="250"/>
      <c r="I50" s="554"/>
      <c r="J50" s="554"/>
      <c r="K50" s="250"/>
      <c r="L50" s="250"/>
      <c r="M50" s="250"/>
      <c r="N50" s="250"/>
      <c r="O50" s="250"/>
      <c r="P50" s="250"/>
      <c r="Q50" s="250"/>
      <c r="R50" s="250"/>
      <c r="S50" s="250"/>
      <c r="T50" s="554"/>
      <c r="U50" s="554"/>
      <c r="V50" s="250"/>
      <c r="W50" s="250"/>
      <c r="X50" s="554"/>
      <c r="Y50" s="554"/>
      <c r="Z50" s="250"/>
      <c r="AA50" s="250"/>
      <c r="AB50" s="554"/>
      <c r="AC50" s="554"/>
      <c r="AD50" s="242"/>
    </row>
    <row r="51" spans="1:30">
      <c r="A51" s="242"/>
      <c r="B51" s="558">
        <v>39465</v>
      </c>
      <c r="C51" s="558"/>
      <c r="D51" s="247"/>
      <c r="E51" s="256">
        <v>287</v>
      </c>
      <c r="F51" s="557">
        <v>24</v>
      </c>
      <c r="G51" s="557"/>
      <c r="H51" s="256">
        <v>221.8</v>
      </c>
      <c r="I51" s="557">
        <v>24</v>
      </c>
      <c r="J51" s="557"/>
      <c r="K51" s="256">
        <v>182.2</v>
      </c>
      <c r="L51" s="257">
        <v>24</v>
      </c>
      <c r="M51" s="256">
        <v>0</v>
      </c>
      <c r="N51" s="257">
        <v>0</v>
      </c>
      <c r="O51" s="258">
        <v>691</v>
      </c>
      <c r="P51" s="250"/>
      <c r="Q51" s="256">
        <v>0</v>
      </c>
      <c r="R51" s="257">
        <v>0</v>
      </c>
      <c r="S51" s="256">
        <v>0</v>
      </c>
      <c r="T51" s="557">
        <v>0</v>
      </c>
      <c r="U51" s="557"/>
      <c r="V51" s="256">
        <v>0</v>
      </c>
      <c r="W51" s="250"/>
      <c r="X51" s="556">
        <v>691</v>
      </c>
      <c r="Y51" s="556"/>
      <c r="Z51" s="250"/>
      <c r="AA51" s="259">
        <v>3291700</v>
      </c>
      <c r="AB51" s="565">
        <v>271660</v>
      </c>
      <c r="AC51" s="565"/>
      <c r="AD51" s="242"/>
    </row>
    <row r="52" spans="1:30">
      <c r="A52" s="242"/>
      <c r="B52" s="559"/>
      <c r="C52" s="559"/>
      <c r="D52" s="247"/>
      <c r="E52" s="250"/>
      <c r="F52" s="554"/>
      <c r="G52" s="554"/>
      <c r="H52" s="250"/>
      <c r="I52" s="554"/>
      <c r="J52" s="554"/>
      <c r="K52" s="250"/>
      <c r="L52" s="250"/>
      <c r="M52" s="250"/>
      <c r="N52" s="250"/>
      <c r="O52" s="250"/>
      <c r="P52" s="250"/>
      <c r="Q52" s="250"/>
      <c r="R52" s="250"/>
      <c r="S52" s="250"/>
      <c r="T52" s="554"/>
      <c r="U52" s="554"/>
      <c r="V52" s="250"/>
      <c r="W52" s="250"/>
      <c r="X52" s="554"/>
      <c r="Y52" s="554"/>
      <c r="Z52" s="250"/>
      <c r="AA52" s="250"/>
      <c r="AB52" s="554"/>
      <c r="AC52" s="554"/>
      <c r="AD52" s="242"/>
    </row>
    <row r="53" spans="1:30">
      <c r="A53" s="242"/>
      <c r="B53" s="563">
        <v>39466</v>
      </c>
      <c r="C53" s="563"/>
      <c r="D53" s="247"/>
      <c r="E53" s="252">
        <v>256.39999999999998</v>
      </c>
      <c r="F53" s="564">
        <v>24</v>
      </c>
      <c r="G53" s="564"/>
      <c r="H53" s="252">
        <v>121.3</v>
      </c>
      <c r="I53" s="564">
        <v>16</v>
      </c>
      <c r="J53" s="564"/>
      <c r="K53" s="252">
        <v>283.5</v>
      </c>
      <c r="L53" s="253">
        <v>23</v>
      </c>
      <c r="M53" s="252">
        <v>0</v>
      </c>
      <c r="N53" s="253">
        <v>0</v>
      </c>
      <c r="O53" s="254">
        <v>661.2</v>
      </c>
      <c r="P53" s="250"/>
      <c r="Q53" s="252">
        <v>8</v>
      </c>
      <c r="R53" s="253">
        <v>1</v>
      </c>
      <c r="S53" s="252">
        <v>0</v>
      </c>
      <c r="T53" s="564">
        <v>0</v>
      </c>
      <c r="U53" s="564"/>
      <c r="V53" s="252">
        <v>8</v>
      </c>
      <c r="W53" s="250"/>
      <c r="X53" s="561">
        <v>669.2</v>
      </c>
      <c r="Y53" s="561"/>
      <c r="Z53" s="250"/>
      <c r="AA53" s="255">
        <v>2733500</v>
      </c>
      <c r="AB53" s="566">
        <v>258568</v>
      </c>
      <c r="AC53" s="566"/>
      <c r="AD53" s="242"/>
    </row>
    <row r="54" spans="1:30">
      <c r="A54" s="242"/>
      <c r="B54" s="559"/>
      <c r="C54" s="559"/>
      <c r="D54" s="247"/>
      <c r="E54" s="250"/>
      <c r="F54" s="554"/>
      <c r="G54" s="554"/>
      <c r="H54" s="250"/>
      <c r="I54" s="554"/>
      <c r="J54" s="554"/>
      <c r="K54" s="250"/>
      <c r="L54" s="250"/>
      <c r="M54" s="250"/>
      <c r="N54" s="250"/>
      <c r="O54" s="250"/>
      <c r="P54" s="250"/>
      <c r="Q54" s="250"/>
      <c r="R54" s="250"/>
      <c r="S54" s="250"/>
      <c r="T54" s="554"/>
      <c r="U54" s="554"/>
      <c r="V54" s="250"/>
      <c r="W54" s="250"/>
      <c r="X54" s="554"/>
      <c r="Y54" s="554"/>
      <c r="Z54" s="250"/>
      <c r="AA54" s="250"/>
      <c r="AB54" s="554"/>
      <c r="AC54" s="554"/>
      <c r="AD54" s="242"/>
    </row>
    <row r="55" spans="1:30">
      <c r="A55" s="242"/>
      <c r="B55" s="558">
        <v>39467</v>
      </c>
      <c r="C55" s="558"/>
      <c r="D55" s="247"/>
      <c r="E55" s="256">
        <v>167.1</v>
      </c>
      <c r="F55" s="557">
        <v>24</v>
      </c>
      <c r="G55" s="557"/>
      <c r="H55" s="256">
        <v>319.7</v>
      </c>
      <c r="I55" s="557">
        <v>24</v>
      </c>
      <c r="J55" s="557"/>
      <c r="K55" s="256">
        <v>236.1</v>
      </c>
      <c r="L55" s="257">
        <v>24</v>
      </c>
      <c r="M55" s="256">
        <v>0</v>
      </c>
      <c r="N55" s="257">
        <v>0</v>
      </c>
      <c r="O55" s="258">
        <v>722.9</v>
      </c>
      <c r="P55" s="250"/>
      <c r="Q55" s="256">
        <v>0</v>
      </c>
      <c r="R55" s="257">
        <v>0</v>
      </c>
      <c r="S55" s="256">
        <v>0</v>
      </c>
      <c r="T55" s="557">
        <v>0</v>
      </c>
      <c r="U55" s="557"/>
      <c r="V55" s="256">
        <v>0</v>
      </c>
      <c r="W55" s="250"/>
      <c r="X55" s="556">
        <v>722.9</v>
      </c>
      <c r="Y55" s="556"/>
      <c r="Z55" s="250"/>
      <c r="AA55" s="259">
        <v>4075600</v>
      </c>
      <c r="AB55" s="565">
        <v>246585</v>
      </c>
      <c r="AC55" s="565"/>
      <c r="AD55" s="242"/>
    </row>
    <row r="56" spans="1:30">
      <c r="A56" s="242"/>
      <c r="B56" s="559"/>
      <c r="C56" s="559"/>
      <c r="D56" s="247"/>
      <c r="E56" s="250"/>
      <c r="F56" s="554"/>
      <c r="G56" s="554"/>
      <c r="H56" s="250"/>
      <c r="I56" s="554"/>
      <c r="J56" s="554"/>
      <c r="K56" s="250"/>
      <c r="L56" s="250"/>
      <c r="M56" s="250"/>
      <c r="N56" s="250"/>
      <c r="O56" s="250"/>
      <c r="P56" s="250"/>
      <c r="Q56" s="250"/>
      <c r="R56" s="250"/>
      <c r="S56" s="250"/>
      <c r="T56" s="554"/>
      <c r="U56" s="554"/>
      <c r="V56" s="250"/>
      <c r="W56" s="250"/>
      <c r="X56" s="554"/>
      <c r="Y56" s="554"/>
      <c r="Z56" s="250"/>
      <c r="AA56" s="250"/>
      <c r="AB56" s="554"/>
      <c r="AC56" s="554"/>
      <c r="AD56" s="242"/>
    </row>
    <row r="57" spans="1:30">
      <c r="A57" s="242"/>
      <c r="B57" s="563">
        <v>39468</v>
      </c>
      <c r="C57" s="563"/>
      <c r="D57" s="247"/>
      <c r="E57" s="252">
        <v>59.3</v>
      </c>
      <c r="F57" s="564">
        <v>11</v>
      </c>
      <c r="G57" s="564"/>
      <c r="H57" s="252">
        <v>350</v>
      </c>
      <c r="I57" s="564">
        <v>24</v>
      </c>
      <c r="J57" s="564"/>
      <c r="K57" s="252">
        <v>271.89999999999998</v>
      </c>
      <c r="L57" s="253">
        <v>24</v>
      </c>
      <c r="M57" s="252">
        <v>0</v>
      </c>
      <c r="N57" s="253">
        <v>0</v>
      </c>
      <c r="O57" s="254">
        <v>681.2</v>
      </c>
      <c r="P57" s="250"/>
      <c r="Q57" s="252">
        <v>0</v>
      </c>
      <c r="R57" s="253">
        <v>0</v>
      </c>
      <c r="S57" s="252">
        <v>0</v>
      </c>
      <c r="T57" s="564">
        <v>0</v>
      </c>
      <c r="U57" s="564"/>
      <c r="V57" s="252">
        <v>0</v>
      </c>
      <c r="W57" s="250"/>
      <c r="X57" s="561">
        <v>681.2</v>
      </c>
      <c r="Y57" s="561"/>
      <c r="Z57" s="250"/>
      <c r="AA57" s="255">
        <v>4315200</v>
      </c>
      <c r="AB57" s="566">
        <v>192260</v>
      </c>
      <c r="AC57" s="566"/>
      <c r="AD57" s="242"/>
    </row>
    <row r="58" spans="1:30">
      <c r="A58" s="242"/>
      <c r="B58" s="559"/>
      <c r="C58" s="559"/>
      <c r="D58" s="247"/>
      <c r="E58" s="250"/>
      <c r="F58" s="554"/>
      <c r="G58" s="554"/>
      <c r="H58" s="250"/>
      <c r="I58" s="554"/>
      <c r="J58" s="554"/>
      <c r="K58" s="250"/>
      <c r="L58" s="250"/>
      <c r="M58" s="250"/>
      <c r="N58" s="250"/>
      <c r="O58" s="250"/>
      <c r="P58" s="250"/>
      <c r="Q58" s="250"/>
      <c r="R58" s="250"/>
      <c r="S58" s="250"/>
      <c r="T58" s="554"/>
      <c r="U58" s="554"/>
      <c r="V58" s="250"/>
      <c r="W58" s="250"/>
      <c r="X58" s="554"/>
      <c r="Y58" s="554"/>
      <c r="Z58" s="250"/>
      <c r="AA58" s="250"/>
      <c r="AB58" s="554"/>
      <c r="AC58" s="554"/>
      <c r="AD58" s="242"/>
    </row>
    <row r="59" spans="1:30">
      <c r="A59" s="242"/>
      <c r="B59" s="558">
        <v>39469</v>
      </c>
      <c r="C59" s="558"/>
      <c r="D59" s="247"/>
      <c r="E59" s="256">
        <v>0</v>
      </c>
      <c r="F59" s="557">
        <v>0</v>
      </c>
      <c r="G59" s="557"/>
      <c r="H59" s="256">
        <v>364.5</v>
      </c>
      <c r="I59" s="557">
        <v>24</v>
      </c>
      <c r="J59" s="557"/>
      <c r="K59" s="256">
        <v>300.5</v>
      </c>
      <c r="L59" s="257">
        <v>24</v>
      </c>
      <c r="M59" s="256">
        <v>0</v>
      </c>
      <c r="N59" s="257">
        <v>0</v>
      </c>
      <c r="O59" s="258">
        <v>665</v>
      </c>
      <c r="P59" s="250"/>
      <c r="Q59" s="256">
        <v>0</v>
      </c>
      <c r="R59" s="257">
        <v>0</v>
      </c>
      <c r="S59" s="256">
        <v>0</v>
      </c>
      <c r="T59" s="557">
        <v>0</v>
      </c>
      <c r="U59" s="557"/>
      <c r="V59" s="256">
        <v>0</v>
      </c>
      <c r="W59" s="250"/>
      <c r="X59" s="556">
        <v>665</v>
      </c>
      <c r="Y59" s="556"/>
      <c r="Z59" s="250"/>
      <c r="AA59" s="259">
        <v>4441700</v>
      </c>
      <c r="AB59" s="565">
        <v>153016</v>
      </c>
      <c r="AC59" s="565"/>
      <c r="AD59" s="242"/>
    </row>
    <row r="60" spans="1:30">
      <c r="A60" s="242"/>
      <c r="B60" s="559"/>
      <c r="C60" s="559"/>
      <c r="D60" s="247"/>
      <c r="E60" s="250"/>
      <c r="F60" s="554"/>
      <c r="G60" s="554"/>
      <c r="H60" s="250"/>
      <c r="I60" s="554"/>
      <c r="J60" s="554"/>
      <c r="K60" s="250"/>
      <c r="L60" s="250"/>
      <c r="M60" s="250"/>
      <c r="N60" s="250"/>
      <c r="O60" s="250"/>
      <c r="P60" s="250"/>
      <c r="Q60" s="250"/>
      <c r="R60" s="250"/>
      <c r="S60" s="250"/>
      <c r="T60" s="554"/>
      <c r="U60" s="554"/>
      <c r="V60" s="250"/>
      <c r="W60" s="250"/>
      <c r="X60" s="554"/>
      <c r="Y60" s="554"/>
      <c r="Z60" s="250"/>
      <c r="AA60" s="250"/>
      <c r="AB60" s="554"/>
      <c r="AC60" s="554"/>
      <c r="AD60" s="242"/>
    </row>
    <row r="61" spans="1:30">
      <c r="A61" s="242"/>
      <c r="B61" s="563">
        <v>39470</v>
      </c>
      <c r="C61" s="563"/>
      <c r="D61" s="247"/>
      <c r="E61" s="252">
        <v>0</v>
      </c>
      <c r="F61" s="564">
        <v>0</v>
      </c>
      <c r="G61" s="564"/>
      <c r="H61" s="252">
        <v>366.2</v>
      </c>
      <c r="I61" s="564">
        <v>24</v>
      </c>
      <c r="J61" s="564"/>
      <c r="K61" s="252">
        <v>308.3</v>
      </c>
      <c r="L61" s="253">
        <v>24</v>
      </c>
      <c r="M61" s="252">
        <v>0</v>
      </c>
      <c r="N61" s="253">
        <v>0</v>
      </c>
      <c r="O61" s="254">
        <v>674.5</v>
      </c>
      <c r="P61" s="250"/>
      <c r="Q61" s="252">
        <v>0</v>
      </c>
      <c r="R61" s="253">
        <v>0</v>
      </c>
      <c r="S61" s="252">
        <v>0</v>
      </c>
      <c r="T61" s="564">
        <v>0</v>
      </c>
      <c r="U61" s="564"/>
      <c r="V61" s="252">
        <v>0</v>
      </c>
      <c r="W61" s="250"/>
      <c r="X61" s="561">
        <v>674.5</v>
      </c>
      <c r="Y61" s="561"/>
      <c r="Z61" s="250"/>
      <c r="AA61" s="255">
        <v>4462400</v>
      </c>
      <c r="AB61" s="566">
        <v>154608</v>
      </c>
      <c r="AC61" s="566"/>
      <c r="AD61" s="242"/>
    </row>
    <row r="62" spans="1:30">
      <c r="A62" s="242"/>
      <c r="B62" s="559"/>
      <c r="C62" s="559"/>
      <c r="D62" s="247"/>
      <c r="E62" s="250"/>
      <c r="F62" s="554"/>
      <c r="G62" s="554"/>
      <c r="H62" s="250"/>
      <c r="I62" s="554"/>
      <c r="J62" s="554"/>
      <c r="K62" s="250"/>
      <c r="L62" s="250"/>
      <c r="M62" s="250"/>
      <c r="N62" s="250"/>
      <c r="O62" s="250"/>
      <c r="P62" s="250"/>
      <c r="Q62" s="250"/>
      <c r="R62" s="250"/>
      <c r="S62" s="250"/>
      <c r="T62" s="554"/>
      <c r="U62" s="554"/>
      <c r="V62" s="250"/>
      <c r="W62" s="250"/>
      <c r="X62" s="554"/>
      <c r="Y62" s="554"/>
      <c r="Z62" s="250"/>
      <c r="AA62" s="250"/>
      <c r="AB62" s="554"/>
      <c r="AC62" s="554"/>
      <c r="AD62" s="242"/>
    </row>
    <row r="63" spans="1:30">
      <c r="A63" s="242"/>
      <c r="B63" s="558">
        <v>39471</v>
      </c>
      <c r="C63" s="558"/>
      <c r="D63" s="247"/>
      <c r="E63" s="256">
        <v>3.6</v>
      </c>
      <c r="F63" s="557">
        <v>1</v>
      </c>
      <c r="G63" s="557"/>
      <c r="H63" s="256">
        <v>345.1</v>
      </c>
      <c r="I63" s="557">
        <v>24</v>
      </c>
      <c r="J63" s="557"/>
      <c r="K63" s="256">
        <v>207.9</v>
      </c>
      <c r="L63" s="257">
        <v>24</v>
      </c>
      <c r="M63" s="256">
        <v>0</v>
      </c>
      <c r="N63" s="257">
        <v>0</v>
      </c>
      <c r="O63" s="258">
        <v>556.6</v>
      </c>
      <c r="P63" s="250"/>
      <c r="Q63" s="256">
        <v>0</v>
      </c>
      <c r="R63" s="257">
        <v>0</v>
      </c>
      <c r="S63" s="256">
        <v>0</v>
      </c>
      <c r="T63" s="557">
        <v>0</v>
      </c>
      <c r="U63" s="557"/>
      <c r="V63" s="256">
        <v>0</v>
      </c>
      <c r="W63" s="250"/>
      <c r="X63" s="556">
        <v>556.6</v>
      </c>
      <c r="Y63" s="556"/>
      <c r="Z63" s="250"/>
      <c r="AA63" s="259">
        <v>3052500</v>
      </c>
      <c r="AB63" s="565">
        <v>205079</v>
      </c>
      <c r="AC63" s="565"/>
      <c r="AD63" s="242"/>
    </row>
    <row r="64" spans="1:30">
      <c r="A64" s="242"/>
      <c r="B64" s="559"/>
      <c r="C64" s="559"/>
      <c r="D64" s="247"/>
      <c r="E64" s="250"/>
      <c r="F64" s="554"/>
      <c r="G64" s="554"/>
      <c r="H64" s="250"/>
      <c r="I64" s="554"/>
      <c r="J64" s="554"/>
      <c r="K64" s="250"/>
      <c r="L64" s="250"/>
      <c r="M64" s="250"/>
      <c r="N64" s="250"/>
      <c r="O64" s="250"/>
      <c r="P64" s="250"/>
      <c r="Q64" s="250"/>
      <c r="R64" s="250"/>
      <c r="S64" s="250"/>
      <c r="T64" s="554"/>
      <c r="U64" s="554"/>
      <c r="V64" s="250"/>
      <c r="W64" s="250"/>
      <c r="X64" s="554"/>
      <c r="Y64" s="554"/>
      <c r="Z64" s="250"/>
      <c r="AA64" s="250"/>
      <c r="AB64" s="554"/>
      <c r="AC64" s="554"/>
      <c r="AD64" s="242"/>
    </row>
    <row r="65" spans="1:30">
      <c r="A65" s="242"/>
      <c r="B65" s="563">
        <v>39472</v>
      </c>
      <c r="C65" s="563"/>
      <c r="D65" s="247"/>
      <c r="E65" s="252">
        <v>16.5</v>
      </c>
      <c r="F65" s="564">
        <v>2</v>
      </c>
      <c r="G65" s="564"/>
      <c r="H65" s="252">
        <v>278.7</v>
      </c>
      <c r="I65" s="564">
        <v>24</v>
      </c>
      <c r="J65" s="564"/>
      <c r="K65" s="252">
        <v>248.3</v>
      </c>
      <c r="L65" s="253">
        <v>24</v>
      </c>
      <c r="M65" s="252">
        <v>0</v>
      </c>
      <c r="N65" s="253">
        <v>0</v>
      </c>
      <c r="O65" s="254">
        <v>543.5</v>
      </c>
      <c r="P65" s="250"/>
      <c r="Q65" s="252">
        <v>0</v>
      </c>
      <c r="R65" s="253">
        <v>0</v>
      </c>
      <c r="S65" s="252">
        <v>0</v>
      </c>
      <c r="T65" s="564">
        <v>0</v>
      </c>
      <c r="U65" s="564"/>
      <c r="V65" s="252">
        <v>0</v>
      </c>
      <c r="W65" s="250"/>
      <c r="X65" s="561">
        <v>543.5</v>
      </c>
      <c r="Y65" s="561"/>
      <c r="Z65" s="250"/>
      <c r="AA65" s="255">
        <v>866400</v>
      </c>
      <c r="AB65" s="566">
        <v>254340</v>
      </c>
      <c r="AC65" s="566"/>
      <c r="AD65" s="242"/>
    </row>
    <row r="66" spans="1:30">
      <c r="A66" s="242"/>
      <c r="B66" s="559"/>
      <c r="C66" s="559"/>
      <c r="D66" s="247"/>
      <c r="E66" s="250"/>
      <c r="F66" s="554"/>
      <c r="G66" s="554"/>
      <c r="H66" s="250"/>
      <c r="I66" s="554"/>
      <c r="J66" s="554"/>
      <c r="K66" s="250"/>
      <c r="L66" s="250"/>
      <c r="M66" s="250"/>
      <c r="N66" s="250"/>
      <c r="O66" s="250"/>
      <c r="P66" s="250"/>
      <c r="Q66" s="250"/>
      <c r="R66" s="250"/>
      <c r="S66" s="250"/>
      <c r="T66" s="554"/>
      <c r="U66" s="554"/>
      <c r="V66" s="250"/>
      <c r="W66" s="250"/>
      <c r="X66" s="554"/>
      <c r="Y66" s="554"/>
      <c r="Z66" s="250"/>
      <c r="AA66" s="250"/>
      <c r="AB66" s="554"/>
      <c r="AC66" s="554"/>
      <c r="AD66" s="242"/>
    </row>
    <row r="67" spans="1:30">
      <c r="A67" s="242"/>
      <c r="B67" s="558">
        <v>39473</v>
      </c>
      <c r="C67" s="558"/>
      <c r="D67" s="247"/>
      <c r="E67" s="256">
        <v>0</v>
      </c>
      <c r="F67" s="557">
        <v>0</v>
      </c>
      <c r="G67" s="557"/>
      <c r="H67" s="256">
        <v>364.3</v>
      </c>
      <c r="I67" s="557">
        <v>24</v>
      </c>
      <c r="J67" s="557"/>
      <c r="K67" s="256">
        <v>281.8</v>
      </c>
      <c r="L67" s="257">
        <v>24</v>
      </c>
      <c r="M67" s="256">
        <v>0</v>
      </c>
      <c r="N67" s="257">
        <v>0</v>
      </c>
      <c r="O67" s="258">
        <v>646.1</v>
      </c>
      <c r="P67" s="250"/>
      <c r="Q67" s="256">
        <v>0</v>
      </c>
      <c r="R67" s="257">
        <v>0</v>
      </c>
      <c r="S67" s="256">
        <v>0</v>
      </c>
      <c r="T67" s="557">
        <v>0</v>
      </c>
      <c r="U67" s="557"/>
      <c r="V67" s="256">
        <v>0</v>
      </c>
      <c r="W67" s="250"/>
      <c r="X67" s="556">
        <v>646.1</v>
      </c>
      <c r="Y67" s="556"/>
      <c r="Z67" s="250"/>
      <c r="AA67" s="259">
        <v>4437300</v>
      </c>
      <c r="AB67" s="565">
        <v>147815</v>
      </c>
      <c r="AC67" s="565"/>
      <c r="AD67" s="242"/>
    </row>
    <row r="68" spans="1:30">
      <c r="A68" s="242"/>
      <c r="B68" s="559"/>
      <c r="C68" s="559"/>
      <c r="D68" s="247"/>
      <c r="E68" s="250"/>
      <c r="F68" s="554"/>
      <c r="G68" s="554"/>
      <c r="H68" s="250"/>
      <c r="I68" s="554"/>
      <c r="J68" s="554"/>
      <c r="K68" s="250"/>
      <c r="L68" s="250"/>
      <c r="M68" s="250"/>
      <c r="N68" s="250"/>
      <c r="O68" s="250"/>
      <c r="P68" s="250"/>
      <c r="Q68" s="250"/>
      <c r="R68" s="250"/>
      <c r="S68" s="250"/>
      <c r="T68" s="554"/>
      <c r="U68" s="554"/>
      <c r="V68" s="250"/>
      <c r="W68" s="250"/>
      <c r="X68" s="554"/>
      <c r="Y68" s="554"/>
      <c r="Z68" s="250"/>
      <c r="AA68" s="250"/>
      <c r="AB68" s="554"/>
      <c r="AC68" s="554"/>
      <c r="AD68" s="242"/>
    </row>
    <row r="69" spans="1:30">
      <c r="A69" s="242"/>
      <c r="B69" s="563">
        <v>39474</v>
      </c>
      <c r="C69" s="563"/>
      <c r="D69" s="247"/>
      <c r="E69" s="252">
        <v>0</v>
      </c>
      <c r="F69" s="564">
        <v>0</v>
      </c>
      <c r="G69" s="564"/>
      <c r="H69" s="252">
        <v>397.9</v>
      </c>
      <c r="I69" s="564">
        <v>24</v>
      </c>
      <c r="J69" s="564"/>
      <c r="K69" s="252">
        <v>310.60000000000002</v>
      </c>
      <c r="L69" s="253">
        <v>24</v>
      </c>
      <c r="M69" s="252">
        <v>0</v>
      </c>
      <c r="N69" s="253">
        <v>0</v>
      </c>
      <c r="O69" s="254">
        <v>708.5</v>
      </c>
      <c r="P69" s="250"/>
      <c r="Q69" s="252">
        <v>0</v>
      </c>
      <c r="R69" s="253">
        <v>0</v>
      </c>
      <c r="S69" s="252">
        <v>0</v>
      </c>
      <c r="T69" s="564">
        <v>0</v>
      </c>
      <c r="U69" s="564"/>
      <c r="V69" s="252">
        <v>0</v>
      </c>
      <c r="W69" s="250"/>
      <c r="X69" s="561">
        <v>708.5</v>
      </c>
      <c r="Y69" s="561"/>
      <c r="Z69" s="250"/>
      <c r="AA69" s="255">
        <v>4722600</v>
      </c>
      <c r="AB69" s="566">
        <v>156612</v>
      </c>
      <c r="AC69" s="566"/>
      <c r="AD69" s="242"/>
    </row>
    <row r="70" spans="1:30">
      <c r="A70" s="242"/>
      <c r="B70" s="559"/>
      <c r="C70" s="559"/>
      <c r="D70" s="247"/>
      <c r="E70" s="250"/>
      <c r="F70" s="554"/>
      <c r="G70" s="554"/>
      <c r="H70" s="250"/>
      <c r="I70" s="554"/>
      <c r="J70" s="554"/>
      <c r="K70" s="250"/>
      <c r="L70" s="250"/>
      <c r="M70" s="250"/>
      <c r="N70" s="250"/>
      <c r="O70" s="250"/>
      <c r="P70" s="250"/>
      <c r="Q70" s="250"/>
      <c r="R70" s="250"/>
      <c r="S70" s="250"/>
      <c r="T70" s="554"/>
      <c r="U70" s="554"/>
      <c r="V70" s="250"/>
      <c r="W70" s="250"/>
      <c r="X70" s="554"/>
      <c r="Y70" s="554"/>
      <c r="Z70" s="250"/>
      <c r="AA70" s="250"/>
      <c r="AB70" s="554"/>
      <c r="AC70" s="554"/>
      <c r="AD70" s="242"/>
    </row>
    <row r="71" spans="1:30">
      <c r="A71" s="242"/>
      <c r="B71" s="558">
        <v>39475</v>
      </c>
      <c r="C71" s="558"/>
      <c r="D71" s="247"/>
      <c r="E71" s="256">
        <v>0</v>
      </c>
      <c r="F71" s="557">
        <v>0</v>
      </c>
      <c r="G71" s="557"/>
      <c r="H71" s="256">
        <v>380.3</v>
      </c>
      <c r="I71" s="557">
        <v>24</v>
      </c>
      <c r="J71" s="557"/>
      <c r="K71" s="256">
        <v>286.10000000000002</v>
      </c>
      <c r="L71" s="257">
        <v>24</v>
      </c>
      <c r="M71" s="256">
        <v>0</v>
      </c>
      <c r="N71" s="257">
        <v>0</v>
      </c>
      <c r="O71" s="258">
        <v>666.4</v>
      </c>
      <c r="P71" s="250"/>
      <c r="Q71" s="256">
        <v>0</v>
      </c>
      <c r="R71" s="257">
        <v>0</v>
      </c>
      <c r="S71" s="256">
        <v>0</v>
      </c>
      <c r="T71" s="557">
        <v>0</v>
      </c>
      <c r="U71" s="557"/>
      <c r="V71" s="256">
        <v>0</v>
      </c>
      <c r="W71" s="250"/>
      <c r="X71" s="556">
        <v>666.4</v>
      </c>
      <c r="Y71" s="556"/>
      <c r="Z71" s="250"/>
      <c r="AA71" s="259">
        <v>4518600</v>
      </c>
      <c r="AB71" s="565">
        <v>148726</v>
      </c>
      <c r="AC71" s="565"/>
      <c r="AD71" s="242"/>
    </row>
    <row r="72" spans="1:30">
      <c r="A72" s="242"/>
      <c r="B72" s="559"/>
      <c r="C72" s="559"/>
      <c r="D72" s="247"/>
      <c r="E72" s="250"/>
      <c r="F72" s="554"/>
      <c r="G72" s="554"/>
      <c r="H72" s="250"/>
      <c r="I72" s="554"/>
      <c r="J72" s="554"/>
      <c r="K72" s="250"/>
      <c r="L72" s="250"/>
      <c r="M72" s="250"/>
      <c r="N72" s="250"/>
      <c r="O72" s="250"/>
      <c r="P72" s="250"/>
      <c r="Q72" s="250"/>
      <c r="R72" s="250"/>
      <c r="S72" s="250"/>
      <c r="T72" s="554"/>
      <c r="U72" s="554"/>
      <c r="V72" s="250"/>
      <c r="W72" s="250"/>
      <c r="X72" s="554"/>
      <c r="Y72" s="554"/>
      <c r="Z72" s="250"/>
      <c r="AA72" s="250"/>
      <c r="AB72" s="554"/>
      <c r="AC72" s="554"/>
      <c r="AD72" s="242"/>
    </row>
    <row r="73" spans="1:30">
      <c r="A73" s="242"/>
      <c r="B73" s="563">
        <v>39476</v>
      </c>
      <c r="C73" s="563"/>
      <c r="D73" s="247"/>
      <c r="E73" s="252">
        <v>0</v>
      </c>
      <c r="F73" s="564">
        <v>0</v>
      </c>
      <c r="G73" s="564"/>
      <c r="H73" s="252">
        <v>338</v>
      </c>
      <c r="I73" s="564">
        <v>24</v>
      </c>
      <c r="J73" s="564"/>
      <c r="K73" s="252">
        <v>257</v>
      </c>
      <c r="L73" s="253">
        <v>24</v>
      </c>
      <c r="M73" s="252">
        <v>0</v>
      </c>
      <c r="N73" s="253">
        <v>0</v>
      </c>
      <c r="O73" s="254">
        <v>595</v>
      </c>
      <c r="P73" s="250"/>
      <c r="Q73" s="252">
        <v>2</v>
      </c>
      <c r="R73" s="253">
        <v>1</v>
      </c>
      <c r="S73" s="252">
        <v>0</v>
      </c>
      <c r="T73" s="564">
        <v>0</v>
      </c>
      <c r="U73" s="564"/>
      <c r="V73" s="252">
        <v>2</v>
      </c>
      <c r="W73" s="250"/>
      <c r="X73" s="561">
        <v>597</v>
      </c>
      <c r="Y73" s="561"/>
      <c r="Z73" s="250"/>
      <c r="AA73" s="255">
        <v>1183300</v>
      </c>
      <c r="AB73" s="566">
        <v>252101</v>
      </c>
      <c r="AC73" s="566"/>
      <c r="AD73" s="242"/>
    </row>
    <row r="74" spans="1:30">
      <c r="A74" s="242"/>
      <c r="B74" s="559"/>
      <c r="C74" s="559"/>
      <c r="D74" s="247"/>
      <c r="E74" s="250"/>
      <c r="F74" s="554"/>
      <c r="G74" s="554"/>
      <c r="H74" s="250"/>
      <c r="I74" s="554"/>
      <c r="J74" s="554"/>
      <c r="K74" s="250"/>
      <c r="L74" s="250"/>
      <c r="M74" s="250"/>
      <c r="N74" s="250"/>
      <c r="O74" s="250"/>
      <c r="P74" s="250"/>
      <c r="Q74" s="250"/>
      <c r="R74" s="250"/>
      <c r="S74" s="250"/>
      <c r="T74" s="554"/>
      <c r="U74" s="554"/>
      <c r="V74" s="250"/>
      <c r="W74" s="250"/>
      <c r="X74" s="554"/>
      <c r="Y74" s="554"/>
      <c r="Z74" s="250"/>
      <c r="AA74" s="250"/>
      <c r="AB74" s="554"/>
      <c r="AC74" s="554"/>
      <c r="AD74" s="242"/>
    </row>
    <row r="75" spans="1:30">
      <c r="A75" s="242"/>
      <c r="B75" s="558">
        <v>39477</v>
      </c>
      <c r="C75" s="558"/>
      <c r="D75" s="247"/>
      <c r="E75" s="256">
        <v>0</v>
      </c>
      <c r="F75" s="557">
        <v>0</v>
      </c>
      <c r="G75" s="557"/>
      <c r="H75" s="256">
        <v>356</v>
      </c>
      <c r="I75" s="557">
        <v>24</v>
      </c>
      <c r="J75" s="557"/>
      <c r="K75" s="256">
        <v>270.89999999999998</v>
      </c>
      <c r="L75" s="257">
        <v>24</v>
      </c>
      <c r="M75" s="256">
        <v>0</v>
      </c>
      <c r="N75" s="257">
        <v>0</v>
      </c>
      <c r="O75" s="258">
        <v>626.9</v>
      </c>
      <c r="P75" s="250"/>
      <c r="Q75" s="256">
        <v>0</v>
      </c>
      <c r="R75" s="257">
        <v>0</v>
      </c>
      <c r="S75" s="256">
        <v>0</v>
      </c>
      <c r="T75" s="557">
        <v>0</v>
      </c>
      <c r="U75" s="557"/>
      <c r="V75" s="256">
        <v>0</v>
      </c>
      <c r="W75" s="250"/>
      <c r="X75" s="556">
        <v>626.9</v>
      </c>
      <c r="Y75" s="556"/>
      <c r="Z75" s="250"/>
      <c r="AA75" s="259">
        <v>0</v>
      </c>
      <c r="AB75" s="565">
        <v>303809</v>
      </c>
      <c r="AC75" s="565"/>
      <c r="AD75" s="242"/>
    </row>
    <row r="76" spans="1:30">
      <c r="A76" s="242"/>
      <c r="B76" s="559"/>
      <c r="C76" s="559"/>
      <c r="D76" s="247"/>
      <c r="E76" s="250"/>
      <c r="F76" s="554"/>
      <c r="G76" s="554"/>
      <c r="H76" s="250"/>
      <c r="I76" s="554"/>
      <c r="J76" s="554"/>
      <c r="K76" s="250"/>
      <c r="L76" s="250"/>
      <c r="M76" s="250"/>
      <c r="N76" s="250"/>
      <c r="O76" s="250"/>
      <c r="P76" s="250"/>
      <c r="Q76" s="250"/>
      <c r="R76" s="250"/>
      <c r="S76" s="250"/>
      <c r="T76" s="554"/>
      <c r="U76" s="554"/>
      <c r="V76" s="250"/>
      <c r="W76" s="250"/>
      <c r="X76" s="554"/>
      <c r="Y76" s="554"/>
      <c r="Z76" s="250"/>
      <c r="AA76" s="250"/>
      <c r="AB76" s="554"/>
      <c r="AC76" s="554"/>
      <c r="AD76" s="242"/>
    </row>
    <row r="77" spans="1:30">
      <c r="A77" s="242"/>
      <c r="B77" s="563">
        <v>39478</v>
      </c>
      <c r="C77" s="563"/>
      <c r="D77" s="247"/>
      <c r="E77" s="252">
        <v>0</v>
      </c>
      <c r="F77" s="564">
        <v>0</v>
      </c>
      <c r="G77" s="564"/>
      <c r="H77" s="252">
        <v>302</v>
      </c>
      <c r="I77" s="564">
        <v>24</v>
      </c>
      <c r="J77" s="564"/>
      <c r="K77" s="252">
        <v>229.8</v>
      </c>
      <c r="L77" s="253">
        <v>24</v>
      </c>
      <c r="M77" s="252">
        <v>0</v>
      </c>
      <c r="N77" s="253">
        <v>0</v>
      </c>
      <c r="O77" s="254">
        <v>531.79999999999995</v>
      </c>
      <c r="P77" s="250"/>
      <c r="Q77" s="252">
        <v>0</v>
      </c>
      <c r="R77" s="253">
        <v>0</v>
      </c>
      <c r="S77" s="252">
        <v>0</v>
      </c>
      <c r="T77" s="564">
        <v>0</v>
      </c>
      <c r="U77" s="564"/>
      <c r="V77" s="252">
        <v>0</v>
      </c>
      <c r="W77" s="250"/>
      <c r="X77" s="561">
        <v>531.79999999999995</v>
      </c>
      <c r="Y77" s="561"/>
      <c r="Z77" s="250"/>
      <c r="AA77" s="255">
        <v>0</v>
      </c>
      <c r="AB77" s="566">
        <v>277885</v>
      </c>
      <c r="AC77" s="566"/>
      <c r="AD77" s="242"/>
    </row>
    <row r="78" spans="1:30">
      <c r="A78" s="242"/>
      <c r="B78" s="559"/>
      <c r="C78" s="559"/>
      <c r="D78" s="247"/>
      <c r="E78" s="250"/>
      <c r="F78" s="554"/>
      <c r="G78" s="554"/>
      <c r="H78" s="250"/>
      <c r="I78" s="554"/>
      <c r="J78" s="554"/>
      <c r="K78" s="250"/>
      <c r="L78" s="250"/>
      <c r="M78" s="250"/>
      <c r="N78" s="250"/>
      <c r="O78" s="250"/>
      <c r="P78" s="250"/>
      <c r="Q78" s="250"/>
      <c r="R78" s="250"/>
      <c r="S78" s="250"/>
      <c r="T78" s="554"/>
      <c r="U78" s="554"/>
      <c r="V78" s="250"/>
      <c r="W78" s="250"/>
      <c r="X78" s="554"/>
      <c r="Y78" s="554"/>
      <c r="Z78" s="250"/>
      <c r="AA78" s="250"/>
      <c r="AB78" s="554"/>
      <c r="AC78" s="554"/>
      <c r="AD78" s="242"/>
    </row>
    <row r="79" spans="1:30">
      <c r="A79" s="242"/>
      <c r="B79" s="558">
        <v>39479</v>
      </c>
      <c r="C79" s="558"/>
      <c r="D79" s="247"/>
      <c r="E79" s="256">
        <v>0</v>
      </c>
      <c r="F79" s="557">
        <v>0</v>
      </c>
      <c r="G79" s="557"/>
      <c r="H79" s="256">
        <v>308</v>
      </c>
      <c r="I79" s="557">
        <v>24</v>
      </c>
      <c r="J79" s="557"/>
      <c r="K79" s="256">
        <v>220.3</v>
      </c>
      <c r="L79" s="257">
        <v>24</v>
      </c>
      <c r="M79" s="256">
        <v>0</v>
      </c>
      <c r="N79" s="257">
        <v>0</v>
      </c>
      <c r="O79" s="258">
        <v>528.29999999999995</v>
      </c>
      <c r="P79" s="250"/>
      <c r="Q79" s="256">
        <v>0</v>
      </c>
      <c r="R79" s="257">
        <v>0</v>
      </c>
      <c r="S79" s="256">
        <v>0</v>
      </c>
      <c r="T79" s="557">
        <v>0</v>
      </c>
      <c r="U79" s="557"/>
      <c r="V79" s="256">
        <v>0</v>
      </c>
      <c r="W79" s="250"/>
      <c r="X79" s="556">
        <v>528.29999999999995</v>
      </c>
      <c r="Y79" s="556"/>
      <c r="Z79" s="250"/>
      <c r="AA79" s="259">
        <v>0</v>
      </c>
      <c r="AB79" s="565">
        <v>275740</v>
      </c>
      <c r="AC79" s="565"/>
      <c r="AD79" s="242"/>
    </row>
    <row r="80" spans="1:30">
      <c r="A80" s="242"/>
      <c r="B80" s="559"/>
      <c r="C80" s="559"/>
      <c r="D80" s="247"/>
      <c r="E80" s="250"/>
      <c r="F80" s="554"/>
      <c r="G80" s="554"/>
      <c r="H80" s="250"/>
      <c r="I80" s="554"/>
      <c r="J80" s="554"/>
      <c r="K80" s="250"/>
      <c r="L80" s="250"/>
      <c r="M80" s="250"/>
      <c r="N80" s="250"/>
      <c r="O80" s="250"/>
      <c r="P80" s="250"/>
      <c r="Q80" s="250"/>
      <c r="R80" s="250"/>
      <c r="S80" s="250"/>
      <c r="T80" s="554"/>
      <c r="U80" s="554"/>
      <c r="V80" s="250"/>
      <c r="W80" s="250"/>
      <c r="X80" s="554"/>
      <c r="Y80" s="554"/>
      <c r="Z80" s="250"/>
      <c r="AA80" s="250"/>
      <c r="AB80" s="554"/>
      <c r="AC80" s="554"/>
      <c r="AD80" s="242"/>
    </row>
    <row r="81" spans="1:30">
      <c r="A81" s="242"/>
      <c r="B81" s="563">
        <v>39480</v>
      </c>
      <c r="C81" s="563"/>
      <c r="D81" s="247"/>
      <c r="E81" s="252">
        <v>0</v>
      </c>
      <c r="F81" s="564">
        <v>0</v>
      </c>
      <c r="G81" s="564"/>
      <c r="H81" s="252">
        <v>279.60000000000002</v>
      </c>
      <c r="I81" s="564">
        <v>24</v>
      </c>
      <c r="J81" s="564"/>
      <c r="K81" s="252">
        <v>130.5</v>
      </c>
      <c r="L81" s="253">
        <v>24</v>
      </c>
      <c r="M81" s="252">
        <v>0</v>
      </c>
      <c r="N81" s="253">
        <v>0</v>
      </c>
      <c r="O81" s="254">
        <v>410.1</v>
      </c>
      <c r="P81" s="250"/>
      <c r="Q81" s="252">
        <v>117</v>
      </c>
      <c r="R81" s="253">
        <v>10</v>
      </c>
      <c r="S81" s="252">
        <v>0</v>
      </c>
      <c r="T81" s="564">
        <v>0</v>
      </c>
      <c r="U81" s="564"/>
      <c r="V81" s="252">
        <v>117</v>
      </c>
      <c r="W81" s="250"/>
      <c r="X81" s="561">
        <v>527.1</v>
      </c>
      <c r="Y81" s="561"/>
      <c r="Z81" s="250"/>
      <c r="AA81" s="255">
        <v>0</v>
      </c>
      <c r="AB81" s="566">
        <v>245581</v>
      </c>
      <c r="AC81" s="566"/>
      <c r="AD81" s="242"/>
    </row>
    <row r="82" spans="1:30">
      <c r="A82" s="242"/>
      <c r="B82" s="559"/>
      <c r="C82" s="559"/>
      <c r="D82" s="247"/>
      <c r="E82" s="250"/>
      <c r="F82" s="554"/>
      <c r="G82" s="554"/>
      <c r="H82" s="250"/>
      <c r="I82" s="554"/>
      <c r="J82" s="554"/>
      <c r="K82" s="250"/>
      <c r="L82" s="250"/>
      <c r="M82" s="250"/>
      <c r="N82" s="250"/>
      <c r="O82" s="250"/>
      <c r="P82" s="250"/>
      <c r="Q82" s="250"/>
      <c r="R82" s="250"/>
      <c r="S82" s="250"/>
      <c r="T82" s="554"/>
      <c r="U82" s="554"/>
      <c r="V82" s="250"/>
      <c r="W82" s="250"/>
      <c r="X82" s="554"/>
      <c r="Y82" s="554"/>
      <c r="Z82" s="250"/>
      <c r="AA82" s="250"/>
      <c r="AB82" s="554"/>
      <c r="AC82" s="554"/>
      <c r="AD82" s="242"/>
    </row>
    <row r="83" spans="1:30">
      <c r="A83" s="242"/>
      <c r="B83" s="558">
        <v>39481</v>
      </c>
      <c r="C83" s="558"/>
      <c r="D83" s="247"/>
      <c r="E83" s="256">
        <v>126.1</v>
      </c>
      <c r="F83" s="557">
        <v>13</v>
      </c>
      <c r="G83" s="557"/>
      <c r="H83" s="256">
        <v>331.9</v>
      </c>
      <c r="I83" s="557">
        <v>24</v>
      </c>
      <c r="J83" s="557"/>
      <c r="K83" s="256">
        <v>121.6</v>
      </c>
      <c r="L83" s="257">
        <v>15</v>
      </c>
      <c r="M83" s="256">
        <v>0</v>
      </c>
      <c r="N83" s="257">
        <v>0</v>
      </c>
      <c r="O83" s="258">
        <v>579.6</v>
      </c>
      <c r="P83" s="250"/>
      <c r="Q83" s="256">
        <v>0</v>
      </c>
      <c r="R83" s="257">
        <v>0</v>
      </c>
      <c r="S83" s="256">
        <v>0</v>
      </c>
      <c r="T83" s="557">
        <v>0</v>
      </c>
      <c r="U83" s="557"/>
      <c r="V83" s="256">
        <v>0</v>
      </c>
      <c r="W83" s="250"/>
      <c r="X83" s="556">
        <v>579.6</v>
      </c>
      <c r="Y83" s="556"/>
      <c r="Z83" s="250"/>
      <c r="AA83" s="259">
        <v>0</v>
      </c>
      <c r="AB83" s="565">
        <v>295167</v>
      </c>
      <c r="AC83" s="565"/>
      <c r="AD83" s="242"/>
    </row>
    <row r="84" spans="1:30">
      <c r="A84" s="242"/>
      <c r="B84" s="559"/>
      <c r="C84" s="559"/>
      <c r="D84" s="247"/>
      <c r="E84" s="250"/>
      <c r="F84" s="554"/>
      <c r="G84" s="554"/>
      <c r="H84" s="250"/>
      <c r="I84" s="554"/>
      <c r="J84" s="554"/>
      <c r="K84" s="250"/>
      <c r="L84" s="250"/>
      <c r="M84" s="250"/>
      <c r="N84" s="250"/>
      <c r="O84" s="250"/>
      <c r="P84" s="250"/>
      <c r="Q84" s="250"/>
      <c r="R84" s="250"/>
      <c r="S84" s="250"/>
      <c r="T84" s="554"/>
      <c r="U84" s="554"/>
      <c r="V84" s="250"/>
      <c r="W84" s="250"/>
      <c r="X84" s="554"/>
      <c r="Y84" s="554"/>
      <c r="Z84" s="250"/>
      <c r="AA84" s="250"/>
      <c r="AB84" s="554"/>
      <c r="AC84" s="554"/>
      <c r="AD84" s="242"/>
    </row>
    <row r="85" spans="1:30">
      <c r="A85" s="242"/>
      <c r="B85" s="563">
        <v>39482</v>
      </c>
      <c r="C85" s="563"/>
      <c r="D85" s="247"/>
      <c r="E85" s="252">
        <v>234.7</v>
      </c>
      <c r="F85" s="564">
        <v>24</v>
      </c>
      <c r="G85" s="564"/>
      <c r="H85" s="252">
        <v>275.5</v>
      </c>
      <c r="I85" s="564">
        <v>24</v>
      </c>
      <c r="J85" s="564"/>
      <c r="K85" s="252">
        <v>0</v>
      </c>
      <c r="L85" s="253">
        <v>0</v>
      </c>
      <c r="M85" s="252">
        <v>0</v>
      </c>
      <c r="N85" s="253">
        <v>0</v>
      </c>
      <c r="O85" s="254">
        <v>510.2</v>
      </c>
      <c r="P85" s="250"/>
      <c r="Q85" s="252">
        <v>0</v>
      </c>
      <c r="R85" s="253">
        <v>0</v>
      </c>
      <c r="S85" s="252">
        <v>0</v>
      </c>
      <c r="T85" s="564">
        <v>0</v>
      </c>
      <c r="U85" s="564"/>
      <c r="V85" s="252">
        <v>0</v>
      </c>
      <c r="W85" s="250"/>
      <c r="X85" s="561">
        <v>510.2</v>
      </c>
      <c r="Y85" s="561"/>
      <c r="Z85" s="250"/>
      <c r="AA85" s="255">
        <v>0</v>
      </c>
      <c r="AB85" s="566">
        <v>270434</v>
      </c>
      <c r="AC85" s="566"/>
      <c r="AD85" s="242"/>
    </row>
    <row r="86" spans="1:30">
      <c r="A86" s="242"/>
      <c r="B86" s="559"/>
      <c r="C86" s="559"/>
      <c r="D86" s="247"/>
      <c r="E86" s="250"/>
      <c r="F86" s="554"/>
      <c r="G86" s="554"/>
      <c r="H86" s="250"/>
      <c r="I86" s="554"/>
      <c r="J86" s="554"/>
      <c r="K86" s="250"/>
      <c r="L86" s="250"/>
      <c r="M86" s="250"/>
      <c r="N86" s="250"/>
      <c r="O86" s="250"/>
      <c r="P86" s="250"/>
      <c r="Q86" s="250"/>
      <c r="R86" s="250"/>
      <c r="S86" s="250"/>
      <c r="T86" s="554"/>
      <c r="U86" s="554"/>
      <c r="V86" s="250"/>
      <c r="W86" s="250"/>
      <c r="X86" s="554"/>
      <c r="Y86" s="554"/>
      <c r="Z86" s="250"/>
      <c r="AA86" s="250"/>
      <c r="AB86" s="554"/>
      <c r="AC86" s="554"/>
      <c r="AD86" s="242"/>
    </row>
    <row r="87" spans="1:30">
      <c r="A87" s="242"/>
      <c r="B87" s="558">
        <v>39483</v>
      </c>
      <c r="C87" s="558"/>
      <c r="D87" s="247"/>
      <c r="E87" s="256">
        <v>239.5</v>
      </c>
      <c r="F87" s="557">
        <v>24</v>
      </c>
      <c r="G87" s="557"/>
      <c r="H87" s="256">
        <v>295.5</v>
      </c>
      <c r="I87" s="557">
        <v>24</v>
      </c>
      <c r="J87" s="557"/>
      <c r="K87" s="256">
        <v>0</v>
      </c>
      <c r="L87" s="257">
        <v>0</v>
      </c>
      <c r="M87" s="256">
        <v>0</v>
      </c>
      <c r="N87" s="257">
        <v>0</v>
      </c>
      <c r="O87" s="258">
        <v>535</v>
      </c>
      <c r="P87" s="250"/>
      <c r="Q87" s="256">
        <v>0</v>
      </c>
      <c r="R87" s="257">
        <v>0</v>
      </c>
      <c r="S87" s="256">
        <v>0</v>
      </c>
      <c r="T87" s="557">
        <v>0</v>
      </c>
      <c r="U87" s="557"/>
      <c r="V87" s="256">
        <v>0</v>
      </c>
      <c r="W87" s="250"/>
      <c r="X87" s="556">
        <v>535</v>
      </c>
      <c r="Y87" s="556"/>
      <c r="Z87" s="250"/>
      <c r="AA87" s="259">
        <v>0</v>
      </c>
      <c r="AB87" s="565">
        <v>276002</v>
      </c>
      <c r="AC87" s="565"/>
      <c r="AD87" s="242"/>
    </row>
    <row r="88" spans="1:30">
      <c r="A88" s="242"/>
      <c r="B88" s="559"/>
      <c r="C88" s="559"/>
      <c r="D88" s="247"/>
      <c r="E88" s="250"/>
      <c r="F88" s="554"/>
      <c r="G88" s="554"/>
      <c r="H88" s="250"/>
      <c r="I88" s="554"/>
      <c r="J88" s="554"/>
      <c r="K88" s="250"/>
      <c r="L88" s="250"/>
      <c r="M88" s="250"/>
      <c r="N88" s="250"/>
      <c r="O88" s="250"/>
      <c r="P88" s="250"/>
      <c r="Q88" s="250"/>
      <c r="R88" s="250"/>
      <c r="S88" s="250"/>
      <c r="T88" s="554"/>
      <c r="U88" s="554"/>
      <c r="V88" s="250"/>
      <c r="W88" s="250"/>
      <c r="X88" s="554"/>
      <c r="Y88" s="554"/>
      <c r="Z88" s="250"/>
      <c r="AA88" s="250"/>
      <c r="AB88" s="554"/>
      <c r="AC88" s="554"/>
      <c r="AD88" s="242"/>
    </row>
    <row r="89" spans="1:30">
      <c r="A89" s="242"/>
      <c r="B89" s="563">
        <v>39484</v>
      </c>
      <c r="C89" s="563"/>
      <c r="D89" s="247"/>
      <c r="E89" s="252">
        <v>279.8</v>
      </c>
      <c r="F89" s="564">
        <v>24</v>
      </c>
      <c r="G89" s="564"/>
      <c r="H89" s="252">
        <v>332.1</v>
      </c>
      <c r="I89" s="564">
        <v>24</v>
      </c>
      <c r="J89" s="564"/>
      <c r="K89" s="252">
        <v>0</v>
      </c>
      <c r="L89" s="253">
        <v>0</v>
      </c>
      <c r="M89" s="252">
        <v>0</v>
      </c>
      <c r="N89" s="253">
        <v>0</v>
      </c>
      <c r="O89" s="254">
        <v>611.9</v>
      </c>
      <c r="P89" s="250"/>
      <c r="Q89" s="252">
        <v>0</v>
      </c>
      <c r="R89" s="253">
        <v>0</v>
      </c>
      <c r="S89" s="252">
        <v>0</v>
      </c>
      <c r="T89" s="564">
        <v>0</v>
      </c>
      <c r="U89" s="564"/>
      <c r="V89" s="252">
        <v>0</v>
      </c>
      <c r="W89" s="250"/>
      <c r="X89" s="561">
        <v>611.9</v>
      </c>
      <c r="Y89" s="561"/>
      <c r="Z89" s="250"/>
      <c r="AA89" s="255">
        <v>0</v>
      </c>
      <c r="AB89" s="566">
        <v>298647</v>
      </c>
      <c r="AC89" s="566"/>
      <c r="AD89" s="242"/>
    </row>
    <row r="90" spans="1:30">
      <c r="A90" s="242"/>
      <c r="B90" s="559"/>
      <c r="C90" s="559"/>
      <c r="D90" s="247"/>
      <c r="E90" s="250"/>
      <c r="F90" s="554"/>
      <c r="G90" s="554"/>
      <c r="H90" s="250"/>
      <c r="I90" s="554"/>
      <c r="J90" s="554"/>
      <c r="K90" s="250"/>
      <c r="L90" s="250"/>
      <c r="M90" s="250"/>
      <c r="N90" s="250"/>
      <c r="O90" s="250"/>
      <c r="P90" s="250"/>
      <c r="Q90" s="250"/>
      <c r="R90" s="250"/>
      <c r="S90" s="250"/>
      <c r="T90" s="554"/>
      <c r="U90" s="554"/>
      <c r="V90" s="250"/>
      <c r="W90" s="250"/>
      <c r="X90" s="554"/>
      <c r="Y90" s="554"/>
      <c r="Z90" s="250"/>
      <c r="AA90" s="250"/>
      <c r="AB90" s="554"/>
      <c r="AC90" s="554"/>
      <c r="AD90" s="242"/>
    </row>
    <row r="91" spans="1:30">
      <c r="A91" s="242"/>
      <c r="B91" s="558">
        <v>39485</v>
      </c>
      <c r="C91" s="558"/>
      <c r="D91" s="247"/>
      <c r="E91" s="256">
        <v>274.10000000000002</v>
      </c>
      <c r="F91" s="557">
        <v>24</v>
      </c>
      <c r="G91" s="557"/>
      <c r="H91" s="256">
        <v>275.60000000000002</v>
      </c>
      <c r="I91" s="557">
        <v>24</v>
      </c>
      <c r="J91" s="557"/>
      <c r="K91" s="256">
        <v>0</v>
      </c>
      <c r="L91" s="257">
        <v>0</v>
      </c>
      <c r="M91" s="256">
        <v>0</v>
      </c>
      <c r="N91" s="257">
        <v>0</v>
      </c>
      <c r="O91" s="258">
        <v>549.70000000000005</v>
      </c>
      <c r="P91" s="250"/>
      <c r="Q91" s="256">
        <v>0</v>
      </c>
      <c r="R91" s="257">
        <v>0</v>
      </c>
      <c r="S91" s="256">
        <v>1</v>
      </c>
      <c r="T91" s="557">
        <v>0</v>
      </c>
      <c r="U91" s="557"/>
      <c r="V91" s="256">
        <v>1</v>
      </c>
      <c r="W91" s="250"/>
      <c r="X91" s="556">
        <v>550.70000000000005</v>
      </c>
      <c r="Y91" s="556"/>
      <c r="Z91" s="250"/>
      <c r="AA91" s="259">
        <v>2338300</v>
      </c>
      <c r="AB91" s="565">
        <v>197023</v>
      </c>
      <c r="AC91" s="565"/>
      <c r="AD91" s="242"/>
    </row>
    <row r="92" spans="1:30">
      <c r="A92" s="242"/>
      <c r="B92" s="559"/>
      <c r="C92" s="559"/>
      <c r="D92" s="247"/>
      <c r="E92" s="250"/>
      <c r="F92" s="554"/>
      <c r="G92" s="554"/>
      <c r="H92" s="250"/>
      <c r="I92" s="554"/>
      <c r="J92" s="554"/>
      <c r="K92" s="250"/>
      <c r="L92" s="250"/>
      <c r="M92" s="250"/>
      <c r="N92" s="250"/>
      <c r="O92" s="250"/>
      <c r="P92" s="250"/>
      <c r="Q92" s="250"/>
      <c r="R92" s="250"/>
      <c r="S92" s="250"/>
      <c r="T92" s="554"/>
      <c r="U92" s="554"/>
      <c r="V92" s="250"/>
      <c r="W92" s="250"/>
      <c r="X92" s="554"/>
      <c r="Y92" s="554"/>
      <c r="Z92" s="250"/>
      <c r="AA92" s="250"/>
      <c r="AB92" s="554"/>
      <c r="AC92" s="554"/>
      <c r="AD92" s="242"/>
    </row>
    <row r="93" spans="1:30">
      <c r="A93" s="242"/>
      <c r="B93" s="563">
        <v>39486</v>
      </c>
      <c r="C93" s="563"/>
      <c r="D93" s="247"/>
      <c r="E93" s="252">
        <v>310.10000000000002</v>
      </c>
      <c r="F93" s="564">
        <v>24</v>
      </c>
      <c r="G93" s="564"/>
      <c r="H93" s="252">
        <v>299.8</v>
      </c>
      <c r="I93" s="564">
        <v>24</v>
      </c>
      <c r="J93" s="564"/>
      <c r="K93" s="252">
        <v>0</v>
      </c>
      <c r="L93" s="253">
        <v>0</v>
      </c>
      <c r="M93" s="252">
        <v>0</v>
      </c>
      <c r="N93" s="253">
        <v>0</v>
      </c>
      <c r="O93" s="254">
        <v>609.9</v>
      </c>
      <c r="P93" s="250"/>
      <c r="Q93" s="252">
        <v>0</v>
      </c>
      <c r="R93" s="253">
        <v>0</v>
      </c>
      <c r="S93" s="252">
        <v>0</v>
      </c>
      <c r="T93" s="564">
        <v>0</v>
      </c>
      <c r="U93" s="564"/>
      <c r="V93" s="252">
        <v>0</v>
      </c>
      <c r="W93" s="250"/>
      <c r="X93" s="561">
        <v>609.9</v>
      </c>
      <c r="Y93" s="561"/>
      <c r="Z93" s="250"/>
      <c r="AA93" s="255">
        <v>4258800</v>
      </c>
      <c r="AB93" s="566">
        <v>145869</v>
      </c>
      <c r="AC93" s="566"/>
      <c r="AD93" s="242"/>
    </row>
    <row r="94" spans="1:30">
      <c r="A94" s="242"/>
      <c r="B94" s="559"/>
      <c r="C94" s="559"/>
      <c r="D94" s="247"/>
      <c r="E94" s="250"/>
      <c r="F94" s="554"/>
      <c r="G94" s="554"/>
      <c r="H94" s="250"/>
      <c r="I94" s="554"/>
      <c r="J94" s="554"/>
      <c r="K94" s="250"/>
      <c r="L94" s="250"/>
      <c r="M94" s="250"/>
      <c r="N94" s="250"/>
      <c r="O94" s="250"/>
      <c r="P94" s="250"/>
      <c r="Q94" s="250"/>
      <c r="R94" s="250"/>
      <c r="S94" s="250"/>
      <c r="T94" s="554"/>
      <c r="U94" s="554"/>
      <c r="V94" s="250"/>
      <c r="W94" s="250"/>
      <c r="X94" s="554"/>
      <c r="Y94" s="554"/>
      <c r="Z94" s="250"/>
      <c r="AA94" s="250"/>
      <c r="AB94" s="554"/>
      <c r="AC94" s="554"/>
      <c r="AD94" s="242"/>
    </row>
    <row r="95" spans="1:30">
      <c r="A95" s="242"/>
      <c r="B95" s="558">
        <v>39487</v>
      </c>
      <c r="C95" s="558"/>
      <c r="D95" s="247"/>
      <c r="E95" s="256">
        <v>282.3</v>
      </c>
      <c r="F95" s="557">
        <v>22</v>
      </c>
      <c r="G95" s="557"/>
      <c r="H95" s="256">
        <v>276.89999999999998</v>
      </c>
      <c r="I95" s="557">
        <v>23</v>
      </c>
      <c r="J95" s="557"/>
      <c r="K95" s="256">
        <v>0</v>
      </c>
      <c r="L95" s="257">
        <v>0</v>
      </c>
      <c r="M95" s="256">
        <v>0</v>
      </c>
      <c r="N95" s="257">
        <v>0</v>
      </c>
      <c r="O95" s="258">
        <v>559.20000000000005</v>
      </c>
      <c r="P95" s="250"/>
      <c r="Q95" s="256">
        <v>36</v>
      </c>
      <c r="R95" s="257">
        <v>4</v>
      </c>
      <c r="S95" s="256">
        <v>0</v>
      </c>
      <c r="T95" s="557">
        <v>0</v>
      </c>
      <c r="U95" s="557"/>
      <c r="V95" s="256">
        <v>36</v>
      </c>
      <c r="W95" s="250"/>
      <c r="X95" s="556">
        <v>595.20000000000005</v>
      </c>
      <c r="Y95" s="556"/>
      <c r="Z95" s="250"/>
      <c r="AA95" s="259">
        <v>3593100</v>
      </c>
      <c r="AB95" s="565">
        <v>149984</v>
      </c>
      <c r="AC95" s="565"/>
      <c r="AD95" s="242"/>
    </row>
    <row r="96" spans="1:30">
      <c r="A96" s="242"/>
      <c r="B96" s="559"/>
      <c r="C96" s="559"/>
      <c r="D96" s="247"/>
      <c r="E96" s="250"/>
      <c r="F96" s="554"/>
      <c r="G96" s="554"/>
      <c r="H96" s="250"/>
      <c r="I96" s="554"/>
      <c r="J96" s="554"/>
      <c r="K96" s="250"/>
      <c r="L96" s="250"/>
      <c r="M96" s="250"/>
      <c r="N96" s="250"/>
      <c r="O96" s="250"/>
      <c r="P96" s="250"/>
      <c r="Q96" s="250"/>
      <c r="R96" s="250"/>
      <c r="S96" s="250"/>
      <c r="T96" s="554"/>
      <c r="U96" s="554"/>
      <c r="V96" s="250"/>
      <c r="W96" s="250"/>
      <c r="X96" s="554"/>
      <c r="Y96" s="554"/>
      <c r="Z96" s="250"/>
      <c r="AA96" s="250"/>
      <c r="AB96" s="554"/>
      <c r="AC96" s="554"/>
      <c r="AD96" s="242"/>
    </row>
    <row r="97" spans="1:30">
      <c r="A97" s="242"/>
      <c r="B97" s="563">
        <v>39488</v>
      </c>
      <c r="C97" s="563"/>
      <c r="D97" s="247"/>
      <c r="E97" s="252">
        <v>111.2</v>
      </c>
      <c r="F97" s="564">
        <v>11</v>
      </c>
      <c r="G97" s="564"/>
      <c r="H97" s="252">
        <v>198.6</v>
      </c>
      <c r="I97" s="564">
        <v>19</v>
      </c>
      <c r="J97" s="564"/>
      <c r="K97" s="252">
        <v>0</v>
      </c>
      <c r="L97" s="253">
        <v>0</v>
      </c>
      <c r="M97" s="252">
        <v>0</v>
      </c>
      <c r="N97" s="253">
        <v>2</v>
      </c>
      <c r="O97" s="254">
        <v>309.8</v>
      </c>
      <c r="P97" s="250"/>
      <c r="Q97" s="252">
        <v>156</v>
      </c>
      <c r="R97" s="253">
        <v>13</v>
      </c>
      <c r="S97" s="252">
        <v>0</v>
      </c>
      <c r="T97" s="564">
        <v>0</v>
      </c>
      <c r="U97" s="564"/>
      <c r="V97" s="252">
        <v>156</v>
      </c>
      <c r="W97" s="250"/>
      <c r="X97" s="561">
        <v>465.8</v>
      </c>
      <c r="Y97" s="561"/>
      <c r="Z97" s="250"/>
      <c r="AA97" s="255">
        <v>2113500</v>
      </c>
      <c r="AB97" s="566">
        <v>91044</v>
      </c>
      <c r="AC97" s="566"/>
      <c r="AD97" s="242"/>
    </row>
    <row r="98" spans="1:30">
      <c r="A98" s="242"/>
      <c r="B98" s="559"/>
      <c r="C98" s="559"/>
      <c r="D98" s="247"/>
      <c r="E98" s="250"/>
      <c r="F98" s="554"/>
      <c r="G98" s="554"/>
      <c r="H98" s="250"/>
      <c r="I98" s="554"/>
      <c r="J98" s="554"/>
      <c r="K98" s="250"/>
      <c r="L98" s="250"/>
      <c r="M98" s="250"/>
      <c r="N98" s="250"/>
      <c r="O98" s="250"/>
      <c r="P98" s="250"/>
      <c r="Q98" s="250"/>
      <c r="R98" s="250"/>
      <c r="S98" s="250"/>
      <c r="T98" s="554"/>
      <c r="U98" s="554"/>
      <c r="V98" s="250"/>
      <c r="W98" s="250"/>
      <c r="X98" s="554"/>
      <c r="Y98" s="554"/>
      <c r="Z98" s="250"/>
      <c r="AA98" s="250"/>
      <c r="AB98" s="554"/>
      <c r="AC98" s="554"/>
      <c r="AD98" s="242"/>
    </row>
    <row r="99" spans="1:30">
      <c r="A99" s="242"/>
      <c r="B99" s="558">
        <v>39489</v>
      </c>
      <c r="C99" s="558"/>
      <c r="D99" s="247"/>
      <c r="E99" s="256">
        <v>280.39999999999998</v>
      </c>
      <c r="F99" s="557">
        <v>24</v>
      </c>
      <c r="G99" s="557"/>
      <c r="H99" s="256">
        <v>317.10000000000002</v>
      </c>
      <c r="I99" s="557">
        <v>24</v>
      </c>
      <c r="J99" s="557"/>
      <c r="K99" s="256">
        <v>0</v>
      </c>
      <c r="L99" s="257">
        <v>0</v>
      </c>
      <c r="M99" s="256">
        <v>0</v>
      </c>
      <c r="N99" s="257">
        <v>0</v>
      </c>
      <c r="O99" s="258">
        <v>597.5</v>
      </c>
      <c r="P99" s="250"/>
      <c r="Q99" s="256">
        <v>0</v>
      </c>
      <c r="R99" s="257">
        <v>0</v>
      </c>
      <c r="S99" s="256">
        <v>0</v>
      </c>
      <c r="T99" s="557">
        <v>0</v>
      </c>
      <c r="U99" s="557"/>
      <c r="V99" s="256">
        <v>0</v>
      </c>
      <c r="W99" s="250"/>
      <c r="X99" s="556">
        <v>597.5</v>
      </c>
      <c r="Y99" s="556"/>
      <c r="Z99" s="250"/>
      <c r="AA99" s="259">
        <v>0</v>
      </c>
      <c r="AB99" s="565">
        <v>352252</v>
      </c>
      <c r="AC99" s="565"/>
      <c r="AD99" s="242"/>
    </row>
    <row r="100" spans="1:30">
      <c r="A100" s="242"/>
      <c r="B100" s="559"/>
      <c r="C100" s="559"/>
      <c r="D100" s="247"/>
      <c r="E100" s="250"/>
      <c r="F100" s="554"/>
      <c r="G100" s="554"/>
      <c r="H100" s="250"/>
      <c r="I100" s="554"/>
      <c r="J100" s="554"/>
      <c r="K100" s="250"/>
      <c r="L100" s="250"/>
      <c r="M100" s="250"/>
      <c r="N100" s="250"/>
      <c r="O100" s="250"/>
      <c r="P100" s="250"/>
      <c r="Q100" s="250"/>
      <c r="R100" s="250"/>
      <c r="S100" s="250"/>
      <c r="T100" s="554"/>
      <c r="U100" s="554"/>
      <c r="V100" s="250"/>
      <c r="W100" s="250"/>
      <c r="X100" s="554"/>
      <c r="Y100" s="554"/>
      <c r="Z100" s="250"/>
      <c r="AA100" s="250"/>
      <c r="AB100" s="554"/>
      <c r="AC100" s="554"/>
      <c r="AD100" s="242"/>
    </row>
    <row r="101" spans="1:30">
      <c r="A101" s="242"/>
      <c r="B101" s="563">
        <v>39490</v>
      </c>
      <c r="C101" s="563"/>
      <c r="D101" s="247"/>
      <c r="E101" s="252">
        <v>170.5</v>
      </c>
      <c r="F101" s="564">
        <v>18</v>
      </c>
      <c r="G101" s="564"/>
      <c r="H101" s="252">
        <v>286.10000000000002</v>
      </c>
      <c r="I101" s="564">
        <v>24</v>
      </c>
      <c r="J101" s="564"/>
      <c r="K101" s="252">
        <v>0</v>
      </c>
      <c r="L101" s="253">
        <v>0</v>
      </c>
      <c r="M101" s="252">
        <v>0</v>
      </c>
      <c r="N101" s="253">
        <v>0</v>
      </c>
      <c r="O101" s="254">
        <v>456.6</v>
      </c>
      <c r="P101" s="250"/>
      <c r="Q101" s="252">
        <v>102</v>
      </c>
      <c r="R101" s="253">
        <v>8</v>
      </c>
      <c r="S101" s="252">
        <v>0</v>
      </c>
      <c r="T101" s="564">
        <v>0</v>
      </c>
      <c r="U101" s="564"/>
      <c r="V101" s="252">
        <v>102</v>
      </c>
      <c r="W101" s="250"/>
      <c r="X101" s="561">
        <v>558.6</v>
      </c>
      <c r="Y101" s="561"/>
      <c r="Z101" s="250"/>
      <c r="AA101" s="255">
        <v>0</v>
      </c>
      <c r="AB101" s="566">
        <v>279174</v>
      </c>
      <c r="AC101" s="566"/>
      <c r="AD101" s="242"/>
    </row>
    <row r="102" spans="1:30">
      <c r="A102" s="242"/>
      <c r="B102" s="559"/>
      <c r="C102" s="559"/>
      <c r="D102" s="247"/>
      <c r="E102" s="250"/>
      <c r="F102" s="554"/>
      <c r="G102" s="554"/>
      <c r="H102" s="250"/>
      <c r="I102" s="554"/>
      <c r="J102" s="554"/>
      <c r="K102" s="250"/>
      <c r="L102" s="250"/>
      <c r="M102" s="250"/>
      <c r="N102" s="250"/>
      <c r="O102" s="250"/>
      <c r="P102" s="250"/>
      <c r="Q102" s="250"/>
      <c r="R102" s="250"/>
      <c r="S102" s="250"/>
      <c r="T102" s="554"/>
      <c r="U102" s="554"/>
      <c r="V102" s="250"/>
      <c r="W102" s="250"/>
      <c r="X102" s="554"/>
      <c r="Y102" s="554"/>
      <c r="Z102" s="250"/>
      <c r="AA102" s="250"/>
      <c r="AB102" s="554"/>
      <c r="AC102" s="554"/>
      <c r="AD102" s="242"/>
    </row>
    <row r="103" spans="1:30">
      <c r="A103" s="242"/>
      <c r="B103" s="558">
        <v>39491</v>
      </c>
      <c r="C103" s="558"/>
      <c r="D103" s="247"/>
      <c r="E103" s="256">
        <v>265.89999999999998</v>
      </c>
      <c r="F103" s="557">
        <v>24</v>
      </c>
      <c r="G103" s="557"/>
      <c r="H103" s="256">
        <v>316.39999999999998</v>
      </c>
      <c r="I103" s="557">
        <v>24</v>
      </c>
      <c r="J103" s="557"/>
      <c r="K103" s="256">
        <v>0</v>
      </c>
      <c r="L103" s="257">
        <v>0</v>
      </c>
      <c r="M103" s="256">
        <v>0</v>
      </c>
      <c r="N103" s="257">
        <v>5</v>
      </c>
      <c r="O103" s="258">
        <v>582.29999999999995</v>
      </c>
      <c r="P103" s="250"/>
      <c r="Q103" s="256">
        <v>0</v>
      </c>
      <c r="R103" s="257">
        <v>0</v>
      </c>
      <c r="S103" s="256">
        <v>0</v>
      </c>
      <c r="T103" s="557">
        <v>0</v>
      </c>
      <c r="U103" s="557"/>
      <c r="V103" s="256">
        <v>0</v>
      </c>
      <c r="W103" s="250"/>
      <c r="X103" s="556">
        <v>582.29999999999995</v>
      </c>
      <c r="Y103" s="556"/>
      <c r="Z103" s="250"/>
      <c r="AA103" s="259">
        <v>433638</v>
      </c>
      <c r="AB103" s="565">
        <v>289047</v>
      </c>
      <c r="AC103" s="565"/>
      <c r="AD103" s="242"/>
    </row>
    <row r="104" spans="1:30">
      <c r="A104" s="242"/>
      <c r="B104" s="559"/>
      <c r="C104" s="559"/>
      <c r="D104" s="247"/>
      <c r="E104" s="250"/>
      <c r="F104" s="554"/>
      <c r="G104" s="554"/>
      <c r="H104" s="250"/>
      <c r="I104" s="554"/>
      <c r="J104" s="554"/>
      <c r="K104" s="250"/>
      <c r="L104" s="250"/>
      <c r="M104" s="250"/>
      <c r="N104" s="250"/>
      <c r="O104" s="250"/>
      <c r="P104" s="250"/>
      <c r="Q104" s="250"/>
      <c r="R104" s="250"/>
      <c r="S104" s="250"/>
      <c r="T104" s="554"/>
      <c r="U104" s="554"/>
      <c r="V104" s="250"/>
      <c r="W104" s="250"/>
      <c r="X104" s="554"/>
      <c r="Y104" s="554"/>
      <c r="Z104" s="250"/>
      <c r="AA104" s="250"/>
      <c r="AB104" s="554"/>
      <c r="AC104" s="554"/>
      <c r="AD104" s="242"/>
    </row>
    <row r="105" spans="1:30">
      <c r="A105" s="242"/>
      <c r="B105" s="563">
        <v>39492</v>
      </c>
      <c r="C105" s="563"/>
      <c r="D105" s="247"/>
      <c r="E105" s="252">
        <v>237.9</v>
      </c>
      <c r="F105" s="564">
        <v>24</v>
      </c>
      <c r="G105" s="564"/>
      <c r="H105" s="252">
        <v>276.5</v>
      </c>
      <c r="I105" s="564">
        <v>24</v>
      </c>
      <c r="J105" s="564"/>
      <c r="K105" s="252">
        <v>0</v>
      </c>
      <c r="L105" s="253">
        <v>0</v>
      </c>
      <c r="M105" s="252">
        <v>84</v>
      </c>
      <c r="N105" s="253">
        <v>24</v>
      </c>
      <c r="O105" s="254">
        <v>598.4</v>
      </c>
      <c r="P105" s="250"/>
      <c r="Q105" s="252">
        <v>0</v>
      </c>
      <c r="R105" s="253">
        <v>0</v>
      </c>
      <c r="S105" s="252">
        <v>0</v>
      </c>
      <c r="T105" s="564">
        <v>0</v>
      </c>
      <c r="U105" s="564"/>
      <c r="V105" s="252">
        <v>0</v>
      </c>
      <c r="W105" s="250"/>
      <c r="X105" s="561">
        <v>598.4</v>
      </c>
      <c r="Y105" s="561"/>
      <c r="Z105" s="250"/>
      <c r="AA105" s="255">
        <v>2317714</v>
      </c>
      <c r="AB105" s="566">
        <v>272742</v>
      </c>
      <c r="AC105" s="566"/>
      <c r="AD105" s="242"/>
    </row>
    <row r="106" spans="1:30">
      <c r="A106" s="242"/>
      <c r="B106" s="559"/>
      <c r="C106" s="559"/>
      <c r="D106" s="247"/>
      <c r="E106" s="250"/>
      <c r="F106" s="554"/>
      <c r="G106" s="554"/>
      <c r="H106" s="250"/>
      <c r="I106" s="554"/>
      <c r="J106" s="554"/>
      <c r="K106" s="250"/>
      <c r="L106" s="250"/>
      <c r="M106" s="250"/>
      <c r="N106" s="250"/>
      <c r="O106" s="250"/>
      <c r="P106" s="250"/>
      <c r="Q106" s="250"/>
      <c r="R106" s="250"/>
      <c r="S106" s="250"/>
      <c r="T106" s="554"/>
      <c r="U106" s="554"/>
      <c r="V106" s="250"/>
      <c r="W106" s="250"/>
      <c r="X106" s="554"/>
      <c r="Y106" s="554"/>
      <c r="Z106" s="250"/>
      <c r="AA106" s="250"/>
      <c r="AB106" s="554"/>
      <c r="AC106" s="554"/>
      <c r="AD106" s="242"/>
    </row>
    <row r="107" spans="1:30">
      <c r="A107" s="242"/>
      <c r="B107" s="558">
        <v>39493</v>
      </c>
      <c r="C107" s="558"/>
      <c r="D107" s="247"/>
      <c r="E107" s="256">
        <v>205.7</v>
      </c>
      <c r="F107" s="557">
        <v>24</v>
      </c>
      <c r="G107" s="557"/>
      <c r="H107" s="256">
        <v>243</v>
      </c>
      <c r="I107" s="557">
        <v>24</v>
      </c>
      <c r="J107" s="557"/>
      <c r="K107" s="256">
        <v>0</v>
      </c>
      <c r="L107" s="257">
        <v>0</v>
      </c>
      <c r="M107" s="256">
        <v>183</v>
      </c>
      <c r="N107" s="257">
        <v>16</v>
      </c>
      <c r="O107" s="258">
        <v>631.70000000000005</v>
      </c>
      <c r="P107" s="250"/>
      <c r="Q107" s="256">
        <v>0</v>
      </c>
      <c r="R107" s="257">
        <v>0</v>
      </c>
      <c r="S107" s="256">
        <v>0</v>
      </c>
      <c r="T107" s="557">
        <v>0</v>
      </c>
      <c r="U107" s="557"/>
      <c r="V107" s="256">
        <v>0</v>
      </c>
      <c r="W107" s="250"/>
      <c r="X107" s="556">
        <v>631.70000000000005</v>
      </c>
      <c r="Y107" s="556"/>
      <c r="Z107" s="250"/>
      <c r="AA107" s="259">
        <v>2405900</v>
      </c>
      <c r="AB107" s="565">
        <v>252820</v>
      </c>
      <c r="AC107" s="565"/>
      <c r="AD107" s="242"/>
    </row>
    <row r="108" spans="1:30">
      <c r="A108" s="242"/>
      <c r="B108" s="559"/>
      <c r="C108" s="559"/>
      <c r="D108" s="247"/>
      <c r="E108" s="250"/>
      <c r="F108" s="554"/>
      <c r="G108" s="554"/>
      <c r="H108" s="250"/>
      <c r="I108" s="554"/>
      <c r="J108" s="554"/>
      <c r="K108" s="250"/>
      <c r="L108" s="250"/>
      <c r="M108" s="250"/>
      <c r="N108" s="250"/>
      <c r="O108" s="250"/>
      <c r="P108" s="250"/>
      <c r="Q108" s="250"/>
      <c r="R108" s="250"/>
      <c r="S108" s="250"/>
      <c r="T108" s="554"/>
      <c r="U108" s="554"/>
      <c r="V108" s="250"/>
      <c r="W108" s="250"/>
      <c r="X108" s="554"/>
      <c r="Y108" s="554"/>
      <c r="Z108" s="250"/>
      <c r="AA108" s="250"/>
      <c r="AB108" s="554"/>
      <c r="AC108" s="554"/>
      <c r="AD108" s="242"/>
    </row>
    <row r="109" spans="1:30">
      <c r="A109" s="242"/>
      <c r="B109" s="563">
        <v>39494</v>
      </c>
      <c r="C109" s="563"/>
      <c r="D109" s="247"/>
      <c r="E109" s="252">
        <v>265.5</v>
      </c>
      <c r="F109" s="564">
        <v>24</v>
      </c>
      <c r="G109" s="564"/>
      <c r="H109" s="252">
        <v>313.5</v>
      </c>
      <c r="I109" s="564">
        <v>24</v>
      </c>
      <c r="J109" s="564"/>
      <c r="K109" s="252">
        <v>0</v>
      </c>
      <c r="L109" s="253">
        <v>0</v>
      </c>
      <c r="M109" s="252">
        <v>1</v>
      </c>
      <c r="N109" s="253">
        <v>1</v>
      </c>
      <c r="O109" s="254">
        <v>580</v>
      </c>
      <c r="P109" s="250"/>
      <c r="Q109" s="252">
        <v>26</v>
      </c>
      <c r="R109" s="253">
        <v>7</v>
      </c>
      <c r="S109" s="252">
        <v>0</v>
      </c>
      <c r="T109" s="564">
        <v>0</v>
      </c>
      <c r="U109" s="564"/>
      <c r="V109" s="252">
        <v>26</v>
      </c>
      <c r="W109" s="250"/>
      <c r="X109" s="561">
        <v>606</v>
      </c>
      <c r="Y109" s="561"/>
      <c r="Z109" s="250"/>
      <c r="AA109" s="255">
        <v>42900</v>
      </c>
      <c r="AB109" s="566">
        <v>290693</v>
      </c>
      <c r="AC109" s="566"/>
      <c r="AD109" s="242"/>
    </row>
    <row r="110" spans="1:30">
      <c r="A110" s="242"/>
      <c r="B110" s="559"/>
      <c r="C110" s="559"/>
      <c r="D110" s="247"/>
      <c r="E110" s="250"/>
      <c r="F110" s="554"/>
      <c r="G110" s="554"/>
      <c r="H110" s="250"/>
      <c r="I110" s="554"/>
      <c r="J110" s="554"/>
      <c r="K110" s="250"/>
      <c r="L110" s="250"/>
      <c r="M110" s="250"/>
      <c r="N110" s="250"/>
      <c r="O110" s="250"/>
      <c r="P110" s="250"/>
      <c r="Q110" s="250"/>
      <c r="R110" s="250"/>
      <c r="S110" s="250"/>
      <c r="T110" s="554"/>
      <c r="U110" s="554"/>
      <c r="V110" s="250"/>
      <c r="W110" s="250"/>
      <c r="X110" s="554"/>
      <c r="Y110" s="554"/>
      <c r="Z110" s="250"/>
      <c r="AA110" s="250"/>
      <c r="AB110" s="554"/>
      <c r="AC110" s="554"/>
      <c r="AD110" s="242"/>
    </row>
    <row r="111" spans="1:30">
      <c r="A111" s="242"/>
      <c r="B111" s="558">
        <v>39495</v>
      </c>
      <c r="C111" s="558"/>
      <c r="D111" s="247"/>
      <c r="E111" s="256">
        <v>272.3</v>
      </c>
      <c r="F111" s="557">
        <v>24</v>
      </c>
      <c r="G111" s="557"/>
      <c r="H111" s="256">
        <v>325.10000000000002</v>
      </c>
      <c r="I111" s="557">
        <v>24</v>
      </c>
      <c r="J111" s="557"/>
      <c r="K111" s="256">
        <v>0</v>
      </c>
      <c r="L111" s="257">
        <v>0</v>
      </c>
      <c r="M111" s="256">
        <v>0</v>
      </c>
      <c r="N111" s="257">
        <v>0</v>
      </c>
      <c r="O111" s="258">
        <v>597.4</v>
      </c>
      <c r="P111" s="250"/>
      <c r="Q111" s="256">
        <v>0</v>
      </c>
      <c r="R111" s="257">
        <v>0</v>
      </c>
      <c r="S111" s="256">
        <v>0</v>
      </c>
      <c r="T111" s="557">
        <v>0</v>
      </c>
      <c r="U111" s="557"/>
      <c r="V111" s="256">
        <v>0</v>
      </c>
      <c r="W111" s="250"/>
      <c r="X111" s="556">
        <v>597.4</v>
      </c>
      <c r="Y111" s="556"/>
      <c r="Z111" s="250"/>
      <c r="AA111" s="259">
        <v>0</v>
      </c>
      <c r="AB111" s="565">
        <v>295361</v>
      </c>
      <c r="AC111" s="565"/>
      <c r="AD111" s="242"/>
    </row>
    <row r="112" spans="1:30">
      <c r="A112" s="242"/>
      <c r="B112" s="559"/>
      <c r="C112" s="559"/>
      <c r="D112" s="247"/>
      <c r="E112" s="250"/>
      <c r="F112" s="554"/>
      <c r="G112" s="554"/>
      <c r="H112" s="250"/>
      <c r="I112" s="554"/>
      <c r="J112" s="554"/>
      <c r="K112" s="250"/>
      <c r="L112" s="250"/>
      <c r="M112" s="250"/>
      <c r="N112" s="250"/>
      <c r="O112" s="250"/>
      <c r="P112" s="250"/>
      <c r="Q112" s="250"/>
      <c r="R112" s="250"/>
      <c r="S112" s="250"/>
      <c r="T112" s="554"/>
      <c r="U112" s="554"/>
      <c r="V112" s="250"/>
      <c r="W112" s="250"/>
      <c r="X112" s="554"/>
      <c r="Y112" s="554"/>
      <c r="Z112" s="250"/>
      <c r="AA112" s="250"/>
      <c r="AB112" s="554"/>
      <c r="AC112" s="554"/>
      <c r="AD112" s="242"/>
    </row>
    <row r="113" spans="1:30">
      <c r="A113" s="242"/>
      <c r="B113" s="563">
        <v>39496</v>
      </c>
      <c r="C113" s="563"/>
      <c r="D113" s="247"/>
      <c r="E113" s="252">
        <v>250.2</v>
      </c>
      <c r="F113" s="564">
        <v>24</v>
      </c>
      <c r="G113" s="564"/>
      <c r="H113" s="252">
        <v>285.89999999999998</v>
      </c>
      <c r="I113" s="564">
        <v>24</v>
      </c>
      <c r="J113" s="564"/>
      <c r="K113" s="252">
        <v>0</v>
      </c>
      <c r="L113" s="253">
        <v>0</v>
      </c>
      <c r="M113" s="252">
        <v>0</v>
      </c>
      <c r="N113" s="253">
        <v>0</v>
      </c>
      <c r="O113" s="254">
        <v>536.1</v>
      </c>
      <c r="P113" s="250"/>
      <c r="Q113" s="252">
        <v>0</v>
      </c>
      <c r="R113" s="253">
        <v>0</v>
      </c>
      <c r="S113" s="252">
        <v>0</v>
      </c>
      <c r="T113" s="564">
        <v>0</v>
      </c>
      <c r="U113" s="564"/>
      <c r="V113" s="252">
        <v>0</v>
      </c>
      <c r="W113" s="250"/>
      <c r="X113" s="561">
        <v>536.1</v>
      </c>
      <c r="Y113" s="561"/>
      <c r="Z113" s="250"/>
      <c r="AA113" s="255">
        <v>0</v>
      </c>
      <c r="AB113" s="566">
        <v>276867</v>
      </c>
      <c r="AC113" s="566"/>
      <c r="AD113" s="242"/>
    </row>
    <row r="114" spans="1:30">
      <c r="A114" s="242"/>
      <c r="B114" s="559"/>
      <c r="C114" s="559"/>
      <c r="D114" s="247"/>
      <c r="E114" s="250"/>
      <c r="F114" s="554"/>
      <c r="G114" s="554"/>
      <c r="H114" s="250"/>
      <c r="I114" s="554"/>
      <c r="J114" s="554"/>
      <c r="K114" s="250"/>
      <c r="L114" s="250"/>
      <c r="M114" s="250"/>
      <c r="N114" s="250"/>
      <c r="O114" s="250"/>
      <c r="P114" s="250"/>
      <c r="Q114" s="250"/>
      <c r="R114" s="250"/>
      <c r="S114" s="250"/>
      <c r="T114" s="554"/>
      <c r="U114" s="554"/>
      <c r="V114" s="250"/>
      <c r="W114" s="250"/>
      <c r="X114" s="554"/>
      <c r="Y114" s="554"/>
      <c r="Z114" s="250"/>
      <c r="AA114" s="250"/>
      <c r="AB114" s="554"/>
      <c r="AC114" s="554"/>
      <c r="AD114" s="242"/>
    </row>
    <row r="115" spans="1:30">
      <c r="A115" s="242"/>
      <c r="B115" s="558">
        <v>39497</v>
      </c>
      <c r="C115" s="558"/>
      <c r="D115" s="247"/>
      <c r="E115" s="256">
        <v>248.9</v>
      </c>
      <c r="F115" s="557">
        <v>24</v>
      </c>
      <c r="G115" s="557"/>
      <c r="H115" s="256">
        <v>288</v>
      </c>
      <c r="I115" s="557">
        <v>24</v>
      </c>
      <c r="J115" s="557"/>
      <c r="K115" s="256">
        <v>0</v>
      </c>
      <c r="L115" s="257">
        <v>0</v>
      </c>
      <c r="M115" s="256">
        <v>0</v>
      </c>
      <c r="N115" s="257">
        <v>0</v>
      </c>
      <c r="O115" s="258">
        <v>536.9</v>
      </c>
      <c r="P115" s="250"/>
      <c r="Q115" s="256">
        <v>0</v>
      </c>
      <c r="R115" s="257">
        <v>0</v>
      </c>
      <c r="S115" s="256">
        <v>0</v>
      </c>
      <c r="T115" s="557">
        <v>0</v>
      </c>
      <c r="U115" s="557"/>
      <c r="V115" s="256">
        <v>0</v>
      </c>
      <c r="W115" s="250"/>
      <c r="X115" s="556">
        <v>536.9</v>
      </c>
      <c r="Y115" s="556"/>
      <c r="Z115" s="250"/>
      <c r="AA115" s="259">
        <v>0</v>
      </c>
      <c r="AB115" s="565">
        <v>278026</v>
      </c>
      <c r="AC115" s="565"/>
      <c r="AD115" s="242"/>
    </row>
    <row r="116" spans="1:30">
      <c r="A116" s="242"/>
      <c r="B116" s="559"/>
      <c r="C116" s="559"/>
      <c r="D116" s="247"/>
      <c r="E116" s="250"/>
      <c r="F116" s="554"/>
      <c r="G116" s="554"/>
      <c r="H116" s="250"/>
      <c r="I116" s="554"/>
      <c r="J116" s="554"/>
      <c r="K116" s="250"/>
      <c r="L116" s="250"/>
      <c r="M116" s="250"/>
      <c r="N116" s="250"/>
      <c r="O116" s="250"/>
      <c r="P116" s="250"/>
      <c r="Q116" s="250"/>
      <c r="R116" s="250"/>
      <c r="S116" s="250"/>
      <c r="T116" s="554"/>
      <c r="U116" s="554"/>
      <c r="V116" s="250"/>
      <c r="W116" s="250"/>
      <c r="X116" s="554"/>
      <c r="Y116" s="554"/>
      <c r="Z116" s="250"/>
      <c r="AA116" s="250"/>
      <c r="AB116" s="554"/>
      <c r="AC116" s="554"/>
      <c r="AD116" s="242"/>
    </row>
    <row r="117" spans="1:30">
      <c r="A117" s="242"/>
      <c r="B117" s="563">
        <v>39498</v>
      </c>
      <c r="C117" s="563"/>
      <c r="D117" s="247"/>
      <c r="E117" s="252">
        <v>209.6</v>
      </c>
      <c r="F117" s="564">
        <v>24</v>
      </c>
      <c r="G117" s="564"/>
      <c r="H117" s="252">
        <v>246.1</v>
      </c>
      <c r="I117" s="564">
        <v>24</v>
      </c>
      <c r="J117" s="564"/>
      <c r="K117" s="252">
        <v>0</v>
      </c>
      <c r="L117" s="253">
        <v>0</v>
      </c>
      <c r="M117" s="252">
        <v>105</v>
      </c>
      <c r="N117" s="253">
        <v>13</v>
      </c>
      <c r="O117" s="254">
        <v>560.70000000000005</v>
      </c>
      <c r="P117" s="250"/>
      <c r="Q117" s="252">
        <v>0</v>
      </c>
      <c r="R117" s="253">
        <v>0</v>
      </c>
      <c r="S117" s="252">
        <v>0</v>
      </c>
      <c r="T117" s="564">
        <v>0</v>
      </c>
      <c r="U117" s="564"/>
      <c r="V117" s="252">
        <v>0</v>
      </c>
      <c r="W117" s="250"/>
      <c r="X117" s="561">
        <v>560.70000000000005</v>
      </c>
      <c r="Y117" s="561"/>
      <c r="Z117" s="250"/>
      <c r="AA117" s="255">
        <v>1174100</v>
      </c>
      <c r="AB117" s="566">
        <v>268189</v>
      </c>
      <c r="AC117" s="566"/>
      <c r="AD117" s="242"/>
    </row>
    <row r="118" spans="1:30">
      <c r="A118" s="242"/>
      <c r="B118" s="559"/>
      <c r="C118" s="559"/>
      <c r="D118" s="247"/>
      <c r="E118" s="250"/>
      <c r="F118" s="554"/>
      <c r="G118" s="554"/>
      <c r="H118" s="250"/>
      <c r="I118" s="554"/>
      <c r="J118" s="554"/>
      <c r="K118" s="250"/>
      <c r="L118" s="250"/>
      <c r="M118" s="250"/>
      <c r="N118" s="250"/>
      <c r="O118" s="250"/>
      <c r="P118" s="250"/>
      <c r="Q118" s="250"/>
      <c r="R118" s="250"/>
      <c r="S118" s="250"/>
      <c r="T118" s="554"/>
      <c r="U118" s="554"/>
      <c r="V118" s="250"/>
      <c r="W118" s="250"/>
      <c r="X118" s="554"/>
      <c r="Y118" s="554"/>
      <c r="Z118" s="250"/>
      <c r="AA118" s="250"/>
      <c r="AB118" s="554"/>
      <c r="AC118" s="554"/>
      <c r="AD118" s="242"/>
    </row>
    <row r="119" spans="1:30">
      <c r="A119" s="242"/>
      <c r="B119" s="558">
        <v>39499</v>
      </c>
      <c r="C119" s="558"/>
      <c r="D119" s="247"/>
      <c r="E119" s="256">
        <v>137.1</v>
      </c>
      <c r="F119" s="557">
        <v>24</v>
      </c>
      <c r="G119" s="557"/>
      <c r="H119" s="256">
        <v>213.7</v>
      </c>
      <c r="I119" s="557">
        <v>24</v>
      </c>
      <c r="J119" s="557"/>
      <c r="K119" s="256">
        <v>0</v>
      </c>
      <c r="L119" s="257">
        <v>0</v>
      </c>
      <c r="M119" s="256">
        <v>126</v>
      </c>
      <c r="N119" s="257">
        <v>17</v>
      </c>
      <c r="O119" s="258">
        <v>476.8</v>
      </c>
      <c r="P119" s="250"/>
      <c r="Q119" s="256">
        <v>0</v>
      </c>
      <c r="R119" s="257">
        <v>0</v>
      </c>
      <c r="S119" s="256">
        <v>0</v>
      </c>
      <c r="T119" s="557">
        <v>0</v>
      </c>
      <c r="U119" s="557"/>
      <c r="V119" s="256">
        <v>0</v>
      </c>
      <c r="W119" s="250"/>
      <c r="X119" s="556">
        <v>476.8</v>
      </c>
      <c r="Y119" s="556"/>
      <c r="Z119" s="250"/>
      <c r="AA119" s="259">
        <v>4623900</v>
      </c>
      <c r="AB119" s="565">
        <v>163058</v>
      </c>
      <c r="AC119" s="565"/>
      <c r="AD119" s="242"/>
    </row>
    <row r="120" spans="1:30">
      <c r="A120" s="242"/>
      <c r="B120" s="559"/>
      <c r="C120" s="559"/>
      <c r="D120" s="247"/>
      <c r="E120" s="250"/>
      <c r="F120" s="554"/>
      <c r="G120" s="554"/>
      <c r="H120" s="250"/>
      <c r="I120" s="554"/>
      <c r="J120" s="554"/>
      <c r="K120" s="250"/>
      <c r="L120" s="250"/>
      <c r="M120" s="250"/>
      <c r="N120" s="250"/>
      <c r="O120" s="250"/>
      <c r="P120" s="250"/>
      <c r="Q120" s="250"/>
      <c r="R120" s="250"/>
      <c r="S120" s="250"/>
      <c r="T120" s="554"/>
      <c r="U120" s="554"/>
      <c r="V120" s="250"/>
      <c r="W120" s="250"/>
      <c r="X120" s="554"/>
      <c r="Y120" s="554"/>
      <c r="Z120" s="250"/>
      <c r="AA120" s="250"/>
      <c r="AB120" s="554"/>
      <c r="AC120" s="554"/>
      <c r="AD120" s="242"/>
    </row>
    <row r="121" spans="1:30">
      <c r="A121" s="242"/>
      <c r="B121" s="563">
        <v>39500</v>
      </c>
      <c r="C121" s="563"/>
      <c r="D121" s="247"/>
      <c r="E121" s="252">
        <v>296.3</v>
      </c>
      <c r="F121" s="564">
        <v>24</v>
      </c>
      <c r="G121" s="564"/>
      <c r="H121" s="252">
        <v>249.2</v>
      </c>
      <c r="I121" s="564">
        <v>24</v>
      </c>
      <c r="J121" s="564"/>
      <c r="K121" s="252">
        <v>0</v>
      </c>
      <c r="L121" s="253">
        <v>0</v>
      </c>
      <c r="M121" s="252">
        <v>0</v>
      </c>
      <c r="N121" s="253">
        <v>0</v>
      </c>
      <c r="O121" s="254">
        <v>545.5</v>
      </c>
      <c r="P121" s="250"/>
      <c r="Q121" s="252">
        <v>0</v>
      </c>
      <c r="R121" s="253">
        <v>0</v>
      </c>
      <c r="S121" s="252">
        <v>0</v>
      </c>
      <c r="T121" s="564">
        <v>0</v>
      </c>
      <c r="U121" s="564"/>
      <c r="V121" s="252">
        <v>0</v>
      </c>
      <c r="W121" s="250"/>
      <c r="X121" s="561">
        <v>545.5</v>
      </c>
      <c r="Y121" s="561"/>
      <c r="Z121" s="250"/>
      <c r="AA121" s="255">
        <v>4147700</v>
      </c>
      <c r="AB121" s="566">
        <v>131444</v>
      </c>
      <c r="AC121" s="566"/>
      <c r="AD121" s="242"/>
    </row>
    <row r="122" spans="1:30">
      <c r="A122" s="242"/>
      <c r="B122" s="559"/>
      <c r="C122" s="559"/>
      <c r="D122" s="247"/>
      <c r="E122" s="250"/>
      <c r="F122" s="554"/>
      <c r="G122" s="554"/>
      <c r="H122" s="250"/>
      <c r="I122" s="554"/>
      <c r="J122" s="554"/>
      <c r="K122" s="250"/>
      <c r="L122" s="250"/>
      <c r="M122" s="250"/>
      <c r="N122" s="250"/>
      <c r="O122" s="250"/>
      <c r="P122" s="250"/>
      <c r="Q122" s="250"/>
      <c r="R122" s="250"/>
      <c r="S122" s="250"/>
      <c r="T122" s="554"/>
      <c r="U122" s="554"/>
      <c r="V122" s="250"/>
      <c r="W122" s="250"/>
      <c r="X122" s="554"/>
      <c r="Y122" s="554"/>
      <c r="Z122" s="250"/>
      <c r="AA122" s="250"/>
      <c r="AB122" s="554"/>
      <c r="AC122" s="554"/>
      <c r="AD122" s="242"/>
    </row>
    <row r="123" spans="1:30">
      <c r="A123" s="242"/>
      <c r="B123" s="558">
        <v>39501</v>
      </c>
      <c r="C123" s="558"/>
      <c r="D123" s="247"/>
      <c r="E123" s="256">
        <v>293.8</v>
      </c>
      <c r="F123" s="557">
        <v>24</v>
      </c>
      <c r="G123" s="557"/>
      <c r="H123" s="256">
        <v>294.60000000000002</v>
      </c>
      <c r="I123" s="557">
        <v>24</v>
      </c>
      <c r="J123" s="557"/>
      <c r="K123" s="256">
        <v>0</v>
      </c>
      <c r="L123" s="257">
        <v>0</v>
      </c>
      <c r="M123" s="256">
        <v>0</v>
      </c>
      <c r="N123" s="257">
        <v>0</v>
      </c>
      <c r="O123" s="258">
        <v>588.4</v>
      </c>
      <c r="P123" s="250"/>
      <c r="Q123" s="256">
        <v>0</v>
      </c>
      <c r="R123" s="257">
        <v>0</v>
      </c>
      <c r="S123" s="256">
        <v>0</v>
      </c>
      <c r="T123" s="557">
        <v>0</v>
      </c>
      <c r="U123" s="557"/>
      <c r="V123" s="256">
        <v>0</v>
      </c>
      <c r="W123" s="250"/>
      <c r="X123" s="556">
        <v>588.4</v>
      </c>
      <c r="Y123" s="556"/>
      <c r="Z123" s="250"/>
      <c r="AA123" s="259">
        <v>4109900</v>
      </c>
      <c r="AB123" s="565">
        <v>143513</v>
      </c>
      <c r="AC123" s="565"/>
      <c r="AD123" s="242"/>
    </row>
    <row r="124" spans="1:30">
      <c r="A124" s="242"/>
      <c r="B124" s="559"/>
      <c r="C124" s="559"/>
      <c r="D124" s="247"/>
      <c r="E124" s="250"/>
      <c r="F124" s="554"/>
      <c r="G124" s="554"/>
      <c r="H124" s="250"/>
      <c r="I124" s="554"/>
      <c r="J124" s="554"/>
      <c r="K124" s="250"/>
      <c r="L124" s="250"/>
      <c r="M124" s="250"/>
      <c r="N124" s="250"/>
      <c r="O124" s="250"/>
      <c r="P124" s="250"/>
      <c r="Q124" s="250"/>
      <c r="R124" s="250"/>
      <c r="S124" s="250"/>
      <c r="T124" s="554"/>
      <c r="U124" s="554"/>
      <c r="V124" s="250"/>
      <c r="W124" s="250"/>
      <c r="X124" s="554"/>
      <c r="Y124" s="554"/>
      <c r="Z124" s="250"/>
      <c r="AA124" s="250"/>
      <c r="AB124" s="554"/>
      <c r="AC124" s="554"/>
      <c r="AD124" s="242"/>
    </row>
    <row r="125" spans="1:30">
      <c r="A125" s="242"/>
      <c r="B125" s="563">
        <v>39502</v>
      </c>
      <c r="C125" s="563"/>
      <c r="D125" s="247"/>
      <c r="E125" s="252">
        <v>306.7</v>
      </c>
      <c r="F125" s="564">
        <v>24</v>
      </c>
      <c r="G125" s="564"/>
      <c r="H125" s="252">
        <v>316.60000000000002</v>
      </c>
      <c r="I125" s="564">
        <v>24</v>
      </c>
      <c r="J125" s="564"/>
      <c r="K125" s="252">
        <v>0</v>
      </c>
      <c r="L125" s="253">
        <v>0</v>
      </c>
      <c r="M125" s="252">
        <v>0</v>
      </c>
      <c r="N125" s="253">
        <v>0</v>
      </c>
      <c r="O125" s="254">
        <v>623.29999999999995</v>
      </c>
      <c r="P125" s="250"/>
      <c r="Q125" s="252">
        <v>0</v>
      </c>
      <c r="R125" s="253">
        <v>0</v>
      </c>
      <c r="S125" s="252">
        <v>0</v>
      </c>
      <c r="T125" s="564">
        <v>0</v>
      </c>
      <c r="U125" s="564"/>
      <c r="V125" s="252">
        <v>0</v>
      </c>
      <c r="W125" s="250"/>
      <c r="X125" s="561">
        <v>623.29999999999995</v>
      </c>
      <c r="Y125" s="561"/>
      <c r="Z125" s="250"/>
      <c r="AA125" s="255">
        <v>4222400</v>
      </c>
      <c r="AB125" s="566">
        <v>147822</v>
      </c>
      <c r="AC125" s="566"/>
      <c r="AD125" s="242"/>
    </row>
    <row r="126" spans="1:30">
      <c r="A126" s="242"/>
      <c r="B126" s="559"/>
      <c r="C126" s="559"/>
      <c r="D126" s="247"/>
      <c r="E126" s="250"/>
      <c r="F126" s="554"/>
      <c r="G126" s="554"/>
      <c r="H126" s="250"/>
      <c r="I126" s="554"/>
      <c r="J126" s="554"/>
      <c r="K126" s="250"/>
      <c r="L126" s="250"/>
      <c r="M126" s="250"/>
      <c r="N126" s="250"/>
      <c r="O126" s="250"/>
      <c r="P126" s="250"/>
      <c r="Q126" s="250"/>
      <c r="R126" s="250"/>
      <c r="S126" s="250"/>
      <c r="T126" s="554"/>
      <c r="U126" s="554"/>
      <c r="V126" s="250"/>
      <c r="W126" s="250"/>
      <c r="X126" s="554"/>
      <c r="Y126" s="554"/>
      <c r="Z126" s="250"/>
      <c r="AA126" s="250"/>
      <c r="AB126" s="554"/>
      <c r="AC126" s="554"/>
      <c r="AD126" s="242"/>
    </row>
    <row r="127" spans="1:30">
      <c r="A127" s="242"/>
      <c r="B127" s="558">
        <v>39503</v>
      </c>
      <c r="C127" s="558"/>
      <c r="D127" s="247"/>
      <c r="E127" s="256">
        <v>300</v>
      </c>
      <c r="F127" s="557">
        <v>24</v>
      </c>
      <c r="G127" s="557"/>
      <c r="H127" s="256">
        <v>317.3</v>
      </c>
      <c r="I127" s="557">
        <v>24</v>
      </c>
      <c r="J127" s="557"/>
      <c r="K127" s="256">
        <v>0</v>
      </c>
      <c r="L127" s="257">
        <v>0</v>
      </c>
      <c r="M127" s="256">
        <v>0</v>
      </c>
      <c r="N127" s="257">
        <v>0</v>
      </c>
      <c r="O127" s="258">
        <v>617.29999999999995</v>
      </c>
      <c r="P127" s="250"/>
      <c r="Q127" s="256">
        <v>0</v>
      </c>
      <c r="R127" s="257">
        <v>0</v>
      </c>
      <c r="S127" s="256">
        <v>0</v>
      </c>
      <c r="T127" s="557">
        <v>0</v>
      </c>
      <c r="U127" s="557"/>
      <c r="V127" s="256">
        <v>0</v>
      </c>
      <c r="W127" s="250"/>
      <c r="X127" s="556">
        <v>617.29999999999995</v>
      </c>
      <c r="Y127" s="556"/>
      <c r="Z127" s="250"/>
      <c r="AA127" s="259">
        <v>4174800</v>
      </c>
      <c r="AB127" s="565">
        <v>150666</v>
      </c>
      <c r="AC127" s="565"/>
      <c r="AD127" s="242"/>
    </row>
    <row r="128" spans="1:30">
      <c r="A128" s="242"/>
      <c r="B128" s="559"/>
      <c r="C128" s="559"/>
      <c r="D128" s="247"/>
      <c r="E128" s="250"/>
      <c r="F128" s="554"/>
      <c r="G128" s="554"/>
      <c r="H128" s="250"/>
      <c r="I128" s="554"/>
      <c r="J128" s="554"/>
      <c r="K128" s="250"/>
      <c r="L128" s="250"/>
      <c r="M128" s="250"/>
      <c r="N128" s="250"/>
      <c r="O128" s="250"/>
      <c r="P128" s="250"/>
      <c r="Q128" s="250"/>
      <c r="R128" s="250"/>
      <c r="S128" s="250"/>
      <c r="T128" s="554"/>
      <c r="U128" s="554"/>
      <c r="V128" s="250"/>
      <c r="W128" s="250"/>
      <c r="X128" s="554"/>
      <c r="Y128" s="554"/>
      <c r="Z128" s="250"/>
      <c r="AA128" s="250"/>
      <c r="AB128" s="554"/>
      <c r="AC128" s="554"/>
      <c r="AD128" s="242"/>
    </row>
    <row r="129" spans="1:30">
      <c r="A129" s="242"/>
      <c r="B129" s="563">
        <v>39504</v>
      </c>
      <c r="C129" s="563"/>
      <c r="D129" s="247"/>
      <c r="E129" s="252">
        <v>145.5</v>
      </c>
      <c r="F129" s="564">
        <v>13</v>
      </c>
      <c r="G129" s="564"/>
      <c r="H129" s="252">
        <v>253.5</v>
      </c>
      <c r="I129" s="564">
        <v>24</v>
      </c>
      <c r="J129" s="564"/>
      <c r="K129" s="252">
        <v>0</v>
      </c>
      <c r="L129" s="253">
        <v>0</v>
      </c>
      <c r="M129" s="252">
        <v>25</v>
      </c>
      <c r="N129" s="253">
        <v>9</v>
      </c>
      <c r="O129" s="254">
        <v>424</v>
      </c>
      <c r="P129" s="250"/>
      <c r="Q129" s="252">
        <v>151</v>
      </c>
      <c r="R129" s="253">
        <v>17</v>
      </c>
      <c r="S129" s="252">
        <v>0</v>
      </c>
      <c r="T129" s="564">
        <v>0</v>
      </c>
      <c r="U129" s="564"/>
      <c r="V129" s="252">
        <v>151</v>
      </c>
      <c r="W129" s="250"/>
      <c r="X129" s="561">
        <v>575</v>
      </c>
      <c r="Y129" s="561"/>
      <c r="Z129" s="250"/>
      <c r="AA129" s="255">
        <v>2749900</v>
      </c>
      <c r="AB129" s="566">
        <v>137929</v>
      </c>
      <c r="AC129" s="566"/>
      <c r="AD129" s="242"/>
    </row>
    <row r="130" spans="1:30">
      <c r="A130" s="242"/>
      <c r="B130" s="559"/>
      <c r="C130" s="559"/>
      <c r="D130" s="247"/>
      <c r="E130" s="250"/>
      <c r="F130" s="554"/>
      <c r="G130" s="554"/>
      <c r="H130" s="250"/>
      <c r="I130" s="554"/>
      <c r="J130" s="554"/>
      <c r="K130" s="250"/>
      <c r="L130" s="250"/>
      <c r="M130" s="250"/>
      <c r="N130" s="250"/>
      <c r="O130" s="250"/>
      <c r="P130" s="250"/>
      <c r="Q130" s="250"/>
      <c r="R130" s="250"/>
      <c r="S130" s="250"/>
      <c r="T130" s="554"/>
      <c r="U130" s="554"/>
      <c r="V130" s="250"/>
      <c r="W130" s="250"/>
      <c r="X130" s="554"/>
      <c r="Y130" s="554"/>
      <c r="Z130" s="250"/>
      <c r="AA130" s="250"/>
      <c r="AB130" s="554"/>
      <c r="AC130" s="554"/>
      <c r="AD130" s="242"/>
    </row>
    <row r="131" spans="1:30">
      <c r="A131" s="242"/>
      <c r="B131" s="558">
        <v>39505</v>
      </c>
      <c r="C131" s="558"/>
      <c r="D131" s="247"/>
      <c r="E131" s="256">
        <v>272.89999999999998</v>
      </c>
      <c r="F131" s="557">
        <v>24</v>
      </c>
      <c r="G131" s="557"/>
      <c r="H131" s="256">
        <v>294.10000000000002</v>
      </c>
      <c r="I131" s="557">
        <v>24</v>
      </c>
      <c r="J131" s="557"/>
      <c r="K131" s="256">
        <v>0</v>
      </c>
      <c r="L131" s="257">
        <v>0</v>
      </c>
      <c r="M131" s="256">
        <v>0</v>
      </c>
      <c r="N131" s="257">
        <v>0</v>
      </c>
      <c r="O131" s="258">
        <v>567</v>
      </c>
      <c r="P131" s="250"/>
      <c r="Q131" s="256">
        <v>0</v>
      </c>
      <c r="R131" s="257">
        <v>0</v>
      </c>
      <c r="S131" s="256">
        <v>0</v>
      </c>
      <c r="T131" s="557">
        <v>0</v>
      </c>
      <c r="U131" s="557"/>
      <c r="V131" s="256">
        <v>0</v>
      </c>
      <c r="W131" s="250"/>
      <c r="X131" s="556">
        <v>567</v>
      </c>
      <c r="Y131" s="556"/>
      <c r="Z131" s="250"/>
      <c r="AA131" s="259">
        <v>3930500</v>
      </c>
      <c r="AB131" s="565">
        <v>143534</v>
      </c>
      <c r="AC131" s="565"/>
      <c r="AD131" s="242"/>
    </row>
    <row r="132" spans="1:30">
      <c r="A132" s="242"/>
      <c r="B132" s="559"/>
      <c r="C132" s="559"/>
      <c r="D132" s="247"/>
      <c r="E132" s="250"/>
      <c r="F132" s="554"/>
      <c r="G132" s="554"/>
      <c r="H132" s="250"/>
      <c r="I132" s="554"/>
      <c r="J132" s="554"/>
      <c r="K132" s="250"/>
      <c r="L132" s="250"/>
      <c r="M132" s="250"/>
      <c r="N132" s="250"/>
      <c r="O132" s="250"/>
      <c r="P132" s="250"/>
      <c r="Q132" s="250"/>
      <c r="R132" s="250"/>
      <c r="S132" s="250"/>
      <c r="T132" s="554"/>
      <c r="U132" s="554"/>
      <c r="V132" s="250"/>
      <c r="W132" s="250"/>
      <c r="X132" s="554"/>
      <c r="Y132" s="554"/>
      <c r="Z132" s="250"/>
      <c r="AA132" s="250"/>
      <c r="AB132" s="554"/>
      <c r="AC132" s="554"/>
      <c r="AD132" s="242"/>
    </row>
    <row r="133" spans="1:30">
      <c r="A133" s="242"/>
      <c r="B133" s="563">
        <v>39506</v>
      </c>
      <c r="C133" s="563"/>
      <c r="D133" s="247"/>
      <c r="E133" s="252">
        <v>323.60000000000002</v>
      </c>
      <c r="F133" s="564">
        <v>24</v>
      </c>
      <c r="G133" s="564"/>
      <c r="H133" s="252">
        <v>277.7</v>
      </c>
      <c r="I133" s="564">
        <v>24</v>
      </c>
      <c r="J133" s="564"/>
      <c r="K133" s="252">
        <v>0</v>
      </c>
      <c r="L133" s="253">
        <v>0</v>
      </c>
      <c r="M133" s="252">
        <v>0</v>
      </c>
      <c r="N133" s="253">
        <v>0</v>
      </c>
      <c r="O133" s="254">
        <v>601.29999999999995</v>
      </c>
      <c r="P133" s="250"/>
      <c r="Q133" s="252">
        <v>0</v>
      </c>
      <c r="R133" s="253">
        <v>0</v>
      </c>
      <c r="S133" s="252">
        <v>0</v>
      </c>
      <c r="T133" s="564">
        <v>0</v>
      </c>
      <c r="U133" s="564"/>
      <c r="V133" s="252">
        <v>0</v>
      </c>
      <c r="W133" s="250"/>
      <c r="X133" s="561">
        <v>601.29999999999995</v>
      </c>
      <c r="Y133" s="561"/>
      <c r="Z133" s="250"/>
      <c r="AA133" s="255">
        <v>4350500</v>
      </c>
      <c r="AB133" s="566">
        <v>139195</v>
      </c>
      <c r="AC133" s="566"/>
      <c r="AD133" s="242"/>
    </row>
    <row r="134" spans="1:30">
      <c r="A134" s="242"/>
      <c r="B134" s="559"/>
      <c r="C134" s="559"/>
      <c r="D134" s="247"/>
      <c r="E134" s="250"/>
      <c r="F134" s="554"/>
      <c r="G134" s="554"/>
      <c r="H134" s="250"/>
      <c r="I134" s="554"/>
      <c r="J134" s="554"/>
      <c r="K134" s="250"/>
      <c r="L134" s="250"/>
      <c r="M134" s="250"/>
      <c r="N134" s="250"/>
      <c r="O134" s="250"/>
      <c r="P134" s="250"/>
      <c r="Q134" s="250"/>
      <c r="R134" s="250"/>
      <c r="S134" s="250"/>
      <c r="T134" s="554"/>
      <c r="U134" s="554"/>
      <c r="V134" s="250"/>
      <c r="W134" s="250"/>
      <c r="X134" s="554"/>
      <c r="Y134" s="554"/>
      <c r="Z134" s="250"/>
      <c r="AA134" s="250"/>
      <c r="AB134" s="554"/>
      <c r="AC134" s="554"/>
      <c r="AD134" s="242"/>
    </row>
    <row r="135" spans="1:30">
      <c r="A135" s="242"/>
      <c r="B135" s="558">
        <v>39507</v>
      </c>
      <c r="C135" s="558"/>
      <c r="D135" s="247"/>
      <c r="E135" s="256">
        <v>327.5</v>
      </c>
      <c r="F135" s="557">
        <v>24</v>
      </c>
      <c r="G135" s="557"/>
      <c r="H135" s="256">
        <v>285.7</v>
      </c>
      <c r="I135" s="557">
        <v>24</v>
      </c>
      <c r="J135" s="557"/>
      <c r="K135" s="256">
        <v>0</v>
      </c>
      <c r="L135" s="257">
        <v>0</v>
      </c>
      <c r="M135" s="256">
        <v>0</v>
      </c>
      <c r="N135" s="257">
        <v>0</v>
      </c>
      <c r="O135" s="258">
        <v>613.20000000000005</v>
      </c>
      <c r="P135" s="250"/>
      <c r="Q135" s="256">
        <v>0</v>
      </c>
      <c r="R135" s="257">
        <v>0</v>
      </c>
      <c r="S135" s="256">
        <v>0</v>
      </c>
      <c r="T135" s="557">
        <v>0</v>
      </c>
      <c r="U135" s="557"/>
      <c r="V135" s="256">
        <v>0</v>
      </c>
      <c r="W135" s="250"/>
      <c r="X135" s="556">
        <v>613.20000000000005</v>
      </c>
      <c r="Y135" s="556"/>
      <c r="Z135" s="250"/>
      <c r="AA135" s="259">
        <v>4361100</v>
      </c>
      <c r="AB135" s="565">
        <v>142116</v>
      </c>
      <c r="AC135" s="565"/>
      <c r="AD135" s="242"/>
    </row>
    <row r="136" spans="1:30">
      <c r="A136" s="242"/>
      <c r="B136" s="559"/>
      <c r="C136" s="559"/>
      <c r="D136" s="247"/>
      <c r="E136" s="250"/>
      <c r="F136" s="554"/>
      <c r="G136" s="554"/>
      <c r="H136" s="250"/>
      <c r="I136" s="554"/>
      <c r="J136" s="554"/>
      <c r="K136" s="250"/>
      <c r="L136" s="250"/>
      <c r="M136" s="250"/>
      <c r="N136" s="250"/>
      <c r="O136" s="250"/>
      <c r="P136" s="250"/>
      <c r="Q136" s="250"/>
      <c r="R136" s="250"/>
      <c r="S136" s="250"/>
      <c r="T136" s="554"/>
      <c r="U136" s="554"/>
      <c r="V136" s="250"/>
      <c r="W136" s="250"/>
      <c r="X136" s="554"/>
      <c r="Y136" s="554"/>
      <c r="Z136" s="250"/>
      <c r="AA136" s="250"/>
      <c r="AB136" s="554"/>
      <c r="AC136" s="554"/>
      <c r="AD136" s="242"/>
    </row>
    <row r="137" spans="1:30">
      <c r="A137" s="242"/>
      <c r="B137" s="563">
        <v>39508</v>
      </c>
      <c r="C137" s="563"/>
      <c r="D137" s="247"/>
      <c r="E137" s="252">
        <v>310</v>
      </c>
      <c r="F137" s="564">
        <v>24</v>
      </c>
      <c r="G137" s="564"/>
      <c r="H137" s="252">
        <v>277.3</v>
      </c>
      <c r="I137" s="564">
        <v>24</v>
      </c>
      <c r="J137" s="564"/>
      <c r="K137" s="252">
        <v>0</v>
      </c>
      <c r="L137" s="253">
        <v>0</v>
      </c>
      <c r="M137" s="252">
        <v>0</v>
      </c>
      <c r="N137" s="253">
        <v>0</v>
      </c>
      <c r="O137" s="254">
        <v>587.29999999999995</v>
      </c>
      <c r="P137" s="250"/>
      <c r="Q137" s="252">
        <v>0</v>
      </c>
      <c r="R137" s="253">
        <v>0</v>
      </c>
      <c r="S137" s="252">
        <v>0</v>
      </c>
      <c r="T137" s="564">
        <v>0</v>
      </c>
      <c r="U137" s="564"/>
      <c r="V137" s="252">
        <v>0</v>
      </c>
      <c r="W137" s="250"/>
      <c r="X137" s="561">
        <v>587.29999999999995</v>
      </c>
      <c r="Y137" s="561"/>
      <c r="Z137" s="250"/>
      <c r="AA137" s="255">
        <v>4252500</v>
      </c>
      <c r="AB137" s="566">
        <v>138540</v>
      </c>
      <c r="AC137" s="566"/>
      <c r="AD137" s="242"/>
    </row>
    <row r="138" spans="1:30">
      <c r="A138" s="242"/>
      <c r="B138" s="559"/>
      <c r="C138" s="559"/>
      <c r="D138" s="247"/>
      <c r="E138" s="250"/>
      <c r="F138" s="554"/>
      <c r="G138" s="554"/>
      <c r="H138" s="250"/>
      <c r="I138" s="554"/>
      <c r="J138" s="554"/>
      <c r="K138" s="250"/>
      <c r="L138" s="250"/>
      <c r="M138" s="250"/>
      <c r="N138" s="250"/>
      <c r="O138" s="250"/>
      <c r="P138" s="250"/>
      <c r="Q138" s="250"/>
      <c r="R138" s="250"/>
      <c r="S138" s="250"/>
      <c r="T138" s="554"/>
      <c r="U138" s="554"/>
      <c r="V138" s="250"/>
      <c r="W138" s="250"/>
      <c r="X138" s="554"/>
      <c r="Y138" s="554"/>
      <c r="Z138" s="250"/>
      <c r="AA138" s="250"/>
      <c r="AB138" s="554"/>
      <c r="AC138" s="554"/>
      <c r="AD138" s="242"/>
    </row>
    <row r="139" spans="1:30">
      <c r="A139" s="242"/>
      <c r="B139" s="558">
        <v>39509</v>
      </c>
      <c r="C139" s="558"/>
      <c r="D139" s="247"/>
      <c r="E139" s="256">
        <v>291.7</v>
      </c>
      <c r="F139" s="557">
        <v>24</v>
      </c>
      <c r="G139" s="557"/>
      <c r="H139" s="256">
        <v>245.5</v>
      </c>
      <c r="I139" s="557">
        <v>24</v>
      </c>
      <c r="J139" s="557"/>
      <c r="K139" s="256">
        <v>0</v>
      </c>
      <c r="L139" s="257">
        <v>0</v>
      </c>
      <c r="M139" s="256">
        <v>6</v>
      </c>
      <c r="N139" s="257">
        <v>6</v>
      </c>
      <c r="O139" s="258">
        <v>543.20000000000005</v>
      </c>
      <c r="P139" s="250"/>
      <c r="Q139" s="256">
        <v>0</v>
      </c>
      <c r="R139" s="257">
        <v>0</v>
      </c>
      <c r="S139" s="256">
        <v>0</v>
      </c>
      <c r="T139" s="557">
        <v>0</v>
      </c>
      <c r="U139" s="557"/>
      <c r="V139" s="256">
        <v>0</v>
      </c>
      <c r="W139" s="250"/>
      <c r="X139" s="556">
        <v>543.20000000000005</v>
      </c>
      <c r="Y139" s="556"/>
      <c r="Z139" s="250"/>
      <c r="AA139" s="259">
        <v>4084400</v>
      </c>
      <c r="AB139" s="565">
        <v>145988</v>
      </c>
      <c r="AC139" s="565"/>
      <c r="AD139" s="242"/>
    </row>
    <row r="140" spans="1:30">
      <c r="A140" s="242"/>
      <c r="B140" s="559"/>
      <c r="C140" s="559"/>
      <c r="D140" s="247"/>
      <c r="E140" s="250"/>
      <c r="F140" s="554"/>
      <c r="G140" s="554"/>
      <c r="H140" s="250"/>
      <c r="I140" s="554"/>
      <c r="J140" s="554"/>
      <c r="K140" s="250"/>
      <c r="L140" s="250"/>
      <c r="M140" s="250"/>
      <c r="N140" s="250"/>
      <c r="O140" s="250"/>
      <c r="P140" s="250"/>
      <c r="Q140" s="250"/>
      <c r="R140" s="250"/>
      <c r="S140" s="250"/>
      <c r="T140" s="554"/>
      <c r="U140" s="554"/>
      <c r="V140" s="250"/>
      <c r="W140" s="250"/>
      <c r="X140" s="554"/>
      <c r="Y140" s="554"/>
      <c r="Z140" s="250"/>
      <c r="AA140" s="250"/>
      <c r="AB140" s="554"/>
      <c r="AC140" s="554"/>
      <c r="AD140" s="242"/>
    </row>
    <row r="141" spans="1:30">
      <c r="A141" s="242"/>
      <c r="B141" s="563">
        <v>39510</v>
      </c>
      <c r="C141" s="563"/>
      <c r="D141" s="247"/>
      <c r="E141" s="252">
        <v>263.8</v>
      </c>
      <c r="F141" s="564">
        <v>24</v>
      </c>
      <c r="G141" s="564"/>
      <c r="H141" s="252">
        <v>170.2</v>
      </c>
      <c r="I141" s="564">
        <v>24</v>
      </c>
      <c r="J141" s="564"/>
      <c r="K141" s="252">
        <v>0</v>
      </c>
      <c r="L141" s="253">
        <v>0</v>
      </c>
      <c r="M141" s="252">
        <v>0</v>
      </c>
      <c r="N141" s="253">
        <v>0</v>
      </c>
      <c r="O141" s="254">
        <v>434</v>
      </c>
      <c r="P141" s="250"/>
      <c r="Q141" s="252">
        <v>0</v>
      </c>
      <c r="R141" s="253">
        <v>0</v>
      </c>
      <c r="S141" s="252">
        <v>0</v>
      </c>
      <c r="T141" s="564">
        <v>0</v>
      </c>
      <c r="U141" s="564"/>
      <c r="V141" s="252">
        <v>0</v>
      </c>
      <c r="W141" s="250"/>
      <c r="X141" s="561">
        <v>434</v>
      </c>
      <c r="Y141" s="561"/>
      <c r="Z141" s="250"/>
      <c r="AA141" s="255">
        <v>3864100</v>
      </c>
      <c r="AB141" s="566">
        <v>110951</v>
      </c>
      <c r="AC141" s="566"/>
      <c r="AD141" s="242"/>
    </row>
    <row r="142" spans="1:30">
      <c r="A142" s="242"/>
      <c r="B142" s="559"/>
      <c r="C142" s="559"/>
      <c r="D142" s="247"/>
      <c r="E142" s="250"/>
      <c r="F142" s="554"/>
      <c r="G142" s="554"/>
      <c r="H142" s="250"/>
      <c r="I142" s="554"/>
      <c r="J142" s="554"/>
      <c r="K142" s="250"/>
      <c r="L142" s="250"/>
      <c r="M142" s="250"/>
      <c r="N142" s="250"/>
      <c r="O142" s="250"/>
      <c r="P142" s="250"/>
      <c r="Q142" s="250"/>
      <c r="R142" s="250"/>
      <c r="S142" s="250"/>
      <c r="T142" s="554"/>
      <c r="U142" s="554"/>
      <c r="V142" s="250"/>
      <c r="W142" s="250"/>
      <c r="X142" s="554"/>
      <c r="Y142" s="554"/>
      <c r="Z142" s="250"/>
      <c r="AA142" s="250"/>
      <c r="AB142" s="554"/>
      <c r="AC142" s="554"/>
      <c r="AD142" s="242"/>
    </row>
    <row r="143" spans="1:30">
      <c r="A143" s="242"/>
      <c r="B143" s="558">
        <v>39511</v>
      </c>
      <c r="C143" s="558"/>
      <c r="D143" s="247"/>
      <c r="E143" s="256">
        <v>262.5</v>
      </c>
      <c r="F143" s="557">
        <v>24</v>
      </c>
      <c r="G143" s="557"/>
      <c r="H143" s="256">
        <v>188.5</v>
      </c>
      <c r="I143" s="557">
        <v>24</v>
      </c>
      <c r="J143" s="557"/>
      <c r="K143" s="256">
        <v>0</v>
      </c>
      <c r="L143" s="257">
        <v>0</v>
      </c>
      <c r="M143" s="256">
        <v>0</v>
      </c>
      <c r="N143" s="257">
        <v>0</v>
      </c>
      <c r="O143" s="258">
        <v>451</v>
      </c>
      <c r="P143" s="250"/>
      <c r="Q143" s="256">
        <v>0</v>
      </c>
      <c r="R143" s="257">
        <v>0</v>
      </c>
      <c r="S143" s="256">
        <v>0</v>
      </c>
      <c r="T143" s="557">
        <v>0</v>
      </c>
      <c r="U143" s="557"/>
      <c r="V143" s="256">
        <v>0</v>
      </c>
      <c r="W143" s="250"/>
      <c r="X143" s="556">
        <v>451</v>
      </c>
      <c r="Y143" s="556"/>
      <c r="Z143" s="250"/>
      <c r="AA143" s="259">
        <v>3811500</v>
      </c>
      <c r="AB143" s="565">
        <v>113515</v>
      </c>
      <c r="AC143" s="565"/>
      <c r="AD143" s="242"/>
    </row>
    <row r="144" spans="1:30">
      <c r="A144" s="242"/>
      <c r="B144" s="559"/>
      <c r="C144" s="559"/>
      <c r="D144" s="247"/>
      <c r="E144" s="250"/>
      <c r="F144" s="554"/>
      <c r="G144" s="554"/>
      <c r="H144" s="250"/>
      <c r="I144" s="554"/>
      <c r="J144" s="554"/>
      <c r="K144" s="250"/>
      <c r="L144" s="250"/>
      <c r="M144" s="250"/>
      <c r="N144" s="250"/>
      <c r="O144" s="250"/>
      <c r="P144" s="250"/>
      <c r="Q144" s="250"/>
      <c r="R144" s="250"/>
      <c r="S144" s="250"/>
      <c r="T144" s="554"/>
      <c r="U144" s="554"/>
      <c r="V144" s="250"/>
      <c r="W144" s="250"/>
      <c r="X144" s="554"/>
      <c r="Y144" s="554"/>
      <c r="Z144" s="250"/>
      <c r="AA144" s="250"/>
      <c r="AB144" s="554"/>
      <c r="AC144" s="554"/>
      <c r="AD144" s="242"/>
    </row>
    <row r="145" spans="1:30">
      <c r="A145" s="242"/>
      <c r="B145" s="563">
        <v>39512</v>
      </c>
      <c r="C145" s="563"/>
      <c r="D145" s="247"/>
      <c r="E145" s="252">
        <v>276.10000000000002</v>
      </c>
      <c r="F145" s="564">
        <v>24</v>
      </c>
      <c r="G145" s="564"/>
      <c r="H145" s="252">
        <v>204.7</v>
      </c>
      <c r="I145" s="564">
        <v>24</v>
      </c>
      <c r="J145" s="564"/>
      <c r="K145" s="252">
        <v>0</v>
      </c>
      <c r="L145" s="253">
        <v>0</v>
      </c>
      <c r="M145" s="252">
        <v>0</v>
      </c>
      <c r="N145" s="253">
        <v>0</v>
      </c>
      <c r="O145" s="254">
        <v>480.8</v>
      </c>
      <c r="P145" s="250"/>
      <c r="Q145" s="252">
        <v>0</v>
      </c>
      <c r="R145" s="253">
        <v>0</v>
      </c>
      <c r="S145" s="252">
        <v>0</v>
      </c>
      <c r="T145" s="564">
        <v>0</v>
      </c>
      <c r="U145" s="564"/>
      <c r="V145" s="252">
        <v>0</v>
      </c>
      <c r="W145" s="250"/>
      <c r="X145" s="561">
        <v>480.8</v>
      </c>
      <c r="Y145" s="561"/>
      <c r="Z145" s="250"/>
      <c r="AA145" s="255">
        <v>3639200</v>
      </c>
      <c r="AB145" s="566">
        <v>119396</v>
      </c>
      <c r="AC145" s="566"/>
      <c r="AD145" s="242"/>
    </row>
    <row r="146" spans="1:30">
      <c r="A146" s="242"/>
      <c r="B146" s="559"/>
      <c r="C146" s="559"/>
      <c r="D146" s="247"/>
      <c r="E146" s="250"/>
      <c r="F146" s="554"/>
      <c r="G146" s="554"/>
      <c r="H146" s="250"/>
      <c r="I146" s="554"/>
      <c r="J146" s="554"/>
      <c r="K146" s="250"/>
      <c r="L146" s="250"/>
      <c r="M146" s="250"/>
      <c r="N146" s="250"/>
      <c r="O146" s="250"/>
      <c r="P146" s="250"/>
      <c r="Q146" s="250"/>
      <c r="R146" s="250"/>
      <c r="S146" s="250"/>
      <c r="T146" s="554"/>
      <c r="U146" s="554"/>
      <c r="V146" s="250"/>
      <c r="W146" s="250"/>
      <c r="X146" s="554"/>
      <c r="Y146" s="554"/>
      <c r="Z146" s="250"/>
      <c r="AA146" s="250"/>
      <c r="AB146" s="554"/>
      <c r="AC146" s="554"/>
      <c r="AD146" s="242"/>
    </row>
    <row r="147" spans="1:30">
      <c r="A147" s="242"/>
      <c r="B147" s="558">
        <v>39513</v>
      </c>
      <c r="C147" s="558"/>
      <c r="D147" s="247"/>
      <c r="E147" s="256">
        <v>312.8</v>
      </c>
      <c r="F147" s="557">
        <v>24</v>
      </c>
      <c r="G147" s="557"/>
      <c r="H147" s="256">
        <v>255</v>
      </c>
      <c r="I147" s="557">
        <v>24</v>
      </c>
      <c r="J147" s="557"/>
      <c r="K147" s="256">
        <v>0</v>
      </c>
      <c r="L147" s="257">
        <v>0</v>
      </c>
      <c r="M147" s="256">
        <v>0</v>
      </c>
      <c r="N147" s="257">
        <v>0</v>
      </c>
      <c r="O147" s="258">
        <v>567.79999999999995</v>
      </c>
      <c r="P147" s="250"/>
      <c r="Q147" s="256">
        <v>0</v>
      </c>
      <c r="R147" s="257">
        <v>0</v>
      </c>
      <c r="S147" s="256">
        <v>0</v>
      </c>
      <c r="T147" s="557">
        <v>0</v>
      </c>
      <c r="U147" s="557"/>
      <c r="V147" s="256">
        <v>0</v>
      </c>
      <c r="W147" s="250"/>
      <c r="X147" s="556">
        <v>567.79999999999995</v>
      </c>
      <c r="Y147" s="556"/>
      <c r="Z147" s="250"/>
      <c r="AA147" s="259">
        <v>4201400</v>
      </c>
      <c r="AB147" s="565">
        <v>132410</v>
      </c>
      <c r="AC147" s="565"/>
      <c r="AD147" s="242"/>
    </row>
    <row r="148" spans="1:30">
      <c r="A148" s="242"/>
      <c r="B148" s="559"/>
      <c r="C148" s="559"/>
      <c r="D148" s="247"/>
      <c r="E148" s="250"/>
      <c r="F148" s="554"/>
      <c r="G148" s="554"/>
      <c r="H148" s="250"/>
      <c r="I148" s="554"/>
      <c r="J148" s="554"/>
      <c r="K148" s="250"/>
      <c r="L148" s="250"/>
      <c r="M148" s="250"/>
      <c r="N148" s="250"/>
      <c r="O148" s="250"/>
      <c r="P148" s="250"/>
      <c r="Q148" s="250"/>
      <c r="R148" s="250"/>
      <c r="S148" s="250"/>
      <c r="T148" s="554"/>
      <c r="U148" s="554"/>
      <c r="V148" s="250"/>
      <c r="W148" s="250"/>
      <c r="X148" s="554"/>
      <c r="Y148" s="554"/>
      <c r="Z148" s="250"/>
      <c r="AA148" s="250"/>
      <c r="AB148" s="554"/>
      <c r="AC148" s="554"/>
      <c r="AD148" s="242"/>
    </row>
    <row r="149" spans="1:30">
      <c r="A149" s="242"/>
      <c r="B149" s="563">
        <v>39514</v>
      </c>
      <c r="C149" s="563"/>
      <c r="D149" s="247"/>
      <c r="E149" s="252">
        <v>297.10000000000002</v>
      </c>
      <c r="F149" s="564">
        <v>24</v>
      </c>
      <c r="G149" s="564"/>
      <c r="H149" s="252">
        <v>303.3</v>
      </c>
      <c r="I149" s="564">
        <v>24</v>
      </c>
      <c r="J149" s="564"/>
      <c r="K149" s="252">
        <v>0</v>
      </c>
      <c r="L149" s="253">
        <v>0</v>
      </c>
      <c r="M149" s="252">
        <v>0</v>
      </c>
      <c r="N149" s="253">
        <v>0</v>
      </c>
      <c r="O149" s="254">
        <v>600.4</v>
      </c>
      <c r="P149" s="250"/>
      <c r="Q149" s="252">
        <v>0</v>
      </c>
      <c r="R149" s="253">
        <v>0</v>
      </c>
      <c r="S149" s="252">
        <v>0</v>
      </c>
      <c r="T149" s="564">
        <v>0</v>
      </c>
      <c r="U149" s="564"/>
      <c r="V149" s="252">
        <v>0</v>
      </c>
      <c r="W149" s="250"/>
      <c r="X149" s="561">
        <v>600.4</v>
      </c>
      <c r="Y149" s="561"/>
      <c r="Z149" s="250"/>
      <c r="AA149" s="255">
        <v>4252896</v>
      </c>
      <c r="AB149" s="566">
        <v>144931</v>
      </c>
      <c r="AC149" s="566"/>
      <c r="AD149" s="242"/>
    </row>
    <row r="150" spans="1:30">
      <c r="A150" s="242"/>
      <c r="B150" s="559"/>
      <c r="C150" s="559"/>
      <c r="D150" s="247"/>
      <c r="E150" s="250"/>
      <c r="F150" s="554"/>
      <c r="G150" s="554"/>
      <c r="H150" s="250"/>
      <c r="I150" s="554"/>
      <c r="J150" s="554"/>
      <c r="K150" s="250"/>
      <c r="L150" s="250"/>
      <c r="M150" s="250"/>
      <c r="N150" s="250"/>
      <c r="O150" s="250"/>
      <c r="P150" s="250"/>
      <c r="Q150" s="250"/>
      <c r="R150" s="250"/>
      <c r="S150" s="250"/>
      <c r="T150" s="554"/>
      <c r="U150" s="554"/>
      <c r="V150" s="250"/>
      <c r="W150" s="250"/>
      <c r="X150" s="554"/>
      <c r="Y150" s="554"/>
      <c r="Z150" s="250"/>
      <c r="AA150" s="250"/>
      <c r="AB150" s="554"/>
      <c r="AC150" s="554"/>
      <c r="AD150" s="242"/>
    </row>
    <row r="151" spans="1:30">
      <c r="A151" s="242"/>
      <c r="B151" s="558">
        <v>39515</v>
      </c>
      <c r="C151" s="558"/>
      <c r="D151" s="247"/>
      <c r="E151" s="256">
        <v>290.10000000000002</v>
      </c>
      <c r="F151" s="557">
        <v>24</v>
      </c>
      <c r="G151" s="557"/>
      <c r="H151" s="256">
        <v>284</v>
      </c>
      <c r="I151" s="557">
        <v>24</v>
      </c>
      <c r="J151" s="557"/>
      <c r="K151" s="256">
        <v>0</v>
      </c>
      <c r="L151" s="257">
        <v>0</v>
      </c>
      <c r="M151" s="256">
        <v>0</v>
      </c>
      <c r="N151" s="257">
        <v>6</v>
      </c>
      <c r="O151" s="258">
        <v>574.1</v>
      </c>
      <c r="P151" s="250"/>
      <c r="Q151" s="256">
        <v>0</v>
      </c>
      <c r="R151" s="257">
        <v>0</v>
      </c>
      <c r="S151" s="256">
        <v>0</v>
      </c>
      <c r="T151" s="557">
        <v>0</v>
      </c>
      <c r="U151" s="557"/>
      <c r="V151" s="256">
        <v>0</v>
      </c>
      <c r="W151" s="250"/>
      <c r="X151" s="556">
        <v>574.1</v>
      </c>
      <c r="Y151" s="556"/>
      <c r="Z151" s="250"/>
      <c r="AA151" s="259">
        <v>4542220</v>
      </c>
      <c r="AB151" s="565">
        <v>139823</v>
      </c>
      <c r="AC151" s="565"/>
      <c r="AD151" s="242"/>
    </row>
    <row r="152" spans="1:30">
      <c r="A152" s="242"/>
      <c r="B152" s="559"/>
      <c r="C152" s="559"/>
      <c r="D152" s="247"/>
      <c r="E152" s="250"/>
      <c r="F152" s="554"/>
      <c r="G152" s="554"/>
      <c r="H152" s="250"/>
      <c r="I152" s="554"/>
      <c r="J152" s="554"/>
      <c r="K152" s="250"/>
      <c r="L152" s="250"/>
      <c r="M152" s="250"/>
      <c r="N152" s="250"/>
      <c r="O152" s="250"/>
      <c r="P152" s="250"/>
      <c r="Q152" s="250"/>
      <c r="R152" s="250"/>
      <c r="S152" s="250"/>
      <c r="T152" s="554"/>
      <c r="U152" s="554"/>
      <c r="V152" s="250"/>
      <c r="W152" s="250"/>
      <c r="X152" s="554"/>
      <c r="Y152" s="554"/>
      <c r="Z152" s="250"/>
      <c r="AA152" s="250"/>
      <c r="AB152" s="554"/>
      <c r="AC152" s="554"/>
      <c r="AD152" s="242"/>
    </row>
    <row r="153" spans="1:30">
      <c r="A153" s="242"/>
      <c r="B153" s="563">
        <v>39516</v>
      </c>
      <c r="C153" s="563"/>
      <c r="D153" s="247"/>
      <c r="E153" s="252">
        <v>293.89999999999998</v>
      </c>
      <c r="F153" s="564">
        <v>24</v>
      </c>
      <c r="G153" s="564"/>
      <c r="H153" s="252">
        <v>259</v>
      </c>
      <c r="I153" s="564">
        <v>24</v>
      </c>
      <c r="J153" s="564"/>
      <c r="K153" s="252">
        <v>0</v>
      </c>
      <c r="L153" s="253">
        <v>0</v>
      </c>
      <c r="M153" s="252">
        <v>2</v>
      </c>
      <c r="N153" s="253">
        <v>0</v>
      </c>
      <c r="O153" s="254">
        <v>554.9</v>
      </c>
      <c r="P153" s="250"/>
      <c r="Q153" s="252">
        <v>0</v>
      </c>
      <c r="R153" s="253">
        <v>0</v>
      </c>
      <c r="S153" s="252">
        <v>0</v>
      </c>
      <c r="T153" s="564">
        <v>0</v>
      </c>
      <c r="U153" s="564"/>
      <c r="V153" s="252">
        <v>0</v>
      </c>
      <c r="W153" s="250"/>
      <c r="X153" s="561">
        <v>554.9</v>
      </c>
      <c r="Y153" s="561"/>
      <c r="Z153" s="250"/>
      <c r="AA153" s="255">
        <v>4710111</v>
      </c>
      <c r="AB153" s="566">
        <v>131851</v>
      </c>
      <c r="AC153" s="566"/>
      <c r="AD153" s="242"/>
    </row>
    <row r="154" spans="1:30">
      <c r="A154" s="242"/>
      <c r="B154" s="559"/>
      <c r="C154" s="559"/>
      <c r="D154" s="247"/>
      <c r="E154" s="250"/>
      <c r="F154" s="554"/>
      <c r="G154" s="554"/>
      <c r="H154" s="250"/>
      <c r="I154" s="554"/>
      <c r="J154" s="554"/>
      <c r="K154" s="250"/>
      <c r="L154" s="250"/>
      <c r="M154" s="250"/>
      <c r="N154" s="250"/>
      <c r="O154" s="250"/>
      <c r="P154" s="250"/>
      <c r="Q154" s="250"/>
      <c r="R154" s="250"/>
      <c r="S154" s="250"/>
      <c r="T154" s="554"/>
      <c r="U154" s="554"/>
      <c r="V154" s="250"/>
      <c r="W154" s="250"/>
      <c r="X154" s="554"/>
      <c r="Y154" s="554"/>
      <c r="Z154" s="250"/>
      <c r="AA154" s="250"/>
      <c r="AB154" s="554"/>
      <c r="AC154" s="554"/>
      <c r="AD154" s="242"/>
    </row>
    <row r="155" spans="1:30">
      <c r="A155" s="242"/>
      <c r="B155" s="558">
        <v>39517</v>
      </c>
      <c r="C155" s="558"/>
      <c r="D155" s="247"/>
      <c r="E155" s="256">
        <v>317</v>
      </c>
      <c r="F155" s="557">
        <v>24</v>
      </c>
      <c r="G155" s="557"/>
      <c r="H155" s="256">
        <v>282</v>
      </c>
      <c r="I155" s="557">
        <v>24</v>
      </c>
      <c r="J155" s="557"/>
      <c r="K155" s="256">
        <v>0</v>
      </c>
      <c r="L155" s="257">
        <v>0</v>
      </c>
      <c r="M155" s="256">
        <v>0</v>
      </c>
      <c r="N155" s="257">
        <v>0</v>
      </c>
      <c r="O155" s="258">
        <v>599</v>
      </c>
      <c r="P155" s="250"/>
      <c r="Q155" s="256">
        <v>0</v>
      </c>
      <c r="R155" s="257">
        <v>0</v>
      </c>
      <c r="S155" s="256">
        <v>0</v>
      </c>
      <c r="T155" s="557">
        <v>0</v>
      </c>
      <c r="U155" s="557"/>
      <c r="V155" s="256">
        <v>0</v>
      </c>
      <c r="W155" s="250"/>
      <c r="X155" s="556">
        <v>599</v>
      </c>
      <c r="Y155" s="556"/>
      <c r="Z155" s="250"/>
      <c r="AA155" s="259">
        <v>4253200</v>
      </c>
      <c r="AB155" s="565">
        <v>139491</v>
      </c>
      <c r="AC155" s="565"/>
      <c r="AD155" s="242"/>
    </row>
    <row r="156" spans="1:30">
      <c r="A156" s="242"/>
      <c r="B156" s="559"/>
      <c r="C156" s="559"/>
      <c r="D156" s="247"/>
      <c r="E156" s="250"/>
      <c r="F156" s="554"/>
      <c r="G156" s="554"/>
      <c r="H156" s="250"/>
      <c r="I156" s="554"/>
      <c r="J156" s="554"/>
      <c r="K156" s="250"/>
      <c r="L156" s="250"/>
      <c r="M156" s="250"/>
      <c r="N156" s="250"/>
      <c r="O156" s="250"/>
      <c r="P156" s="250"/>
      <c r="Q156" s="250"/>
      <c r="R156" s="250"/>
      <c r="S156" s="250"/>
      <c r="T156" s="554"/>
      <c r="U156" s="554"/>
      <c r="V156" s="250"/>
      <c r="W156" s="250"/>
      <c r="X156" s="554"/>
      <c r="Y156" s="554"/>
      <c r="Z156" s="250"/>
      <c r="AA156" s="250"/>
      <c r="AB156" s="554"/>
      <c r="AC156" s="554"/>
      <c r="AD156" s="242"/>
    </row>
    <row r="157" spans="1:30">
      <c r="A157" s="242"/>
      <c r="B157" s="563">
        <v>39518</v>
      </c>
      <c r="C157" s="563"/>
      <c r="D157" s="247"/>
      <c r="E157" s="252">
        <v>218</v>
      </c>
      <c r="F157" s="564">
        <v>24</v>
      </c>
      <c r="G157" s="564"/>
      <c r="H157" s="252">
        <v>218</v>
      </c>
      <c r="I157" s="564">
        <v>24</v>
      </c>
      <c r="J157" s="564"/>
      <c r="K157" s="252">
        <v>0</v>
      </c>
      <c r="L157" s="253">
        <v>0</v>
      </c>
      <c r="M157" s="252">
        <v>136</v>
      </c>
      <c r="N157" s="253">
        <v>13</v>
      </c>
      <c r="O157" s="254">
        <v>572</v>
      </c>
      <c r="P157" s="250"/>
      <c r="Q157" s="252">
        <v>0</v>
      </c>
      <c r="R157" s="253">
        <v>0</v>
      </c>
      <c r="S157" s="252">
        <v>0</v>
      </c>
      <c r="T157" s="564">
        <v>0</v>
      </c>
      <c r="U157" s="564"/>
      <c r="V157" s="252">
        <v>0</v>
      </c>
      <c r="W157" s="250"/>
      <c r="X157" s="561">
        <v>572</v>
      </c>
      <c r="Y157" s="561"/>
      <c r="Z157" s="250"/>
      <c r="AA157" s="255">
        <v>5340200</v>
      </c>
      <c r="AB157" s="566">
        <v>122263</v>
      </c>
      <c r="AC157" s="566"/>
      <c r="AD157" s="242"/>
    </row>
    <row r="158" spans="1:30">
      <c r="A158" s="242"/>
      <c r="B158" s="559"/>
      <c r="C158" s="559"/>
      <c r="D158" s="247"/>
      <c r="E158" s="250"/>
      <c r="F158" s="554"/>
      <c r="G158" s="554"/>
      <c r="H158" s="250"/>
      <c r="I158" s="554"/>
      <c r="J158" s="554"/>
      <c r="K158" s="250"/>
      <c r="L158" s="250"/>
      <c r="M158" s="250"/>
      <c r="N158" s="250"/>
      <c r="O158" s="250"/>
      <c r="P158" s="250"/>
      <c r="Q158" s="250"/>
      <c r="R158" s="250"/>
      <c r="S158" s="250"/>
      <c r="T158" s="554"/>
      <c r="U158" s="554"/>
      <c r="V158" s="250"/>
      <c r="W158" s="250"/>
      <c r="X158" s="554"/>
      <c r="Y158" s="554"/>
      <c r="Z158" s="250"/>
      <c r="AA158" s="250"/>
      <c r="AB158" s="554"/>
      <c r="AC158" s="554"/>
      <c r="AD158" s="242"/>
    </row>
    <row r="159" spans="1:30">
      <c r="A159" s="242"/>
      <c r="B159" s="558">
        <v>39519</v>
      </c>
      <c r="C159" s="558"/>
      <c r="D159" s="247"/>
      <c r="E159" s="256">
        <v>71.5</v>
      </c>
      <c r="F159" s="557">
        <v>24</v>
      </c>
      <c r="G159" s="557"/>
      <c r="H159" s="256">
        <v>107.7</v>
      </c>
      <c r="I159" s="557">
        <v>21</v>
      </c>
      <c r="J159" s="557"/>
      <c r="K159" s="256">
        <v>0</v>
      </c>
      <c r="L159" s="257">
        <v>0</v>
      </c>
      <c r="M159" s="256">
        <v>337</v>
      </c>
      <c r="N159" s="257">
        <v>23</v>
      </c>
      <c r="O159" s="258">
        <v>516.20000000000005</v>
      </c>
      <c r="P159" s="250"/>
      <c r="Q159" s="256">
        <v>0</v>
      </c>
      <c r="R159" s="257">
        <v>0</v>
      </c>
      <c r="S159" s="256">
        <v>0</v>
      </c>
      <c r="T159" s="557">
        <v>0</v>
      </c>
      <c r="U159" s="557"/>
      <c r="V159" s="256">
        <v>0</v>
      </c>
      <c r="W159" s="250"/>
      <c r="X159" s="556">
        <v>516.20000000000005</v>
      </c>
      <c r="Y159" s="556"/>
      <c r="Z159" s="250"/>
      <c r="AA159" s="259">
        <v>6491532</v>
      </c>
      <c r="AB159" s="565">
        <v>87325</v>
      </c>
      <c r="AC159" s="565"/>
      <c r="AD159" s="242"/>
    </row>
    <row r="160" spans="1:30">
      <c r="A160" s="242"/>
      <c r="B160" s="559"/>
      <c r="C160" s="559"/>
      <c r="D160" s="247"/>
      <c r="E160" s="250"/>
      <c r="F160" s="554"/>
      <c r="G160" s="554"/>
      <c r="H160" s="250"/>
      <c r="I160" s="554"/>
      <c r="J160" s="554"/>
      <c r="K160" s="250"/>
      <c r="L160" s="250"/>
      <c r="M160" s="250"/>
      <c r="N160" s="250"/>
      <c r="O160" s="250"/>
      <c r="P160" s="250"/>
      <c r="Q160" s="250"/>
      <c r="R160" s="250"/>
      <c r="S160" s="250"/>
      <c r="T160" s="554"/>
      <c r="U160" s="554"/>
      <c r="V160" s="250"/>
      <c r="W160" s="250"/>
      <c r="X160" s="554"/>
      <c r="Y160" s="554"/>
      <c r="Z160" s="250"/>
      <c r="AA160" s="250"/>
      <c r="AB160" s="554"/>
      <c r="AC160" s="554"/>
      <c r="AD160" s="242"/>
    </row>
    <row r="161" spans="1:30">
      <c r="A161" s="242"/>
      <c r="B161" s="563">
        <v>39520</v>
      </c>
      <c r="C161" s="563"/>
      <c r="D161" s="247"/>
      <c r="E161" s="252">
        <v>0</v>
      </c>
      <c r="F161" s="564">
        <v>21</v>
      </c>
      <c r="G161" s="564"/>
      <c r="H161" s="252">
        <v>184.3</v>
      </c>
      <c r="I161" s="564">
        <v>24</v>
      </c>
      <c r="J161" s="564"/>
      <c r="K161" s="252">
        <v>0</v>
      </c>
      <c r="L161" s="253">
        <v>0</v>
      </c>
      <c r="M161" s="252">
        <v>383</v>
      </c>
      <c r="N161" s="253">
        <v>24</v>
      </c>
      <c r="O161" s="254">
        <v>567.29999999999995</v>
      </c>
      <c r="P161" s="250"/>
      <c r="Q161" s="252">
        <v>0</v>
      </c>
      <c r="R161" s="253">
        <v>0</v>
      </c>
      <c r="S161" s="252">
        <v>0</v>
      </c>
      <c r="T161" s="564">
        <v>0</v>
      </c>
      <c r="U161" s="564"/>
      <c r="V161" s="252">
        <v>0</v>
      </c>
      <c r="W161" s="250"/>
      <c r="X161" s="561">
        <v>567.29999999999995</v>
      </c>
      <c r="Y161" s="561"/>
      <c r="Z161" s="250"/>
      <c r="AA161" s="255">
        <v>6118340</v>
      </c>
      <c r="AB161" s="566">
        <v>108996</v>
      </c>
      <c r="AC161" s="566"/>
      <c r="AD161" s="242"/>
    </row>
    <row r="162" spans="1:30">
      <c r="A162" s="242"/>
      <c r="B162" s="559"/>
      <c r="C162" s="559"/>
      <c r="D162" s="247"/>
      <c r="E162" s="250"/>
      <c r="F162" s="554"/>
      <c r="G162" s="554"/>
      <c r="H162" s="250"/>
      <c r="I162" s="554"/>
      <c r="J162" s="554"/>
      <c r="K162" s="250"/>
      <c r="L162" s="250"/>
      <c r="M162" s="250"/>
      <c r="N162" s="250"/>
      <c r="O162" s="250"/>
      <c r="P162" s="250"/>
      <c r="Q162" s="250"/>
      <c r="R162" s="250"/>
      <c r="S162" s="250"/>
      <c r="T162" s="554"/>
      <c r="U162" s="554"/>
      <c r="V162" s="250"/>
      <c r="W162" s="250"/>
      <c r="X162" s="554"/>
      <c r="Y162" s="554"/>
      <c r="Z162" s="250"/>
      <c r="AA162" s="250"/>
      <c r="AB162" s="554"/>
      <c r="AC162" s="554"/>
      <c r="AD162" s="242"/>
    </row>
    <row r="163" spans="1:30">
      <c r="A163" s="242"/>
      <c r="B163" s="558">
        <v>39521</v>
      </c>
      <c r="C163" s="558"/>
      <c r="D163" s="247"/>
      <c r="E163" s="256">
        <v>124.9</v>
      </c>
      <c r="F163" s="557">
        <v>24</v>
      </c>
      <c r="G163" s="557"/>
      <c r="H163" s="256">
        <v>94.5</v>
      </c>
      <c r="I163" s="557">
        <v>13</v>
      </c>
      <c r="J163" s="557"/>
      <c r="K163" s="256">
        <v>0</v>
      </c>
      <c r="L163" s="257">
        <v>0</v>
      </c>
      <c r="M163" s="256">
        <v>431</v>
      </c>
      <c r="N163" s="257">
        <v>24</v>
      </c>
      <c r="O163" s="258">
        <v>650.4</v>
      </c>
      <c r="P163" s="250"/>
      <c r="Q163" s="256">
        <v>0</v>
      </c>
      <c r="R163" s="257">
        <v>0</v>
      </c>
      <c r="S163" s="256">
        <v>0</v>
      </c>
      <c r="T163" s="557">
        <v>0</v>
      </c>
      <c r="U163" s="557"/>
      <c r="V163" s="256">
        <v>0</v>
      </c>
      <c r="W163" s="250"/>
      <c r="X163" s="556">
        <v>650.4</v>
      </c>
      <c r="Y163" s="556"/>
      <c r="Z163" s="250"/>
      <c r="AA163" s="259">
        <v>7813700</v>
      </c>
      <c r="AB163" s="565">
        <v>59444</v>
      </c>
      <c r="AC163" s="565"/>
      <c r="AD163" s="242"/>
    </row>
    <row r="164" spans="1:30">
      <c r="A164" s="242"/>
      <c r="B164" s="559"/>
      <c r="C164" s="559"/>
      <c r="D164" s="247"/>
      <c r="E164" s="250"/>
      <c r="F164" s="554"/>
      <c r="G164" s="554"/>
      <c r="H164" s="250"/>
      <c r="I164" s="554"/>
      <c r="J164" s="554"/>
      <c r="K164" s="250"/>
      <c r="L164" s="250"/>
      <c r="M164" s="250"/>
      <c r="N164" s="250"/>
      <c r="O164" s="250"/>
      <c r="P164" s="250"/>
      <c r="Q164" s="250"/>
      <c r="R164" s="250"/>
      <c r="S164" s="250"/>
      <c r="T164" s="554"/>
      <c r="U164" s="554"/>
      <c r="V164" s="250"/>
      <c r="W164" s="250"/>
      <c r="X164" s="554"/>
      <c r="Y164" s="554"/>
      <c r="Z164" s="250"/>
      <c r="AA164" s="250"/>
      <c r="AB164" s="554"/>
      <c r="AC164" s="554"/>
      <c r="AD164" s="242"/>
    </row>
    <row r="165" spans="1:30">
      <c r="A165" s="242"/>
      <c r="B165" s="563">
        <v>39522</v>
      </c>
      <c r="C165" s="563"/>
      <c r="D165" s="247"/>
      <c r="E165" s="252">
        <v>170.5</v>
      </c>
      <c r="F165" s="564">
        <v>24</v>
      </c>
      <c r="G165" s="564"/>
      <c r="H165" s="252">
        <v>0</v>
      </c>
      <c r="I165" s="564">
        <v>18</v>
      </c>
      <c r="J165" s="564"/>
      <c r="K165" s="252">
        <v>0</v>
      </c>
      <c r="L165" s="253">
        <v>0</v>
      </c>
      <c r="M165" s="252">
        <v>446</v>
      </c>
      <c r="N165" s="253">
        <v>24</v>
      </c>
      <c r="O165" s="254">
        <v>616.5</v>
      </c>
      <c r="P165" s="250"/>
      <c r="Q165" s="252">
        <v>0</v>
      </c>
      <c r="R165" s="253">
        <v>0</v>
      </c>
      <c r="S165" s="252">
        <v>0</v>
      </c>
      <c r="T165" s="564">
        <v>0</v>
      </c>
      <c r="U165" s="564"/>
      <c r="V165" s="252">
        <v>0</v>
      </c>
      <c r="W165" s="250"/>
      <c r="X165" s="561">
        <v>616.5</v>
      </c>
      <c r="Y165" s="561"/>
      <c r="Z165" s="250"/>
      <c r="AA165" s="255">
        <v>8022400</v>
      </c>
      <c r="AB165" s="566">
        <v>52771</v>
      </c>
      <c r="AC165" s="566"/>
      <c r="AD165" s="242"/>
    </row>
    <row r="166" spans="1:30">
      <c r="A166" s="242"/>
      <c r="B166" s="559"/>
      <c r="C166" s="559"/>
      <c r="D166" s="247"/>
      <c r="E166" s="250"/>
      <c r="F166" s="554"/>
      <c r="G166" s="554"/>
      <c r="H166" s="250"/>
      <c r="I166" s="554"/>
      <c r="J166" s="554"/>
      <c r="K166" s="250"/>
      <c r="L166" s="250"/>
      <c r="M166" s="250"/>
      <c r="N166" s="250"/>
      <c r="O166" s="250"/>
      <c r="P166" s="250"/>
      <c r="Q166" s="250"/>
      <c r="R166" s="250"/>
      <c r="S166" s="250"/>
      <c r="T166" s="554"/>
      <c r="U166" s="554"/>
      <c r="V166" s="250"/>
      <c r="W166" s="250"/>
      <c r="X166" s="554"/>
      <c r="Y166" s="554"/>
      <c r="Z166" s="250"/>
      <c r="AA166" s="250"/>
      <c r="AB166" s="554"/>
      <c r="AC166" s="554"/>
      <c r="AD166" s="242"/>
    </row>
    <row r="167" spans="1:30">
      <c r="A167" s="242"/>
      <c r="B167" s="558">
        <v>39523</v>
      </c>
      <c r="C167" s="558"/>
      <c r="D167" s="247"/>
      <c r="E167" s="256">
        <v>205.6</v>
      </c>
      <c r="F167" s="557">
        <v>24</v>
      </c>
      <c r="G167" s="557"/>
      <c r="H167" s="256">
        <v>0</v>
      </c>
      <c r="I167" s="557">
        <v>24</v>
      </c>
      <c r="J167" s="557"/>
      <c r="K167" s="256">
        <v>0</v>
      </c>
      <c r="L167" s="257">
        <v>0</v>
      </c>
      <c r="M167" s="256">
        <v>440</v>
      </c>
      <c r="N167" s="257">
        <v>24</v>
      </c>
      <c r="O167" s="258">
        <v>645.6</v>
      </c>
      <c r="P167" s="250"/>
      <c r="Q167" s="256">
        <v>0</v>
      </c>
      <c r="R167" s="257">
        <v>0</v>
      </c>
      <c r="S167" s="256">
        <v>0</v>
      </c>
      <c r="T167" s="557">
        <v>0</v>
      </c>
      <c r="U167" s="557"/>
      <c r="V167" s="256">
        <v>0</v>
      </c>
      <c r="W167" s="250"/>
      <c r="X167" s="556">
        <v>645.6</v>
      </c>
      <c r="Y167" s="556"/>
      <c r="Z167" s="250"/>
      <c r="AA167" s="259">
        <v>8413766</v>
      </c>
      <c r="AB167" s="565">
        <v>68173</v>
      </c>
      <c r="AC167" s="565"/>
      <c r="AD167" s="242"/>
    </row>
    <row r="168" spans="1:30">
      <c r="A168" s="242"/>
      <c r="B168" s="559"/>
      <c r="C168" s="559"/>
      <c r="D168" s="247"/>
      <c r="E168" s="250"/>
      <c r="F168" s="554"/>
      <c r="G168" s="554"/>
      <c r="H168" s="250"/>
      <c r="I168" s="554"/>
      <c r="J168" s="554"/>
      <c r="K168" s="250"/>
      <c r="L168" s="250"/>
      <c r="M168" s="250"/>
      <c r="N168" s="250"/>
      <c r="O168" s="250"/>
      <c r="P168" s="250"/>
      <c r="Q168" s="250"/>
      <c r="R168" s="250"/>
      <c r="S168" s="250"/>
      <c r="T168" s="554"/>
      <c r="U168" s="554"/>
      <c r="V168" s="250"/>
      <c r="W168" s="250"/>
      <c r="X168" s="554"/>
      <c r="Y168" s="554"/>
      <c r="Z168" s="250"/>
      <c r="AA168" s="250"/>
      <c r="AB168" s="554"/>
      <c r="AC168" s="554"/>
      <c r="AD168" s="242"/>
    </row>
    <row r="169" spans="1:30">
      <c r="A169" s="242"/>
      <c r="B169" s="563">
        <v>39524</v>
      </c>
      <c r="C169" s="563"/>
      <c r="D169" s="247"/>
      <c r="E169" s="252">
        <v>177</v>
      </c>
      <c r="F169" s="564">
        <v>24</v>
      </c>
      <c r="G169" s="564"/>
      <c r="H169" s="252">
        <v>0</v>
      </c>
      <c r="I169" s="564">
        <v>0</v>
      </c>
      <c r="J169" s="564"/>
      <c r="K169" s="252">
        <v>0</v>
      </c>
      <c r="L169" s="253">
        <v>0</v>
      </c>
      <c r="M169" s="252">
        <v>439</v>
      </c>
      <c r="N169" s="253">
        <v>24</v>
      </c>
      <c r="O169" s="254">
        <v>616</v>
      </c>
      <c r="P169" s="250"/>
      <c r="Q169" s="252">
        <v>0</v>
      </c>
      <c r="R169" s="253">
        <v>0</v>
      </c>
      <c r="S169" s="252">
        <v>0</v>
      </c>
      <c r="T169" s="564">
        <v>0</v>
      </c>
      <c r="U169" s="564"/>
      <c r="V169" s="252">
        <v>0</v>
      </c>
      <c r="W169" s="250"/>
      <c r="X169" s="561">
        <v>616</v>
      </c>
      <c r="Y169" s="561"/>
      <c r="Z169" s="250"/>
      <c r="AA169" s="255">
        <v>8111420</v>
      </c>
      <c r="AB169" s="566">
        <v>68917</v>
      </c>
      <c r="AC169" s="566"/>
      <c r="AD169" s="242"/>
    </row>
    <row r="170" spans="1:30">
      <c r="A170" s="242"/>
      <c r="B170" s="559"/>
      <c r="C170" s="559"/>
      <c r="D170" s="247"/>
      <c r="E170" s="250"/>
      <c r="F170" s="554"/>
      <c r="G170" s="554"/>
      <c r="H170" s="250"/>
      <c r="I170" s="554"/>
      <c r="J170" s="554"/>
      <c r="K170" s="250"/>
      <c r="L170" s="250"/>
      <c r="M170" s="250"/>
      <c r="N170" s="250"/>
      <c r="O170" s="250"/>
      <c r="P170" s="250"/>
      <c r="Q170" s="250"/>
      <c r="R170" s="250"/>
      <c r="S170" s="250"/>
      <c r="T170" s="554"/>
      <c r="U170" s="554"/>
      <c r="V170" s="250"/>
      <c r="W170" s="250"/>
      <c r="X170" s="554"/>
      <c r="Y170" s="554"/>
      <c r="Z170" s="250"/>
      <c r="AA170" s="250"/>
      <c r="AB170" s="554"/>
      <c r="AC170" s="554"/>
      <c r="AD170" s="242"/>
    </row>
    <row r="171" spans="1:30">
      <c r="A171" s="242"/>
      <c r="B171" s="558">
        <v>39525</v>
      </c>
      <c r="C171" s="558"/>
      <c r="D171" s="247"/>
      <c r="E171" s="256">
        <v>170.7</v>
      </c>
      <c r="F171" s="557">
        <v>24</v>
      </c>
      <c r="G171" s="557"/>
      <c r="H171" s="256">
        <v>0</v>
      </c>
      <c r="I171" s="557">
        <v>24</v>
      </c>
      <c r="J171" s="557"/>
      <c r="K171" s="256">
        <v>0</v>
      </c>
      <c r="L171" s="257">
        <v>0</v>
      </c>
      <c r="M171" s="256">
        <v>418</v>
      </c>
      <c r="N171" s="257">
        <v>24</v>
      </c>
      <c r="O171" s="258">
        <v>588.70000000000005</v>
      </c>
      <c r="P171" s="250"/>
      <c r="Q171" s="256">
        <v>0</v>
      </c>
      <c r="R171" s="257">
        <v>0</v>
      </c>
      <c r="S171" s="256">
        <v>0</v>
      </c>
      <c r="T171" s="557">
        <v>0</v>
      </c>
      <c r="U171" s="557"/>
      <c r="V171" s="256">
        <v>0</v>
      </c>
      <c r="W171" s="250"/>
      <c r="X171" s="556">
        <v>588.70000000000005</v>
      </c>
      <c r="Y171" s="556"/>
      <c r="Z171" s="250"/>
      <c r="AA171" s="259">
        <v>7901066</v>
      </c>
      <c r="AB171" s="565">
        <v>69154</v>
      </c>
      <c r="AC171" s="565"/>
      <c r="AD171" s="242"/>
    </row>
    <row r="172" spans="1:30">
      <c r="A172" s="242"/>
      <c r="B172" s="559"/>
      <c r="C172" s="559"/>
      <c r="D172" s="247"/>
      <c r="E172" s="250"/>
      <c r="F172" s="554"/>
      <c r="G172" s="554"/>
      <c r="H172" s="250"/>
      <c r="I172" s="554"/>
      <c r="J172" s="554"/>
      <c r="K172" s="250"/>
      <c r="L172" s="250"/>
      <c r="M172" s="250"/>
      <c r="N172" s="250"/>
      <c r="O172" s="250"/>
      <c r="P172" s="250"/>
      <c r="Q172" s="250"/>
      <c r="R172" s="250"/>
      <c r="S172" s="250"/>
      <c r="T172" s="554"/>
      <c r="U172" s="554"/>
      <c r="V172" s="250"/>
      <c r="W172" s="250"/>
      <c r="X172" s="554"/>
      <c r="Y172" s="554"/>
      <c r="Z172" s="250"/>
      <c r="AA172" s="250"/>
      <c r="AB172" s="554"/>
      <c r="AC172" s="554"/>
      <c r="AD172" s="242"/>
    </row>
    <row r="173" spans="1:30">
      <c r="A173" s="242"/>
      <c r="B173" s="563">
        <v>39526</v>
      </c>
      <c r="C173" s="563"/>
      <c r="D173" s="247"/>
      <c r="E173" s="252">
        <v>177.9</v>
      </c>
      <c r="F173" s="564">
        <v>24</v>
      </c>
      <c r="G173" s="564"/>
      <c r="H173" s="252">
        <v>0</v>
      </c>
      <c r="I173" s="564">
        <v>24</v>
      </c>
      <c r="J173" s="564"/>
      <c r="K173" s="252">
        <v>0</v>
      </c>
      <c r="L173" s="253">
        <v>0</v>
      </c>
      <c r="M173" s="252">
        <v>373</v>
      </c>
      <c r="N173" s="253">
        <v>24</v>
      </c>
      <c r="O173" s="254">
        <v>550.9</v>
      </c>
      <c r="P173" s="250"/>
      <c r="Q173" s="252">
        <v>0</v>
      </c>
      <c r="R173" s="253">
        <v>24</v>
      </c>
      <c r="S173" s="252">
        <v>0</v>
      </c>
      <c r="T173" s="564">
        <v>24</v>
      </c>
      <c r="U173" s="564"/>
      <c r="V173" s="252">
        <v>0</v>
      </c>
      <c r="W173" s="250"/>
      <c r="X173" s="561">
        <v>550.9</v>
      </c>
      <c r="Y173" s="561"/>
      <c r="Z173" s="250"/>
      <c r="AA173" s="255">
        <v>7560400</v>
      </c>
      <c r="AB173" s="566">
        <v>68012</v>
      </c>
      <c r="AC173" s="566"/>
      <c r="AD173" s="242"/>
    </row>
    <row r="174" spans="1:30">
      <c r="A174" s="242"/>
      <c r="B174" s="559"/>
      <c r="C174" s="559"/>
      <c r="D174" s="247"/>
      <c r="E174" s="250"/>
      <c r="F174" s="554"/>
      <c r="G174" s="554"/>
      <c r="H174" s="250"/>
      <c r="I174" s="554"/>
      <c r="J174" s="554"/>
      <c r="K174" s="250"/>
      <c r="L174" s="250"/>
      <c r="M174" s="250"/>
      <c r="N174" s="250"/>
      <c r="O174" s="250"/>
      <c r="P174" s="250"/>
      <c r="Q174" s="250"/>
      <c r="R174" s="250"/>
      <c r="S174" s="250"/>
      <c r="T174" s="554"/>
      <c r="U174" s="554"/>
      <c r="V174" s="250"/>
      <c r="W174" s="250"/>
      <c r="X174" s="554"/>
      <c r="Y174" s="554"/>
      <c r="Z174" s="250"/>
      <c r="AA174" s="250"/>
      <c r="AB174" s="554"/>
      <c r="AC174" s="554"/>
      <c r="AD174" s="242"/>
    </row>
    <row r="175" spans="1:30">
      <c r="A175" s="242"/>
      <c r="B175" s="558">
        <v>39527</v>
      </c>
      <c r="C175" s="558"/>
      <c r="D175" s="247"/>
      <c r="E175" s="256">
        <v>172.9</v>
      </c>
      <c r="F175" s="557">
        <v>24</v>
      </c>
      <c r="G175" s="557"/>
      <c r="H175" s="256">
        <v>0</v>
      </c>
      <c r="I175" s="557">
        <v>24</v>
      </c>
      <c r="J175" s="557"/>
      <c r="K175" s="256">
        <v>0</v>
      </c>
      <c r="L175" s="257">
        <v>0</v>
      </c>
      <c r="M175" s="256">
        <v>371</v>
      </c>
      <c r="N175" s="257">
        <v>24</v>
      </c>
      <c r="O175" s="258">
        <v>543.9</v>
      </c>
      <c r="P175" s="250"/>
      <c r="Q175" s="256">
        <v>0</v>
      </c>
      <c r="R175" s="257">
        <v>0</v>
      </c>
      <c r="S175" s="256">
        <v>0</v>
      </c>
      <c r="T175" s="557">
        <v>0</v>
      </c>
      <c r="U175" s="557"/>
      <c r="V175" s="256">
        <v>0</v>
      </c>
      <c r="W175" s="250"/>
      <c r="X175" s="556">
        <v>543.9</v>
      </c>
      <c r="Y175" s="556"/>
      <c r="Z175" s="250"/>
      <c r="AA175" s="259">
        <v>7537438</v>
      </c>
      <c r="AB175" s="565">
        <v>69399</v>
      </c>
      <c r="AC175" s="565"/>
      <c r="AD175" s="242"/>
    </row>
    <row r="176" spans="1:30">
      <c r="A176" s="242"/>
      <c r="B176" s="559"/>
      <c r="C176" s="559"/>
      <c r="D176" s="247"/>
      <c r="E176" s="250"/>
      <c r="F176" s="554"/>
      <c r="G176" s="554"/>
      <c r="H176" s="250"/>
      <c r="I176" s="554"/>
      <c r="J176" s="554"/>
      <c r="K176" s="250"/>
      <c r="L176" s="250"/>
      <c r="M176" s="250"/>
      <c r="N176" s="250"/>
      <c r="O176" s="250"/>
      <c r="P176" s="250"/>
      <c r="Q176" s="250"/>
      <c r="R176" s="250"/>
      <c r="S176" s="250"/>
      <c r="T176" s="554"/>
      <c r="U176" s="554"/>
      <c r="V176" s="250"/>
      <c r="W176" s="250"/>
      <c r="X176" s="554"/>
      <c r="Y176" s="554"/>
      <c r="Z176" s="250"/>
      <c r="AA176" s="250"/>
      <c r="AB176" s="554"/>
      <c r="AC176" s="554"/>
      <c r="AD176" s="242"/>
    </row>
    <row r="177" spans="1:30">
      <c r="A177" s="242"/>
      <c r="B177" s="563">
        <v>39528</v>
      </c>
      <c r="C177" s="563"/>
      <c r="D177" s="247"/>
      <c r="E177" s="252">
        <v>265.60000000000002</v>
      </c>
      <c r="F177" s="564">
        <v>24</v>
      </c>
      <c r="G177" s="564"/>
      <c r="H177" s="252">
        <v>170.5</v>
      </c>
      <c r="I177" s="564">
        <v>24</v>
      </c>
      <c r="J177" s="564"/>
      <c r="K177" s="252">
        <v>0</v>
      </c>
      <c r="L177" s="253">
        <v>0</v>
      </c>
      <c r="M177" s="252">
        <v>155</v>
      </c>
      <c r="N177" s="253">
        <v>10</v>
      </c>
      <c r="O177" s="254">
        <v>591.1</v>
      </c>
      <c r="P177" s="250"/>
      <c r="Q177" s="252">
        <v>0</v>
      </c>
      <c r="R177" s="253">
        <v>0</v>
      </c>
      <c r="S177" s="252">
        <v>0</v>
      </c>
      <c r="T177" s="564">
        <v>0</v>
      </c>
      <c r="U177" s="564"/>
      <c r="V177" s="252">
        <v>0</v>
      </c>
      <c r="W177" s="250"/>
      <c r="X177" s="561">
        <v>591.1</v>
      </c>
      <c r="Y177" s="561"/>
      <c r="Z177" s="250"/>
      <c r="AA177" s="255">
        <v>6726185</v>
      </c>
      <c r="AB177" s="566">
        <v>112020</v>
      </c>
      <c r="AC177" s="566"/>
      <c r="AD177" s="242"/>
    </row>
    <row r="178" spans="1:30">
      <c r="A178" s="242"/>
      <c r="B178" s="559"/>
      <c r="C178" s="559"/>
      <c r="D178" s="247"/>
      <c r="E178" s="250"/>
      <c r="F178" s="554"/>
      <c r="G178" s="554"/>
      <c r="H178" s="250"/>
      <c r="I178" s="554"/>
      <c r="J178" s="554"/>
      <c r="K178" s="250"/>
      <c r="L178" s="250"/>
      <c r="M178" s="250"/>
      <c r="N178" s="250"/>
      <c r="O178" s="250"/>
      <c r="P178" s="250"/>
      <c r="Q178" s="250"/>
      <c r="R178" s="250"/>
      <c r="S178" s="250"/>
      <c r="T178" s="554"/>
      <c r="U178" s="554"/>
      <c r="V178" s="250"/>
      <c r="W178" s="250"/>
      <c r="X178" s="554"/>
      <c r="Y178" s="554"/>
      <c r="Z178" s="250"/>
      <c r="AA178" s="250"/>
      <c r="AB178" s="554"/>
      <c r="AC178" s="554"/>
      <c r="AD178" s="242"/>
    </row>
    <row r="179" spans="1:30">
      <c r="A179" s="242"/>
      <c r="B179" s="558">
        <v>39529</v>
      </c>
      <c r="C179" s="558"/>
      <c r="D179" s="247"/>
      <c r="E179" s="256">
        <v>300.10000000000002</v>
      </c>
      <c r="F179" s="557">
        <v>24</v>
      </c>
      <c r="G179" s="557"/>
      <c r="H179" s="256">
        <v>267.10000000000002</v>
      </c>
      <c r="I179" s="557">
        <v>24</v>
      </c>
      <c r="J179" s="557"/>
      <c r="K179" s="256">
        <v>0</v>
      </c>
      <c r="L179" s="257">
        <v>0</v>
      </c>
      <c r="M179" s="256">
        <v>0</v>
      </c>
      <c r="N179" s="257">
        <v>0</v>
      </c>
      <c r="O179" s="258">
        <v>567.20000000000005</v>
      </c>
      <c r="P179" s="250"/>
      <c r="Q179" s="256">
        <v>0</v>
      </c>
      <c r="R179" s="257">
        <v>0</v>
      </c>
      <c r="S179" s="256">
        <v>0</v>
      </c>
      <c r="T179" s="557">
        <v>0</v>
      </c>
      <c r="U179" s="557"/>
      <c r="V179" s="256">
        <v>0</v>
      </c>
      <c r="W179" s="250"/>
      <c r="X179" s="556">
        <v>567.20000000000005</v>
      </c>
      <c r="Y179" s="556"/>
      <c r="Z179" s="250"/>
      <c r="AA179" s="259">
        <v>4086700</v>
      </c>
      <c r="AB179" s="565">
        <v>134764</v>
      </c>
      <c r="AC179" s="565"/>
      <c r="AD179" s="242"/>
    </row>
    <row r="180" spans="1:30">
      <c r="A180" s="242"/>
      <c r="B180" s="559"/>
      <c r="C180" s="559"/>
      <c r="D180" s="247"/>
      <c r="E180" s="250"/>
      <c r="F180" s="554"/>
      <c r="G180" s="554"/>
      <c r="H180" s="250"/>
      <c r="I180" s="554"/>
      <c r="J180" s="554"/>
      <c r="K180" s="250"/>
      <c r="L180" s="250"/>
      <c r="M180" s="250"/>
      <c r="N180" s="250"/>
      <c r="O180" s="250"/>
      <c r="P180" s="250"/>
      <c r="Q180" s="250"/>
      <c r="R180" s="250"/>
      <c r="S180" s="250"/>
      <c r="T180" s="554"/>
      <c r="U180" s="554"/>
      <c r="V180" s="250"/>
      <c r="W180" s="250"/>
      <c r="X180" s="554"/>
      <c r="Y180" s="554"/>
      <c r="Z180" s="250"/>
      <c r="AA180" s="250"/>
      <c r="AB180" s="554"/>
      <c r="AC180" s="554"/>
      <c r="AD180" s="242"/>
    </row>
    <row r="181" spans="1:30">
      <c r="A181" s="242"/>
      <c r="B181" s="563">
        <v>39530</v>
      </c>
      <c r="C181" s="563"/>
      <c r="D181" s="247"/>
      <c r="E181" s="252">
        <v>292.60000000000002</v>
      </c>
      <c r="F181" s="564">
        <v>24</v>
      </c>
      <c r="G181" s="564"/>
      <c r="H181" s="252">
        <v>274.89999999999998</v>
      </c>
      <c r="I181" s="564">
        <v>24</v>
      </c>
      <c r="J181" s="564"/>
      <c r="K181" s="252">
        <v>0</v>
      </c>
      <c r="L181" s="253">
        <v>0</v>
      </c>
      <c r="M181" s="252">
        <v>19</v>
      </c>
      <c r="N181" s="253">
        <v>3</v>
      </c>
      <c r="O181" s="254">
        <v>586.5</v>
      </c>
      <c r="P181" s="250"/>
      <c r="Q181" s="252">
        <v>0</v>
      </c>
      <c r="R181" s="253">
        <v>0</v>
      </c>
      <c r="S181" s="252">
        <v>0</v>
      </c>
      <c r="T181" s="564">
        <v>0</v>
      </c>
      <c r="U181" s="564"/>
      <c r="V181" s="252">
        <v>0</v>
      </c>
      <c r="W181" s="250"/>
      <c r="X181" s="561">
        <v>586.5</v>
      </c>
      <c r="Y181" s="561"/>
      <c r="Z181" s="250"/>
      <c r="AA181" s="255">
        <v>4382573</v>
      </c>
      <c r="AB181" s="566">
        <v>137058</v>
      </c>
      <c r="AC181" s="566"/>
      <c r="AD181" s="242"/>
    </row>
    <row r="182" spans="1:30">
      <c r="A182" s="242"/>
      <c r="B182" s="559"/>
      <c r="C182" s="559"/>
      <c r="D182" s="247"/>
      <c r="E182" s="250"/>
      <c r="F182" s="554"/>
      <c r="G182" s="554"/>
      <c r="H182" s="250"/>
      <c r="I182" s="554"/>
      <c r="J182" s="554"/>
      <c r="K182" s="250"/>
      <c r="L182" s="250"/>
      <c r="M182" s="250"/>
      <c r="N182" s="250"/>
      <c r="O182" s="250"/>
      <c r="P182" s="250"/>
      <c r="Q182" s="250"/>
      <c r="R182" s="250"/>
      <c r="S182" s="250"/>
      <c r="T182" s="554"/>
      <c r="U182" s="554"/>
      <c r="V182" s="250"/>
      <c r="W182" s="250"/>
      <c r="X182" s="554"/>
      <c r="Y182" s="554"/>
      <c r="Z182" s="250"/>
      <c r="AA182" s="250"/>
      <c r="AB182" s="554"/>
      <c r="AC182" s="554"/>
      <c r="AD182" s="242"/>
    </row>
    <row r="183" spans="1:30">
      <c r="A183" s="242"/>
      <c r="B183" s="558">
        <v>39531</v>
      </c>
      <c r="C183" s="558"/>
      <c r="D183" s="247"/>
      <c r="E183" s="256">
        <v>294.5</v>
      </c>
      <c r="F183" s="557">
        <v>24</v>
      </c>
      <c r="G183" s="557"/>
      <c r="H183" s="256">
        <v>288.5</v>
      </c>
      <c r="I183" s="557">
        <v>24</v>
      </c>
      <c r="J183" s="557"/>
      <c r="K183" s="256">
        <v>0</v>
      </c>
      <c r="L183" s="257">
        <v>0</v>
      </c>
      <c r="M183" s="256">
        <v>0</v>
      </c>
      <c r="N183" s="257">
        <v>0</v>
      </c>
      <c r="O183" s="258">
        <v>583</v>
      </c>
      <c r="P183" s="250"/>
      <c r="Q183" s="256">
        <v>0</v>
      </c>
      <c r="R183" s="257">
        <v>0</v>
      </c>
      <c r="S183" s="256">
        <v>0</v>
      </c>
      <c r="T183" s="557">
        <v>0</v>
      </c>
      <c r="U183" s="557"/>
      <c r="V183" s="256">
        <v>0</v>
      </c>
      <c r="W183" s="250"/>
      <c r="X183" s="556">
        <v>583</v>
      </c>
      <c r="Y183" s="556"/>
      <c r="Z183" s="250"/>
      <c r="AA183" s="259">
        <v>4064500</v>
      </c>
      <c r="AB183" s="565">
        <v>141170</v>
      </c>
      <c r="AC183" s="565"/>
      <c r="AD183" s="242"/>
    </row>
    <row r="184" spans="1:30">
      <c r="A184" s="242"/>
      <c r="B184" s="559"/>
      <c r="C184" s="559"/>
      <c r="D184" s="247"/>
      <c r="E184" s="250"/>
      <c r="F184" s="554"/>
      <c r="G184" s="554"/>
      <c r="H184" s="250"/>
      <c r="I184" s="554"/>
      <c r="J184" s="554"/>
      <c r="K184" s="250"/>
      <c r="L184" s="250"/>
      <c r="M184" s="250"/>
      <c r="N184" s="250"/>
      <c r="O184" s="250"/>
      <c r="P184" s="250"/>
      <c r="Q184" s="250"/>
      <c r="R184" s="250"/>
      <c r="S184" s="250"/>
      <c r="T184" s="554"/>
      <c r="U184" s="554"/>
      <c r="V184" s="250"/>
      <c r="W184" s="250"/>
      <c r="X184" s="554"/>
      <c r="Y184" s="554"/>
      <c r="Z184" s="250"/>
      <c r="AA184" s="250"/>
      <c r="AB184" s="554"/>
      <c r="AC184" s="554"/>
      <c r="AD184" s="242"/>
    </row>
    <row r="185" spans="1:30">
      <c r="A185" s="242"/>
      <c r="B185" s="563">
        <v>39532</v>
      </c>
      <c r="C185" s="563"/>
      <c r="D185" s="247"/>
      <c r="E185" s="252">
        <v>263.39999999999998</v>
      </c>
      <c r="F185" s="564">
        <v>24</v>
      </c>
      <c r="G185" s="564"/>
      <c r="H185" s="252">
        <v>256.10000000000002</v>
      </c>
      <c r="I185" s="564">
        <v>24</v>
      </c>
      <c r="J185" s="564"/>
      <c r="K185" s="252">
        <v>0</v>
      </c>
      <c r="L185" s="253">
        <v>0</v>
      </c>
      <c r="M185" s="252">
        <v>52</v>
      </c>
      <c r="N185" s="253">
        <v>9</v>
      </c>
      <c r="O185" s="254">
        <v>571.5</v>
      </c>
      <c r="P185" s="250"/>
      <c r="Q185" s="252">
        <v>0</v>
      </c>
      <c r="R185" s="253">
        <v>0</v>
      </c>
      <c r="S185" s="252">
        <v>0</v>
      </c>
      <c r="T185" s="564">
        <v>0</v>
      </c>
      <c r="U185" s="564"/>
      <c r="V185" s="252">
        <v>0</v>
      </c>
      <c r="W185" s="250"/>
      <c r="X185" s="561">
        <v>571.5</v>
      </c>
      <c r="Y185" s="561"/>
      <c r="Z185" s="250"/>
      <c r="AA185" s="255">
        <v>4848973</v>
      </c>
      <c r="AB185" s="566">
        <v>132551</v>
      </c>
      <c r="AC185" s="566"/>
      <c r="AD185" s="242"/>
    </row>
    <row r="186" spans="1:30">
      <c r="A186" s="242"/>
      <c r="B186" s="559"/>
      <c r="C186" s="559"/>
      <c r="D186" s="247"/>
      <c r="E186" s="250"/>
      <c r="F186" s="554"/>
      <c r="G186" s="554"/>
      <c r="H186" s="250"/>
      <c r="I186" s="554"/>
      <c r="J186" s="554"/>
      <c r="K186" s="250"/>
      <c r="L186" s="250"/>
      <c r="M186" s="250"/>
      <c r="N186" s="250"/>
      <c r="O186" s="250"/>
      <c r="P186" s="250"/>
      <c r="Q186" s="250"/>
      <c r="R186" s="250"/>
      <c r="S186" s="250"/>
      <c r="T186" s="554"/>
      <c r="U186" s="554"/>
      <c r="V186" s="250"/>
      <c r="W186" s="250"/>
      <c r="X186" s="554"/>
      <c r="Y186" s="554"/>
      <c r="Z186" s="250"/>
      <c r="AA186" s="250"/>
      <c r="AB186" s="554"/>
      <c r="AC186" s="554"/>
      <c r="AD186" s="242"/>
    </row>
    <row r="187" spans="1:30">
      <c r="A187" s="242"/>
      <c r="B187" s="558">
        <v>39533</v>
      </c>
      <c r="C187" s="558"/>
      <c r="D187" s="247"/>
      <c r="E187" s="256">
        <v>124.9</v>
      </c>
      <c r="F187" s="557">
        <v>24</v>
      </c>
      <c r="G187" s="557"/>
      <c r="H187" s="256">
        <v>204.5</v>
      </c>
      <c r="I187" s="557">
        <v>24</v>
      </c>
      <c r="J187" s="557"/>
      <c r="K187" s="256">
        <v>0</v>
      </c>
      <c r="L187" s="257">
        <v>0</v>
      </c>
      <c r="M187" s="256">
        <v>332</v>
      </c>
      <c r="N187" s="257">
        <v>24</v>
      </c>
      <c r="O187" s="258">
        <v>661.4</v>
      </c>
      <c r="P187" s="250"/>
      <c r="Q187" s="256">
        <v>0</v>
      </c>
      <c r="R187" s="257">
        <v>0</v>
      </c>
      <c r="S187" s="256">
        <v>0</v>
      </c>
      <c r="T187" s="557">
        <v>0</v>
      </c>
      <c r="U187" s="557"/>
      <c r="V187" s="256">
        <v>0</v>
      </c>
      <c r="W187" s="250"/>
      <c r="X187" s="556">
        <v>661.4</v>
      </c>
      <c r="Y187" s="556"/>
      <c r="Z187" s="250"/>
      <c r="AA187" s="259">
        <v>6862414</v>
      </c>
      <c r="AB187" s="565">
        <v>122154</v>
      </c>
      <c r="AC187" s="565"/>
      <c r="AD187" s="242"/>
    </row>
    <row r="188" spans="1:30">
      <c r="A188" s="242"/>
      <c r="B188" s="559"/>
      <c r="C188" s="559"/>
      <c r="D188" s="247"/>
      <c r="E188" s="250"/>
      <c r="F188" s="554"/>
      <c r="G188" s="554"/>
      <c r="H188" s="250"/>
      <c r="I188" s="554"/>
      <c r="J188" s="554"/>
      <c r="K188" s="250"/>
      <c r="L188" s="250"/>
      <c r="M188" s="250"/>
      <c r="N188" s="250"/>
      <c r="O188" s="250"/>
      <c r="P188" s="250"/>
      <c r="Q188" s="250"/>
      <c r="R188" s="250"/>
      <c r="S188" s="250"/>
      <c r="T188" s="554"/>
      <c r="U188" s="554"/>
      <c r="V188" s="250"/>
      <c r="W188" s="250"/>
      <c r="X188" s="554"/>
      <c r="Y188" s="554"/>
      <c r="Z188" s="250"/>
      <c r="AA188" s="250"/>
      <c r="AB188" s="554"/>
      <c r="AC188" s="554"/>
      <c r="AD188" s="242"/>
    </row>
    <row r="189" spans="1:30">
      <c r="A189" s="242"/>
      <c r="B189" s="563">
        <v>39534</v>
      </c>
      <c r="C189" s="563"/>
      <c r="D189" s="247"/>
      <c r="E189" s="252">
        <v>71.400000000000006</v>
      </c>
      <c r="F189" s="564">
        <v>24</v>
      </c>
      <c r="G189" s="564"/>
      <c r="H189" s="252">
        <v>145.30000000000001</v>
      </c>
      <c r="I189" s="564">
        <v>24</v>
      </c>
      <c r="J189" s="564"/>
      <c r="K189" s="252">
        <v>0</v>
      </c>
      <c r="L189" s="253">
        <v>0</v>
      </c>
      <c r="M189" s="252">
        <v>429</v>
      </c>
      <c r="N189" s="253">
        <v>24</v>
      </c>
      <c r="O189" s="254">
        <v>645.70000000000005</v>
      </c>
      <c r="P189" s="250"/>
      <c r="Q189" s="252">
        <v>0</v>
      </c>
      <c r="R189" s="253">
        <v>0</v>
      </c>
      <c r="S189" s="252">
        <v>0</v>
      </c>
      <c r="T189" s="564">
        <v>0</v>
      </c>
      <c r="U189" s="564"/>
      <c r="V189" s="252">
        <v>0</v>
      </c>
      <c r="W189" s="250"/>
      <c r="X189" s="561">
        <v>645.70000000000005</v>
      </c>
      <c r="Y189" s="561"/>
      <c r="Z189" s="250"/>
      <c r="AA189" s="255">
        <v>7280182</v>
      </c>
      <c r="AB189" s="566">
        <v>103135</v>
      </c>
      <c r="AC189" s="566"/>
      <c r="AD189" s="242"/>
    </row>
    <row r="190" spans="1:30">
      <c r="A190" s="242"/>
      <c r="B190" s="559"/>
      <c r="C190" s="559"/>
      <c r="D190" s="247"/>
      <c r="E190" s="250"/>
      <c r="F190" s="554"/>
      <c r="G190" s="554"/>
      <c r="H190" s="250"/>
      <c r="I190" s="554"/>
      <c r="J190" s="554"/>
      <c r="K190" s="250"/>
      <c r="L190" s="250"/>
      <c r="M190" s="250"/>
      <c r="N190" s="250"/>
      <c r="O190" s="250"/>
      <c r="P190" s="250"/>
      <c r="Q190" s="250"/>
      <c r="R190" s="250"/>
      <c r="S190" s="250"/>
      <c r="T190" s="554"/>
      <c r="U190" s="554"/>
      <c r="V190" s="250"/>
      <c r="W190" s="250"/>
      <c r="X190" s="554"/>
      <c r="Y190" s="554"/>
      <c r="Z190" s="250"/>
      <c r="AA190" s="250"/>
      <c r="AB190" s="554"/>
      <c r="AC190" s="554"/>
      <c r="AD190" s="242"/>
    </row>
    <row r="191" spans="1:30">
      <c r="A191" s="242"/>
      <c r="B191" s="558">
        <v>39535</v>
      </c>
      <c r="C191" s="558"/>
      <c r="D191" s="247"/>
      <c r="E191" s="256">
        <v>258.60000000000002</v>
      </c>
      <c r="F191" s="557">
        <v>24</v>
      </c>
      <c r="G191" s="557"/>
      <c r="H191" s="256">
        <v>236</v>
      </c>
      <c r="I191" s="557">
        <v>24</v>
      </c>
      <c r="J191" s="557"/>
      <c r="K191" s="256">
        <v>0</v>
      </c>
      <c r="L191" s="257">
        <v>0</v>
      </c>
      <c r="M191" s="256">
        <v>146</v>
      </c>
      <c r="N191" s="257">
        <v>10</v>
      </c>
      <c r="O191" s="258">
        <v>640.6</v>
      </c>
      <c r="P191" s="250"/>
      <c r="Q191" s="256">
        <v>0</v>
      </c>
      <c r="R191" s="257">
        <v>0</v>
      </c>
      <c r="S191" s="256"/>
      <c r="T191" s="557"/>
      <c r="U191" s="557"/>
      <c r="V191" s="256">
        <v>0</v>
      </c>
      <c r="W191" s="250"/>
      <c r="X191" s="556">
        <v>640.6</v>
      </c>
      <c r="Y191" s="556"/>
      <c r="Z191" s="250"/>
      <c r="AA191" s="259">
        <v>5598140</v>
      </c>
      <c r="AB191" s="565">
        <v>127802</v>
      </c>
      <c r="AC191" s="565"/>
      <c r="AD191" s="242"/>
    </row>
    <row r="192" spans="1:30">
      <c r="A192" s="242"/>
      <c r="B192" s="559"/>
      <c r="C192" s="559"/>
      <c r="D192" s="247"/>
      <c r="E192" s="250"/>
      <c r="F192" s="554"/>
      <c r="G192" s="554"/>
      <c r="H192" s="250"/>
      <c r="I192" s="554"/>
      <c r="J192" s="554"/>
      <c r="K192" s="250"/>
      <c r="L192" s="250"/>
      <c r="M192" s="250"/>
      <c r="N192" s="250"/>
      <c r="O192" s="250"/>
      <c r="P192" s="250"/>
      <c r="Q192" s="250"/>
      <c r="R192" s="250"/>
      <c r="S192" s="250"/>
      <c r="T192" s="554"/>
      <c r="U192" s="554"/>
      <c r="V192" s="250"/>
      <c r="W192" s="250"/>
      <c r="X192" s="554"/>
      <c r="Y192" s="554"/>
      <c r="Z192" s="250"/>
      <c r="AA192" s="250"/>
      <c r="AB192" s="554"/>
      <c r="AC192" s="554"/>
      <c r="AD192" s="242"/>
    </row>
    <row r="193" spans="1:30">
      <c r="A193" s="242"/>
      <c r="B193" s="563">
        <v>39536</v>
      </c>
      <c r="C193" s="563"/>
      <c r="D193" s="247"/>
      <c r="E193" s="252">
        <v>297.8</v>
      </c>
      <c r="F193" s="564">
        <v>24</v>
      </c>
      <c r="G193" s="564"/>
      <c r="H193" s="252">
        <v>316.60000000000002</v>
      </c>
      <c r="I193" s="564">
        <v>24</v>
      </c>
      <c r="J193" s="564"/>
      <c r="K193" s="252">
        <v>0</v>
      </c>
      <c r="L193" s="253">
        <v>0</v>
      </c>
      <c r="M193" s="252">
        <v>0</v>
      </c>
      <c r="N193" s="253">
        <v>0</v>
      </c>
      <c r="O193" s="254">
        <v>614.4</v>
      </c>
      <c r="P193" s="250"/>
      <c r="Q193" s="252">
        <v>0</v>
      </c>
      <c r="R193" s="253">
        <v>0</v>
      </c>
      <c r="S193" s="252">
        <v>17</v>
      </c>
      <c r="T193" s="564">
        <v>3</v>
      </c>
      <c r="U193" s="564"/>
      <c r="V193" s="252">
        <v>17</v>
      </c>
      <c r="W193" s="250"/>
      <c r="X193" s="561">
        <v>631.4</v>
      </c>
      <c r="Y193" s="561"/>
      <c r="Z193" s="250"/>
      <c r="AA193" s="255">
        <v>4081500</v>
      </c>
      <c r="AB193" s="566">
        <v>148804</v>
      </c>
      <c r="AC193" s="566"/>
      <c r="AD193" s="242"/>
    </row>
    <row r="194" spans="1:30">
      <c r="A194" s="242"/>
      <c r="B194" s="559"/>
      <c r="C194" s="559"/>
      <c r="D194" s="247"/>
      <c r="E194" s="250"/>
      <c r="F194" s="554"/>
      <c r="G194" s="554"/>
      <c r="H194" s="250"/>
      <c r="I194" s="554"/>
      <c r="J194" s="554"/>
      <c r="K194" s="250"/>
      <c r="L194" s="250"/>
      <c r="M194" s="250"/>
      <c r="N194" s="250"/>
      <c r="O194" s="250"/>
      <c r="P194" s="250"/>
      <c r="Q194" s="250"/>
      <c r="R194" s="250"/>
      <c r="S194" s="250"/>
      <c r="T194" s="554"/>
      <c r="U194" s="554"/>
      <c r="V194" s="250"/>
      <c r="W194" s="250"/>
      <c r="X194" s="554"/>
      <c r="Y194" s="554"/>
      <c r="Z194" s="250"/>
      <c r="AA194" s="250"/>
      <c r="AB194" s="554"/>
      <c r="AC194" s="554"/>
      <c r="AD194" s="242"/>
    </row>
    <row r="195" spans="1:30">
      <c r="A195" s="242"/>
      <c r="B195" s="558">
        <v>39537</v>
      </c>
      <c r="C195" s="558"/>
      <c r="D195" s="247"/>
      <c r="E195" s="256">
        <v>293.8</v>
      </c>
      <c r="F195" s="557">
        <v>24</v>
      </c>
      <c r="G195" s="557"/>
      <c r="H195" s="256">
        <v>293.8</v>
      </c>
      <c r="I195" s="557">
        <v>24</v>
      </c>
      <c r="J195" s="557"/>
      <c r="K195" s="256">
        <v>0</v>
      </c>
      <c r="L195" s="257">
        <v>0</v>
      </c>
      <c r="M195" s="256">
        <v>0</v>
      </c>
      <c r="N195" s="257">
        <v>0</v>
      </c>
      <c r="O195" s="258">
        <v>587.6</v>
      </c>
      <c r="P195" s="250"/>
      <c r="Q195" s="256">
        <v>0</v>
      </c>
      <c r="R195" s="257">
        <v>0</v>
      </c>
      <c r="S195" s="256">
        <v>66</v>
      </c>
      <c r="T195" s="557">
        <v>12</v>
      </c>
      <c r="U195" s="557"/>
      <c r="V195" s="256">
        <v>66</v>
      </c>
      <c r="W195" s="250"/>
      <c r="X195" s="556">
        <v>653.6</v>
      </c>
      <c r="Y195" s="556"/>
      <c r="Z195" s="250"/>
      <c r="AA195" s="259">
        <v>4148300</v>
      </c>
      <c r="AB195" s="565">
        <v>135676</v>
      </c>
      <c r="AC195" s="565"/>
      <c r="AD195" s="242"/>
    </row>
    <row r="196" spans="1:30">
      <c r="A196" s="242"/>
      <c r="B196" s="559"/>
      <c r="C196" s="559"/>
      <c r="D196" s="247"/>
      <c r="E196" s="250"/>
      <c r="F196" s="554"/>
      <c r="G196" s="554"/>
      <c r="H196" s="250"/>
      <c r="I196" s="554"/>
      <c r="J196" s="554"/>
      <c r="K196" s="250"/>
      <c r="L196" s="250"/>
      <c r="M196" s="250"/>
      <c r="N196" s="250"/>
      <c r="O196" s="250"/>
      <c r="P196" s="250"/>
      <c r="Q196" s="250"/>
      <c r="R196" s="250"/>
      <c r="S196" s="250"/>
      <c r="T196" s="554"/>
      <c r="U196" s="554"/>
      <c r="V196" s="250"/>
      <c r="W196" s="250"/>
      <c r="X196" s="554"/>
      <c r="Y196" s="554"/>
      <c r="Z196" s="250"/>
      <c r="AA196" s="250"/>
      <c r="AB196" s="554"/>
      <c r="AC196" s="554"/>
      <c r="AD196" s="242"/>
    </row>
    <row r="197" spans="1:30">
      <c r="A197" s="242"/>
      <c r="B197" s="563">
        <v>39538</v>
      </c>
      <c r="C197" s="563"/>
      <c r="D197" s="247"/>
      <c r="E197" s="252">
        <v>285.3</v>
      </c>
      <c r="F197" s="564">
        <v>24</v>
      </c>
      <c r="G197" s="564"/>
      <c r="H197" s="252">
        <v>303.39999999999998</v>
      </c>
      <c r="I197" s="564">
        <v>24</v>
      </c>
      <c r="J197" s="564"/>
      <c r="K197" s="252">
        <v>0</v>
      </c>
      <c r="L197" s="253">
        <v>0</v>
      </c>
      <c r="M197" s="252">
        <v>0</v>
      </c>
      <c r="N197" s="253">
        <v>0</v>
      </c>
      <c r="O197" s="254">
        <v>588.70000000000005</v>
      </c>
      <c r="P197" s="250"/>
      <c r="Q197" s="252">
        <v>0</v>
      </c>
      <c r="R197" s="253">
        <v>0</v>
      </c>
      <c r="S197" s="252">
        <v>0</v>
      </c>
      <c r="T197" s="564">
        <v>0</v>
      </c>
      <c r="U197" s="564"/>
      <c r="V197" s="252">
        <v>0</v>
      </c>
      <c r="W197" s="250"/>
      <c r="X197" s="561">
        <v>588.70000000000005</v>
      </c>
      <c r="Y197" s="561"/>
      <c r="Z197" s="250"/>
      <c r="AA197" s="255">
        <v>4011500</v>
      </c>
      <c r="AB197" s="566">
        <v>146652</v>
      </c>
      <c r="AC197" s="566"/>
      <c r="AD197" s="242"/>
    </row>
    <row r="198" spans="1:30">
      <c r="A198" s="242"/>
      <c r="B198" s="559"/>
      <c r="C198" s="559"/>
      <c r="D198" s="247"/>
      <c r="E198" s="250"/>
      <c r="F198" s="554"/>
      <c r="G198" s="554"/>
      <c r="H198" s="250"/>
      <c r="I198" s="554"/>
      <c r="J198" s="554"/>
      <c r="K198" s="250"/>
      <c r="L198" s="250"/>
      <c r="M198" s="250"/>
      <c r="N198" s="250"/>
      <c r="O198" s="250"/>
      <c r="P198" s="250"/>
      <c r="Q198" s="250"/>
      <c r="R198" s="250"/>
      <c r="S198" s="250"/>
      <c r="T198" s="554"/>
      <c r="U198" s="554"/>
      <c r="V198" s="250"/>
      <c r="W198" s="250"/>
      <c r="X198" s="554"/>
      <c r="Y198" s="554"/>
      <c r="Z198" s="250"/>
      <c r="AA198" s="250"/>
      <c r="AB198" s="554"/>
      <c r="AC198" s="554"/>
      <c r="AD198" s="242"/>
    </row>
    <row r="199" spans="1:30">
      <c r="A199" s="242"/>
      <c r="B199" s="558">
        <v>39539</v>
      </c>
      <c r="C199" s="558"/>
      <c r="D199" s="247"/>
      <c r="E199" s="256">
        <v>294.5</v>
      </c>
      <c r="F199" s="557">
        <v>24</v>
      </c>
      <c r="G199" s="557"/>
      <c r="H199" s="256">
        <v>323.39999999999998</v>
      </c>
      <c r="I199" s="557">
        <v>24</v>
      </c>
      <c r="J199" s="557"/>
      <c r="K199" s="256">
        <v>0</v>
      </c>
      <c r="L199" s="257">
        <v>0</v>
      </c>
      <c r="M199" s="256">
        <v>0</v>
      </c>
      <c r="N199" s="257">
        <v>0</v>
      </c>
      <c r="O199" s="258">
        <v>617.9</v>
      </c>
      <c r="P199" s="250"/>
      <c r="Q199" s="256">
        <v>0</v>
      </c>
      <c r="R199" s="257">
        <v>0</v>
      </c>
      <c r="S199" s="256">
        <v>33</v>
      </c>
      <c r="T199" s="557">
        <v>7</v>
      </c>
      <c r="U199" s="557"/>
      <c r="V199" s="256">
        <v>33</v>
      </c>
      <c r="W199" s="250"/>
      <c r="X199" s="556">
        <v>650.9</v>
      </c>
      <c r="Y199" s="556"/>
      <c r="Z199" s="250"/>
      <c r="AA199" s="259">
        <v>4062300</v>
      </c>
      <c r="AB199" s="565">
        <v>150548</v>
      </c>
      <c r="AC199" s="565"/>
      <c r="AD199" s="242"/>
    </row>
    <row r="200" spans="1:30">
      <c r="A200" s="242"/>
      <c r="B200" s="559"/>
      <c r="C200" s="559"/>
      <c r="D200" s="247"/>
      <c r="E200" s="250"/>
      <c r="F200" s="554"/>
      <c r="G200" s="554"/>
      <c r="H200" s="250"/>
      <c r="I200" s="554"/>
      <c r="J200" s="554"/>
      <c r="K200" s="250"/>
      <c r="L200" s="250"/>
      <c r="M200" s="250"/>
      <c r="N200" s="250"/>
      <c r="O200" s="250"/>
      <c r="P200" s="250"/>
      <c r="Q200" s="250"/>
      <c r="R200" s="250"/>
      <c r="S200" s="250"/>
      <c r="T200" s="554"/>
      <c r="U200" s="554"/>
      <c r="V200" s="250"/>
      <c r="W200" s="250"/>
      <c r="X200" s="554"/>
      <c r="Y200" s="554"/>
      <c r="Z200" s="250"/>
      <c r="AA200" s="250"/>
      <c r="AB200" s="554"/>
      <c r="AC200" s="554"/>
      <c r="AD200" s="242"/>
    </row>
    <row r="201" spans="1:30">
      <c r="A201" s="242"/>
      <c r="B201" s="563">
        <v>39540</v>
      </c>
      <c r="C201" s="563"/>
      <c r="D201" s="247"/>
      <c r="E201" s="252">
        <v>276.2</v>
      </c>
      <c r="F201" s="564">
        <v>24</v>
      </c>
      <c r="G201" s="564"/>
      <c r="H201" s="252">
        <v>327.60000000000002</v>
      </c>
      <c r="I201" s="564">
        <v>24</v>
      </c>
      <c r="J201" s="564"/>
      <c r="K201" s="252">
        <v>0</v>
      </c>
      <c r="L201" s="253">
        <v>0</v>
      </c>
      <c r="M201" s="252">
        <v>0</v>
      </c>
      <c r="N201" s="253">
        <v>0</v>
      </c>
      <c r="O201" s="254">
        <v>603.79999999999995</v>
      </c>
      <c r="P201" s="250"/>
      <c r="Q201" s="252">
        <v>0</v>
      </c>
      <c r="R201" s="253">
        <v>0</v>
      </c>
      <c r="S201" s="252">
        <v>0</v>
      </c>
      <c r="T201" s="564">
        <v>0</v>
      </c>
      <c r="U201" s="564"/>
      <c r="V201" s="252">
        <v>0</v>
      </c>
      <c r="W201" s="250"/>
      <c r="X201" s="561">
        <v>603.79999999999995</v>
      </c>
      <c r="Y201" s="561"/>
      <c r="Z201" s="250"/>
      <c r="AA201" s="255">
        <v>3949900</v>
      </c>
      <c r="AB201" s="566">
        <v>154027</v>
      </c>
      <c r="AC201" s="566"/>
      <c r="AD201" s="242"/>
    </row>
    <row r="202" spans="1:30">
      <c r="A202" s="242"/>
      <c r="B202" s="559"/>
      <c r="C202" s="559"/>
      <c r="D202" s="247"/>
      <c r="E202" s="250"/>
      <c r="F202" s="554"/>
      <c r="G202" s="554"/>
      <c r="H202" s="250"/>
      <c r="I202" s="554"/>
      <c r="J202" s="554"/>
      <c r="K202" s="250"/>
      <c r="L202" s="250"/>
      <c r="M202" s="250"/>
      <c r="N202" s="250"/>
      <c r="O202" s="250"/>
      <c r="P202" s="250"/>
      <c r="Q202" s="250"/>
      <c r="R202" s="250"/>
      <c r="S202" s="250"/>
      <c r="T202" s="554"/>
      <c r="U202" s="554"/>
      <c r="V202" s="250"/>
      <c r="W202" s="250"/>
      <c r="X202" s="554"/>
      <c r="Y202" s="554"/>
      <c r="Z202" s="250"/>
      <c r="AA202" s="250"/>
      <c r="AB202" s="554"/>
      <c r="AC202" s="554"/>
      <c r="AD202" s="242"/>
    </row>
    <row r="203" spans="1:30">
      <c r="A203" s="242"/>
      <c r="B203" s="558">
        <v>39541</v>
      </c>
      <c r="C203" s="558"/>
      <c r="D203" s="247"/>
      <c r="E203" s="256">
        <v>274.8</v>
      </c>
      <c r="F203" s="557">
        <v>24</v>
      </c>
      <c r="G203" s="557"/>
      <c r="H203" s="256">
        <v>284.3</v>
      </c>
      <c r="I203" s="557">
        <v>24</v>
      </c>
      <c r="J203" s="557"/>
      <c r="K203" s="256">
        <v>0</v>
      </c>
      <c r="L203" s="257">
        <v>0</v>
      </c>
      <c r="M203" s="256">
        <v>0</v>
      </c>
      <c r="N203" s="257">
        <v>0</v>
      </c>
      <c r="O203" s="258">
        <v>559.1</v>
      </c>
      <c r="P203" s="250"/>
      <c r="Q203" s="256">
        <v>0</v>
      </c>
      <c r="R203" s="257">
        <v>0</v>
      </c>
      <c r="S203" s="256">
        <v>0</v>
      </c>
      <c r="T203" s="557">
        <v>0</v>
      </c>
      <c r="U203" s="557"/>
      <c r="V203" s="256">
        <v>0</v>
      </c>
      <c r="W203" s="250"/>
      <c r="X203" s="556">
        <v>559.1</v>
      </c>
      <c r="Y203" s="556"/>
      <c r="Z203" s="250"/>
      <c r="AA203" s="259">
        <v>3934100</v>
      </c>
      <c r="AB203" s="565">
        <v>141406</v>
      </c>
      <c r="AC203" s="565"/>
      <c r="AD203" s="242"/>
    </row>
    <row r="204" spans="1:30">
      <c r="A204" s="242"/>
      <c r="B204" s="559"/>
      <c r="C204" s="559"/>
      <c r="D204" s="247"/>
      <c r="E204" s="250"/>
      <c r="F204" s="554"/>
      <c r="G204" s="554"/>
      <c r="H204" s="250"/>
      <c r="I204" s="554"/>
      <c r="J204" s="554"/>
      <c r="K204" s="250"/>
      <c r="L204" s="250"/>
      <c r="M204" s="250"/>
      <c r="N204" s="250"/>
      <c r="O204" s="250"/>
      <c r="P204" s="250"/>
      <c r="Q204" s="250"/>
      <c r="R204" s="250"/>
      <c r="S204" s="250"/>
      <c r="T204" s="554"/>
      <c r="U204" s="554"/>
      <c r="V204" s="250"/>
      <c r="W204" s="250"/>
      <c r="X204" s="554"/>
      <c r="Y204" s="554"/>
      <c r="Z204" s="250"/>
      <c r="AA204" s="250"/>
      <c r="AB204" s="554"/>
      <c r="AC204" s="554"/>
      <c r="AD204" s="242"/>
    </row>
    <row r="205" spans="1:30">
      <c r="A205" s="242"/>
      <c r="B205" s="563">
        <v>39542</v>
      </c>
      <c r="C205" s="563"/>
      <c r="D205" s="247"/>
      <c r="E205" s="252">
        <v>305.39999999999998</v>
      </c>
      <c r="F205" s="564">
        <v>24</v>
      </c>
      <c r="G205" s="564"/>
      <c r="H205" s="252">
        <v>258.7</v>
      </c>
      <c r="I205" s="564">
        <v>24</v>
      </c>
      <c r="J205" s="564"/>
      <c r="K205" s="252">
        <v>0</v>
      </c>
      <c r="L205" s="253">
        <v>0</v>
      </c>
      <c r="M205" s="252">
        <v>0</v>
      </c>
      <c r="N205" s="253">
        <v>0</v>
      </c>
      <c r="O205" s="254">
        <v>564.1</v>
      </c>
      <c r="P205" s="250"/>
      <c r="Q205" s="252">
        <v>0</v>
      </c>
      <c r="R205" s="253">
        <v>0</v>
      </c>
      <c r="S205" s="252">
        <v>0</v>
      </c>
      <c r="T205" s="564">
        <v>0</v>
      </c>
      <c r="U205" s="564"/>
      <c r="V205" s="252">
        <v>0</v>
      </c>
      <c r="W205" s="250"/>
      <c r="X205" s="561">
        <v>564.1</v>
      </c>
      <c r="Y205" s="561"/>
      <c r="Z205" s="250"/>
      <c r="AA205" s="255">
        <v>4179400</v>
      </c>
      <c r="AB205" s="566">
        <v>134966</v>
      </c>
      <c r="AC205" s="566"/>
      <c r="AD205" s="242"/>
    </row>
    <row r="206" spans="1:30">
      <c r="A206" s="242"/>
      <c r="B206" s="559"/>
      <c r="C206" s="559"/>
      <c r="D206" s="247"/>
      <c r="E206" s="250"/>
      <c r="F206" s="554"/>
      <c r="G206" s="554"/>
      <c r="H206" s="250"/>
      <c r="I206" s="554"/>
      <c r="J206" s="554"/>
      <c r="K206" s="250"/>
      <c r="L206" s="250"/>
      <c r="M206" s="250"/>
      <c r="N206" s="250"/>
      <c r="O206" s="250"/>
      <c r="P206" s="250"/>
      <c r="Q206" s="250"/>
      <c r="R206" s="250"/>
      <c r="S206" s="250"/>
      <c r="T206" s="554"/>
      <c r="U206" s="554"/>
      <c r="V206" s="250"/>
      <c r="W206" s="250"/>
      <c r="X206" s="554"/>
      <c r="Y206" s="554"/>
      <c r="Z206" s="250"/>
      <c r="AA206" s="250"/>
      <c r="AB206" s="554"/>
      <c r="AC206" s="554"/>
      <c r="AD206" s="242"/>
    </row>
    <row r="207" spans="1:30">
      <c r="A207" s="242"/>
      <c r="B207" s="558">
        <v>39543</v>
      </c>
      <c r="C207" s="558"/>
      <c r="D207" s="247"/>
      <c r="E207" s="256">
        <v>295.60000000000002</v>
      </c>
      <c r="F207" s="557">
        <v>24</v>
      </c>
      <c r="G207" s="557"/>
      <c r="H207" s="256">
        <v>287</v>
      </c>
      <c r="I207" s="557">
        <v>24</v>
      </c>
      <c r="J207" s="557"/>
      <c r="K207" s="256">
        <v>0</v>
      </c>
      <c r="L207" s="257">
        <v>0</v>
      </c>
      <c r="M207" s="256">
        <v>0</v>
      </c>
      <c r="N207" s="257">
        <v>0</v>
      </c>
      <c r="O207" s="258">
        <v>582.6</v>
      </c>
      <c r="P207" s="250"/>
      <c r="Q207" s="256">
        <v>0</v>
      </c>
      <c r="R207" s="257">
        <v>0</v>
      </c>
      <c r="S207" s="256">
        <v>0</v>
      </c>
      <c r="T207" s="557">
        <v>0</v>
      </c>
      <c r="U207" s="557"/>
      <c r="V207" s="256">
        <v>0</v>
      </c>
      <c r="W207" s="250"/>
      <c r="X207" s="556">
        <v>582.6</v>
      </c>
      <c r="Y207" s="556"/>
      <c r="Z207" s="250"/>
      <c r="AA207" s="259">
        <v>3875800</v>
      </c>
      <c r="AB207" s="565">
        <v>142457</v>
      </c>
      <c r="AC207" s="565"/>
      <c r="AD207" s="242"/>
    </row>
    <row r="208" spans="1:30">
      <c r="A208" s="242"/>
      <c r="B208" s="559"/>
      <c r="C208" s="559"/>
      <c r="D208" s="247"/>
      <c r="E208" s="250"/>
      <c r="F208" s="554"/>
      <c r="G208" s="554"/>
      <c r="H208" s="250"/>
      <c r="I208" s="554"/>
      <c r="J208" s="554"/>
      <c r="K208" s="250"/>
      <c r="L208" s="250"/>
      <c r="M208" s="250"/>
      <c r="N208" s="250"/>
      <c r="O208" s="250"/>
      <c r="P208" s="250"/>
      <c r="Q208" s="250"/>
      <c r="R208" s="250"/>
      <c r="S208" s="250"/>
      <c r="T208" s="554"/>
      <c r="U208" s="554"/>
      <c r="V208" s="250"/>
      <c r="W208" s="250"/>
      <c r="X208" s="554"/>
      <c r="Y208" s="554"/>
      <c r="Z208" s="250"/>
      <c r="AA208" s="250"/>
      <c r="AB208" s="554"/>
      <c r="AC208" s="554"/>
      <c r="AD208" s="242"/>
    </row>
    <row r="209" spans="1:30">
      <c r="A209" s="242"/>
      <c r="B209" s="563">
        <v>39544</v>
      </c>
      <c r="C209" s="563"/>
      <c r="D209" s="247"/>
      <c r="E209" s="252">
        <v>287.35000000000002</v>
      </c>
      <c r="F209" s="564">
        <v>24</v>
      </c>
      <c r="G209" s="564"/>
      <c r="H209" s="252">
        <v>287.5</v>
      </c>
      <c r="I209" s="564">
        <v>24</v>
      </c>
      <c r="J209" s="564"/>
      <c r="K209" s="252">
        <v>0</v>
      </c>
      <c r="L209" s="253">
        <v>0</v>
      </c>
      <c r="M209" s="252">
        <v>0</v>
      </c>
      <c r="N209" s="253">
        <v>0</v>
      </c>
      <c r="O209" s="254">
        <v>574.85</v>
      </c>
      <c r="P209" s="250"/>
      <c r="Q209" s="252">
        <v>0</v>
      </c>
      <c r="R209" s="253">
        <v>0</v>
      </c>
      <c r="S209" s="252">
        <v>0</v>
      </c>
      <c r="T209" s="564">
        <v>0</v>
      </c>
      <c r="U209" s="564"/>
      <c r="V209" s="252">
        <v>0</v>
      </c>
      <c r="W209" s="250"/>
      <c r="X209" s="561">
        <v>574.85</v>
      </c>
      <c r="Y209" s="561"/>
      <c r="Z209" s="250"/>
      <c r="AA209" s="255">
        <v>3648100</v>
      </c>
      <c r="AB209" s="566">
        <v>142663</v>
      </c>
      <c r="AC209" s="566"/>
      <c r="AD209" s="242"/>
    </row>
    <row r="210" spans="1:30">
      <c r="A210" s="242"/>
      <c r="B210" s="559"/>
      <c r="C210" s="559"/>
      <c r="D210" s="247"/>
      <c r="E210" s="250"/>
      <c r="F210" s="554"/>
      <c r="G210" s="554"/>
      <c r="H210" s="250"/>
      <c r="I210" s="554"/>
      <c r="J210" s="554"/>
      <c r="K210" s="250"/>
      <c r="L210" s="250"/>
      <c r="M210" s="250"/>
      <c r="N210" s="250"/>
      <c r="O210" s="250"/>
      <c r="P210" s="250"/>
      <c r="Q210" s="250"/>
      <c r="R210" s="250"/>
      <c r="S210" s="250"/>
      <c r="T210" s="554"/>
      <c r="U210" s="554"/>
      <c r="V210" s="250"/>
      <c r="W210" s="250"/>
      <c r="X210" s="554"/>
      <c r="Y210" s="554"/>
      <c r="Z210" s="250"/>
      <c r="AA210" s="250"/>
      <c r="AB210" s="554"/>
      <c r="AC210" s="554"/>
      <c r="AD210" s="242"/>
    </row>
    <row r="211" spans="1:30">
      <c r="A211" s="242"/>
      <c r="B211" s="558">
        <v>39545</v>
      </c>
      <c r="C211" s="558"/>
      <c r="D211" s="247"/>
      <c r="E211" s="256">
        <v>284.64999999999998</v>
      </c>
      <c r="F211" s="557">
        <v>24</v>
      </c>
      <c r="G211" s="557"/>
      <c r="H211" s="256">
        <v>293.25</v>
      </c>
      <c r="I211" s="557">
        <v>24</v>
      </c>
      <c r="J211" s="557"/>
      <c r="K211" s="256">
        <v>0</v>
      </c>
      <c r="L211" s="257">
        <v>0</v>
      </c>
      <c r="M211" s="256">
        <v>0</v>
      </c>
      <c r="N211" s="257">
        <v>0</v>
      </c>
      <c r="O211" s="258">
        <v>577.9</v>
      </c>
      <c r="P211" s="250"/>
      <c r="Q211" s="256">
        <v>0</v>
      </c>
      <c r="R211" s="257">
        <v>0</v>
      </c>
      <c r="S211" s="256">
        <v>26</v>
      </c>
      <c r="T211" s="557">
        <v>6</v>
      </c>
      <c r="U211" s="557"/>
      <c r="V211" s="256">
        <v>26</v>
      </c>
      <c r="W211" s="250"/>
      <c r="X211" s="556">
        <v>603.9</v>
      </c>
      <c r="Y211" s="556"/>
      <c r="Z211" s="250"/>
      <c r="AA211" s="259">
        <v>3548600</v>
      </c>
      <c r="AB211" s="565">
        <v>141777</v>
      </c>
      <c r="AC211" s="565"/>
      <c r="AD211" s="242"/>
    </row>
    <row r="212" spans="1:30">
      <c r="A212" s="242"/>
      <c r="B212" s="559"/>
      <c r="C212" s="559"/>
      <c r="D212" s="247"/>
      <c r="E212" s="250"/>
      <c r="F212" s="554"/>
      <c r="G212" s="554"/>
      <c r="H212" s="250"/>
      <c r="I212" s="554"/>
      <c r="J212" s="554"/>
      <c r="K212" s="250"/>
      <c r="L212" s="250"/>
      <c r="M212" s="250"/>
      <c r="N212" s="250"/>
      <c r="O212" s="250"/>
      <c r="P212" s="250"/>
      <c r="Q212" s="250"/>
      <c r="R212" s="250"/>
      <c r="S212" s="250"/>
      <c r="T212" s="554"/>
      <c r="U212" s="554"/>
      <c r="V212" s="250"/>
      <c r="W212" s="250"/>
      <c r="X212" s="554"/>
      <c r="Y212" s="554"/>
      <c r="Z212" s="250"/>
      <c r="AA212" s="250"/>
      <c r="AB212" s="554"/>
      <c r="AC212" s="554"/>
      <c r="AD212" s="242"/>
    </row>
    <row r="213" spans="1:30">
      <c r="A213" s="242"/>
      <c r="B213" s="563">
        <v>39546</v>
      </c>
      <c r="C213" s="563"/>
      <c r="D213" s="247"/>
      <c r="E213" s="252">
        <v>263.60000000000002</v>
      </c>
      <c r="F213" s="564">
        <v>24</v>
      </c>
      <c r="G213" s="564"/>
      <c r="H213" s="252">
        <v>280.89999999999998</v>
      </c>
      <c r="I213" s="564">
        <v>24</v>
      </c>
      <c r="J213" s="564"/>
      <c r="K213" s="252">
        <v>0</v>
      </c>
      <c r="L213" s="253">
        <v>0</v>
      </c>
      <c r="M213" s="252">
        <v>80</v>
      </c>
      <c r="N213" s="253">
        <v>10</v>
      </c>
      <c r="O213" s="254">
        <v>624.5</v>
      </c>
      <c r="P213" s="250"/>
      <c r="Q213" s="252">
        <v>0</v>
      </c>
      <c r="R213" s="253">
        <v>0</v>
      </c>
      <c r="S213" s="252">
        <v>0</v>
      </c>
      <c r="T213" s="564">
        <v>0</v>
      </c>
      <c r="U213" s="564"/>
      <c r="V213" s="252">
        <v>0</v>
      </c>
      <c r="W213" s="250"/>
      <c r="X213" s="561">
        <v>624.5</v>
      </c>
      <c r="Y213" s="561"/>
      <c r="Z213" s="250"/>
      <c r="AA213" s="255">
        <v>4714673</v>
      </c>
      <c r="AB213" s="566">
        <v>142460</v>
      </c>
      <c r="AC213" s="566"/>
      <c r="AD213" s="242"/>
    </row>
    <row r="214" spans="1:30">
      <c r="A214" s="242"/>
      <c r="B214" s="559"/>
      <c r="C214" s="559"/>
      <c r="D214" s="247"/>
      <c r="E214" s="250"/>
      <c r="F214" s="554"/>
      <c r="G214" s="554"/>
      <c r="H214" s="250"/>
      <c r="I214" s="554"/>
      <c r="J214" s="554"/>
      <c r="K214" s="250"/>
      <c r="L214" s="250"/>
      <c r="M214" s="250"/>
      <c r="N214" s="250"/>
      <c r="O214" s="250"/>
      <c r="P214" s="250"/>
      <c r="Q214" s="250"/>
      <c r="R214" s="250"/>
      <c r="S214" s="250"/>
      <c r="T214" s="554"/>
      <c r="U214" s="554"/>
      <c r="V214" s="250"/>
      <c r="W214" s="250"/>
      <c r="X214" s="554"/>
      <c r="Y214" s="554"/>
      <c r="Z214" s="250"/>
      <c r="AA214" s="250"/>
      <c r="AB214" s="554"/>
      <c r="AC214" s="554"/>
      <c r="AD214" s="242"/>
    </row>
    <row r="215" spans="1:30">
      <c r="A215" s="242"/>
      <c r="B215" s="558">
        <v>39547</v>
      </c>
      <c r="C215" s="558"/>
      <c r="D215" s="247"/>
      <c r="E215" s="256">
        <v>133.69999999999999</v>
      </c>
      <c r="F215" s="557">
        <v>24</v>
      </c>
      <c r="G215" s="557"/>
      <c r="H215" s="256">
        <v>120.6</v>
      </c>
      <c r="I215" s="557">
        <v>18</v>
      </c>
      <c r="J215" s="557"/>
      <c r="K215" s="256">
        <v>0</v>
      </c>
      <c r="L215" s="257">
        <v>0</v>
      </c>
      <c r="M215" s="256">
        <v>303</v>
      </c>
      <c r="N215" s="257">
        <v>24</v>
      </c>
      <c r="O215" s="258">
        <v>557.29999999999995</v>
      </c>
      <c r="P215" s="250"/>
      <c r="Q215" s="256">
        <v>0</v>
      </c>
      <c r="R215" s="257">
        <v>0</v>
      </c>
      <c r="S215" s="256">
        <v>0</v>
      </c>
      <c r="T215" s="557">
        <v>0</v>
      </c>
      <c r="U215" s="557"/>
      <c r="V215" s="256">
        <v>0</v>
      </c>
      <c r="W215" s="250"/>
      <c r="X215" s="556">
        <v>557.29999999999995</v>
      </c>
      <c r="Y215" s="556"/>
      <c r="Z215" s="250"/>
      <c r="AA215" s="259">
        <v>6554807</v>
      </c>
      <c r="AB215" s="565">
        <v>81875</v>
      </c>
      <c r="AC215" s="565"/>
      <c r="AD215" s="242"/>
    </row>
    <row r="216" spans="1:30">
      <c r="A216" s="242"/>
      <c r="B216" s="559"/>
      <c r="C216" s="559"/>
      <c r="D216" s="247"/>
      <c r="E216" s="250"/>
      <c r="F216" s="554"/>
      <c r="G216" s="554"/>
      <c r="H216" s="250"/>
      <c r="I216" s="554"/>
      <c r="J216" s="554"/>
      <c r="K216" s="250"/>
      <c r="L216" s="250"/>
      <c r="M216" s="250"/>
      <c r="N216" s="250"/>
      <c r="O216" s="250"/>
      <c r="P216" s="250"/>
      <c r="Q216" s="250"/>
      <c r="R216" s="250"/>
      <c r="S216" s="250"/>
      <c r="T216" s="554"/>
      <c r="U216" s="554"/>
      <c r="V216" s="250"/>
      <c r="W216" s="250"/>
      <c r="X216" s="554"/>
      <c r="Y216" s="554"/>
      <c r="Z216" s="250"/>
      <c r="AA216" s="250"/>
      <c r="AB216" s="554"/>
      <c r="AC216" s="554"/>
      <c r="AD216" s="242"/>
    </row>
    <row r="217" spans="1:30">
      <c r="A217" s="242"/>
      <c r="B217" s="563">
        <v>39548</v>
      </c>
      <c r="C217" s="563"/>
      <c r="D217" s="247"/>
      <c r="E217" s="252">
        <v>213.7</v>
      </c>
      <c r="F217" s="564">
        <v>24</v>
      </c>
      <c r="G217" s="564"/>
      <c r="H217" s="252">
        <v>75.8</v>
      </c>
      <c r="I217" s="564">
        <v>10</v>
      </c>
      <c r="J217" s="564"/>
      <c r="K217" s="252">
        <v>0</v>
      </c>
      <c r="L217" s="253">
        <v>0</v>
      </c>
      <c r="M217" s="252">
        <v>257</v>
      </c>
      <c r="N217" s="253">
        <v>24</v>
      </c>
      <c r="O217" s="254">
        <v>546.5</v>
      </c>
      <c r="P217" s="250"/>
      <c r="Q217" s="252">
        <v>0</v>
      </c>
      <c r="R217" s="253">
        <v>0</v>
      </c>
      <c r="S217" s="252">
        <v>0</v>
      </c>
      <c r="T217" s="564">
        <v>0</v>
      </c>
      <c r="U217" s="564"/>
      <c r="V217" s="252">
        <v>0</v>
      </c>
      <c r="W217" s="250"/>
      <c r="X217" s="561">
        <v>546.5</v>
      </c>
      <c r="Y217" s="561"/>
      <c r="Z217" s="250"/>
      <c r="AA217" s="255">
        <v>5886300</v>
      </c>
      <c r="AB217" s="566">
        <v>46493</v>
      </c>
      <c r="AC217" s="566"/>
      <c r="AD217" s="242"/>
    </row>
    <row r="218" spans="1:30">
      <c r="A218" s="242"/>
      <c r="B218" s="559"/>
      <c r="C218" s="559"/>
      <c r="D218" s="247"/>
      <c r="E218" s="250"/>
      <c r="F218" s="554"/>
      <c r="G218" s="554"/>
      <c r="H218" s="250"/>
      <c r="I218" s="554"/>
      <c r="J218" s="554"/>
      <c r="K218" s="250"/>
      <c r="L218" s="250"/>
      <c r="M218" s="250"/>
      <c r="N218" s="250"/>
      <c r="O218" s="250"/>
      <c r="P218" s="250"/>
      <c r="Q218" s="250"/>
      <c r="R218" s="250"/>
      <c r="S218" s="250"/>
      <c r="T218" s="554"/>
      <c r="U218" s="554"/>
      <c r="V218" s="250"/>
      <c r="W218" s="250"/>
      <c r="X218" s="554"/>
      <c r="Y218" s="554"/>
      <c r="Z218" s="250"/>
      <c r="AA218" s="250"/>
      <c r="AB218" s="554"/>
      <c r="AC218" s="554"/>
      <c r="AD218" s="242"/>
    </row>
    <row r="219" spans="1:30">
      <c r="A219" s="242"/>
      <c r="B219" s="558">
        <v>39549</v>
      </c>
      <c r="C219" s="558"/>
      <c r="D219" s="247"/>
      <c r="E219" s="256">
        <v>39.6</v>
      </c>
      <c r="F219" s="557">
        <v>6</v>
      </c>
      <c r="G219" s="557"/>
      <c r="H219" s="256">
        <v>209.1</v>
      </c>
      <c r="I219" s="557">
        <v>24</v>
      </c>
      <c r="J219" s="557"/>
      <c r="K219" s="256">
        <v>0</v>
      </c>
      <c r="L219" s="257">
        <v>0</v>
      </c>
      <c r="M219" s="256">
        <v>286</v>
      </c>
      <c r="N219" s="257">
        <v>24</v>
      </c>
      <c r="O219" s="258">
        <v>534.70000000000005</v>
      </c>
      <c r="P219" s="250"/>
      <c r="Q219" s="256">
        <v>0</v>
      </c>
      <c r="R219" s="257">
        <v>0</v>
      </c>
      <c r="S219" s="256">
        <v>0</v>
      </c>
      <c r="T219" s="557">
        <v>0</v>
      </c>
      <c r="U219" s="557"/>
      <c r="V219" s="256">
        <v>0</v>
      </c>
      <c r="W219" s="250"/>
      <c r="X219" s="556">
        <v>534.70000000000005</v>
      </c>
      <c r="Y219" s="556"/>
      <c r="Z219" s="250"/>
      <c r="AA219" s="259">
        <v>4363600</v>
      </c>
      <c r="AB219" s="565">
        <v>121597</v>
      </c>
      <c r="AC219" s="565"/>
      <c r="AD219" s="242"/>
    </row>
    <row r="220" spans="1:30">
      <c r="A220" s="242"/>
      <c r="B220" s="559"/>
      <c r="C220" s="559"/>
      <c r="D220" s="247"/>
      <c r="E220" s="250"/>
      <c r="F220" s="554"/>
      <c r="G220" s="554"/>
      <c r="H220" s="250"/>
      <c r="I220" s="554"/>
      <c r="J220" s="554"/>
      <c r="K220" s="250"/>
      <c r="L220" s="250"/>
      <c r="M220" s="250"/>
      <c r="N220" s="250"/>
      <c r="O220" s="250"/>
      <c r="P220" s="250"/>
      <c r="Q220" s="250"/>
      <c r="R220" s="250"/>
      <c r="S220" s="250"/>
      <c r="T220" s="554"/>
      <c r="U220" s="554"/>
      <c r="V220" s="250"/>
      <c r="W220" s="250"/>
      <c r="X220" s="554"/>
      <c r="Y220" s="554"/>
      <c r="Z220" s="250"/>
      <c r="AA220" s="250"/>
      <c r="AB220" s="554"/>
      <c r="AC220" s="554"/>
      <c r="AD220" s="242"/>
    </row>
    <row r="221" spans="1:30">
      <c r="A221" s="242"/>
      <c r="B221" s="563">
        <v>39550</v>
      </c>
      <c r="C221" s="563"/>
      <c r="D221" s="247"/>
      <c r="E221" s="252">
        <v>43.8</v>
      </c>
      <c r="F221" s="564">
        <v>7</v>
      </c>
      <c r="G221" s="564"/>
      <c r="H221" s="252">
        <v>169.3</v>
      </c>
      <c r="I221" s="564">
        <v>19</v>
      </c>
      <c r="J221" s="564"/>
      <c r="K221" s="252">
        <v>0</v>
      </c>
      <c r="L221" s="253">
        <v>0</v>
      </c>
      <c r="M221" s="252">
        <v>331</v>
      </c>
      <c r="N221" s="253">
        <v>24</v>
      </c>
      <c r="O221" s="254">
        <v>544.1</v>
      </c>
      <c r="P221" s="250"/>
      <c r="Q221" s="252">
        <v>0</v>
      </c>
      <c r="R221" s="253">
        <v>0</v>
      </c>
      <c r="S221" s="252">
        <v>0</v>
      </c>
      <c r="T221" s="564">
        <v>0</v>
      </c>
      <c r="U221" s="564"/>
      <c r="V221" s="252">
        <v>0</v>
      </c>
      <c r="W221" s="250"/>
      <c r="X221" s="561">
        <v>544.1</v>
      </c>
      <c r="Y221" s="561"/>
      <c r="Z221" s="250"/>
      <c r="AA221" s="255">
        <v>4826146</v>
      </c>
      <c r="AB221" s="566">
        <v>102902</v>
      </c>
      <c r="AC221" s="566"/>
      <c r="AD221" s="242"/>
    </row>
    <row r="222" spans="1:30">
      <c r="A222" s="242"/>
      <c r="B222" s="559"/>
      <c r="C222" s="559"/>
      <c r="D222" s="247"/>
      <c r="E222" s="250"/>
      <c r="F222" s="554"/>
      <c r="G222" s="554"/>
      <c r="H222" s="250"/>
      <c r="I222" s="554"/>
      <c r="J222" s="554"/>
      <c r="K222" s="250"/>
      <c r="L222" s="250"/>
      <c r="M222" s="250"/>
      <c r="N222" s="250"/>
      <c r="O222" s="250"/>
      <c r="P222" s="250"/>
      <c r="Q222" s="250"/>
      <c r="R222" s="250"/>
      <c r="S222" s="250"/>
      <c r="T222" s="554"/>
      <c r="U222" s="554"/>
      <c r="V222" s="250"/>
      <c r="W222" s="250"/>
      <c r="X222" s="554"/>
      <c r="Y222" s="554"/>
      <c r="Z222" s="250"/>
      <c r="AA222" s="250"/>
      <c r="AB222" s="554"/>
      <c r="AC222" s="554"/>
      <c r="AD222" s="242"/>
    </row>
    <row r="223" spans="1:30">
      <c r="A223" s="242"/>
      <c r="B223" s="558">
        <v>39551</v>
      </c>
      <c r="C223" s="558"/>
      <c r="D223" s="247"/>
      <c r="E223" s="256">
        <v>213.9</v>
      </c>
      <c r="F223" s="557">
        <v>24</v>
      </c>
      <c r="G223" s="557"/>
      <c r="H223" s="256">
        <v>0</v>
      </c>
      <c r="I223" s="557">
        <v>0</v>
      </c>
      <c r="J223" s="557"/>
      <c r="K223" s="256">
        <v>0</v>
      </c>
      <c r="L223" s="257">
        <v>0</v>
      </c>
      <c r="M223" s="256">
        <v>316</v>
      </c>
      <c r="N223" s="257">
        <v>24</v>
      </c>
      <c r="O223" s="258">
        <v>529.9</v>
      </c>
      <c r="P223" s="250"/>
      <c r="Q223" s="256">
        <v>0</v>
      </c>
      <c r="R223" s="257">
        <v>0</v>
      </c>
      <c r="S223" s="256">
        <v>0</v>
      </c>
      <c r="T223" s="557">
        <v>0</v>
      </c>
      <c r="U223" s="557"/>
      <c r="V223" s="256">
        <v>0</v>
      </c>
      <c r="W223" s="250"/>
      <c r="X223" s="556">
        <v>529.9</v>
      </c>
      <c r="Y223" s="556"/>
      <c r="Z223" s="250"/>
      <c r="AA223" s="259">
        <v>7128900</v>
      </c>
      <c r="AB223" s="565">
        <v>0</v>
      </c>
      <c r="AC223" s="565"/>
      <c r="AD223" s="242"/>
    </row>
    <row r="224" spans="1:30">
      <c r="A224" s="242"/>
      <c r="B224" s="559"/>
      <c r="C224" s="559"/>
      <c r="D224" s="247"/>
      <c r="E224" s="250"/>
      <c r="F224" s="554"/>
      <c r="G224" s="554"/>
      <c r="H224" s="250"/>
      <c r="I224" s="554"/>
      <c r="J224" s="554"/>
      <c r="K224" s="250"/>
      <c r="L224" s="250"/>
      <c r="M224" s="250"/>
      <c r="N224" s="250"/>
      <c r="O224" s="250"/>
      <c r="P224" s="250"/>
      <c r="Q224" s="250"/>
      <c r="R224" s="250"/>
      <c r="S224" s="250"/>
      <c r="T224" s="554"/>
      <c r="U224" s="554"/>
      <c r="V224" s="250"/>
      <c r="W224" s="250"/>
      <c r="X224" s="554"/>
      <c r="Y224" s="554"/>
      <c r="Z224" s="250"/>
      <c r="AA224" s="250"/>
      <c r="AB224" s="554"/>
      <c r="AC224" s="554"/>
      <c r="AD224" s="242"/>
    </row>
    <row r="225" spans="1:30">
      <c r="A225" s="242"/>
      <c r="B225" s="563">
        <v>39552</v>
      </c>
      <c r="C225" s="563"/>
      <c r="D225" s="247"/>
      <c r="E225" s="252">
        <v>212.2</v>
      </c>
      <c r="F225" s="564">
        <v>24</v>
      </c>
      <c r="G225" s="564"/>
      <c r="H225" s="252">
        <v>0</v>
      </c>
      <c r="I225" s="564">
        <v>0</v>
      </c>
      <c r="J225" s="564"/>
      <c r="K225" s="252">
        <v>0</v>
      </c>
      <c r="L225" s="253">
        <v>0</v>
      </c>
      <c r="M225" s="252">
        <v>374</v>
      </c>
      <c r="N225" s="253">
        <v>24</v>
      </c>
      <c r="O225" s="254">
        <v>586.20000000000005</v>
      </c>
      <c r="P225" s="250"/>
      <c r="Q225" s="252">
        <v>0</v>
      </c>
      <c r="R225" s="253">
        <v>0</v>
      </c>
      <c r="S225" s="252">
        <v>0</v>
      </c>
      <c r="T225" s="564">
        <v>0</v>
      </c>
      <c r="U225" s="564"/>
      <c r="V225" s="252">
        <v>0</v>
      </c>
      <c r="W225" s="250"/>
      <c r="X225" s="561">
        <v>586.20000000000005</v>
      </c>
      <c r="Y225" s="561"/>
      <c r="Z225" s="250"/>
      <c r="AA225" s="255">
        <v>7516600</v>
      </c>
      <c r="AB225" s="566">
        <v>0</v>
      </c>
      <c r="AC225" s="566"/>
      <c r="AD225" s="242"/>
    </row>
    <row r="226" spans="1:30">
      <c r="A226" s="242"/>
      <c r="B226" s="559"/>
      <c r="C226" s="559"/>
      <c r="D226" s="247"/>
      <c r="E226" s="250"/>
      <c r="F226" s="554"/>
      <c r="G226" s="554"/>
      <c r="H226" s="250"/>
      <c r="I226" s="554"/>
      <c r="J226" s="554"/>
      <c r="K226" s="250"/>
      <c r="L226" s="250"/>
      <c r="M226" s="250"/>
      <c r="N226" s="250"/>
      <c r="O226" s="250"/>
      <c r="P226" s="250"/>
      <c r="Q226" s="250"/>
      <c r="R226" s="250"/>
      <c r="S226" s="250"/>
      <c r="T226" s="554"/>
      <c r="U226" s="554"/>
      <c r="V226" s="250"/>
      <c r="W226" s="250"/>
      <c r="X226" s="554"/>
      <c r="Y226" s="554"/>
      <c r="Z226" s="250"/>
      <c r="AA226" s="250"/>
      <c r="AB226" s="554"/>
      <c r="AC226" s="554"/>
      <c r="AD226" s="242"/>
    </row>
    <row r="227" spans="1:30">
      <c r="A227" s="242"/>
      <c r="B227" s="558">
        <v>39553</v>
      </c>
      <c r="C227" s="558"/>
      <c r="D227" s="247"/>
      <c r="E227" s="256">
        <v>209.7</v>
      </c>
      <c r="F227" s="557">
        <v>24</v>
      </c>
      <c r="G227" s="557"/>
      <c r="H227" s="256">
        <v>0</v>
      </c>
      <c r="I227" s="557">
        <v>0</v>
      </c>
      <c r="J227" s="557"/>
      <c r="K227" s="256">
        <v>0</v>
      </c>
      <c r="L227" s="257">
        <v>0</v>
      </c>
      <c r="M227" s="256">
        <v>377</v>
      </c>
      <c r="N227" s="257">
        <v>24</v>
      </c>
      <c r="O227" s="258">
        <v>586.70000000000005</v>
      </c>
      <c r="P227" s="250"/>
      <c r="Q227" s="256">
        <v>0</v>
      </c>
      <c r="R227" s="257">
        <v>0</v>
      </c>
      <c r="S227" s="256">
        <v>0</v>
      </c>
      <c r="T227" s="557">
        <v>0</v>
      </c>
      <c r="U227" s="557"/>
      <c r="V227" s="256">
        <v>0</v>
      </c>
      <c r="W227" s="250"/>
      <c r="X227" s="556">
        <v>586.70000000000005</v>
      </c>
      <c r="Y227" s="556"/>
      <c r="Z227" s="250"/>
      <c r="AA227" s="259">
        <v>7483184</v>
      </c>
      <c r="AB227" s="565">
        <v>0</v>
      </c>
      <c r="AC227" s="565"/>
      <c r="AD227" s="242"/>
    </row>
    <row r="228" spans="1:30">
      <c r="A228" s="242"/>
      <c r="B228" s="559"/>
      <c r="C228" s="559"/>
      <c r="D228" s="247"/>
      <c r="E228" s="250"/>
      <c r="F228" s="554"/>
      <c r="G228" s="554"/>
      <c r="H228" s="250"/>
      <c r="I228" s="554"/>
      <c r="J228" s="554"/>
      <c r="K228" s="250"/>
      <c r="L228" s="250"/>
      <c r="M228" s="250"/>
      <c r="N228" s="250"/>
      <c r="O228" s="250"/>
      <c r="P228" s="250"/>
      <c r="Q228" s="250"/>
      <c r="R228" s="250"/>
      <c r="S228" s="250"/>
      <c r="T228" s="554"/>
      <c r="U228" s="554"/>
      <c r="V228" s="250"/>
      <c r="W228" s="250"/>
      <c r="X228" s="554"/>
      <c r="Y228" s="554"/>
      <c r="Z228" s="250"/>
      <c r="AA228" s="250"/>
      <c r="AB228" s="554"/>
      <c r="AC228" s="554"/>
      <c r="AD228" s="242"/>
    </row>
    <row r="229" spans="1:30">
      <c r="A229" s="242"/>
      <c r="B229" s="563">
        <v>39554</v>
      </c>
      <c r="C229" s="563"/>
      <c r="D229" s="247"/>
      <c r="E229" s="252">
        <v>249</v>
      </c>
      <c r="F229" s="564">
        <v>24</v>
      </c>
      <c r="G229" s="564"/>
      <c r="H229" s="252">
        <v>15.7</v>
      </c>
      <c r="I229" s="564">
        <v>2</v>
      </c>
      <c r="J229" s="564"/>
      <c r="K229" s="252">
        <v>0</v>
      </c>
      <c r="L229" s="253">
        <v>0</v>
      </c>
      <c r="M229" s="252">
        <v>390</v>
      </c>
      <c r="N229" s="253">
        <v>24</v>
      </c>
      <c r="O229" s="254">
        <v>654.70000000000005</v>
      </c>
      <c r="P229" s="250"/>
      <c r="Q229" s="252">
        <v>0</v>
      </c>
      <c r="R229" s="253">
        <v>0</v>
      </c>
      <c r="S229" s="252">
        <v>0</v>
      </c>
      <c r="T229" s="564">
        <v>0</v>
      </c>
      <c r="U229" s="564"/>
      <c r="V229" s="252">
        <v>0</v>
      </c>
      <c r="W229" s="250"/>
      <c r="X229" s="561">
        <v>654.70000000000005</v>
      </c>
      <c r="Y229" s="561"/>
      <c r="Z229" s="250"/>
      <c r="AA229" s="255">
        <v>8148100</v>
      </c>
      <c r="AB229" s="566">
        <v>405</v>
      </c>
      <c r="AC229" s="566"/>
      <c r="AD229" s="242"/>
    </row>
    <row r="230" spans="1:30">
      <c r="A230" s="242"/>
      <c r="B230" s="559"/>
      <c r="C230" s="559"/>
      <c r="D230" s="247"/>
      <c r="E230" s="250"/>
      <c r="F230" s="554"/>
      <c r="G230" s="554"/>
      <c r="H230" s="250"/>
      <c r="I230" s="554"/>
      <c r="J230" s="554"/>
      <c r="K230" s="250"/>
      <c r="L230" s="250"/>
      <c r="M230" s="250"/>
      <c r="N230" s="250"/>
      <c r="O230" s="250"/>
      <c r="P230" s="250"/>
      <c r="Q230" s="250"/>
      <c r="R230" s="250"/>
      <c r="S230" s="250"/>
      <c r="T230" s="554"/>
      <c r="U230" s="554"/>
      <c r="V230" s="250"/>
      <c r="W230" s="250"/>
      <c r="X230" s="554"/>
      <c r="Y230" s="554"/>
      <c r="Z230" s="250"/>
      <c r="AA230" s="250"/>
      <c r="AB230" s="554"/>
      <c r="AC230" s="554"/>
      <c r="AD230" s="242"/>
    </row>
    <row r="231" spans="1:30">
      <c r="A231" s="242"/>
      <c r="B231" s="558">
        <v>39555</v>
      </c>
      <c r="C231" s="558"/>
      <c r="D231" s="247"/>
      <c r="E231" s="256">
        <v>258.3</v>
      </c>
      <c r="F231" s="557">
        <v>24</v>
      </c>
      <c r="G231" s="557"/>
      <c r="H231" s="256">
        <v>27.9</v>
      </c>
      <c r="I231" s="557">
        <v>7</v>
      </c>
      <c r="J231" s="557"/>
      <c r="K231" s="256">
        <v>0</v>
      </c>
      <c r="L231" s="257">
        <v>0</v>
      </c>
      <c r="M231" s="256">
        <v>346</v>
      </c>
      <c r="N231" s="257">
        <v>24</v>
      </c>
      <c r="O231" s="258">
        <v>632.20000000000005</v>
      </c>
      <c r="P231" s="250"/>
      <c r="Q231" s="256">
        <v>0</v>
      </c>
      <c r="R231" s="257">
        <v>0</v>
      </c>
      <c r="S231" s="256">
        <v>0</v>
      </c>
      <c r="T231" s="557">
        <v>0</v>
      </c>
      <c r="U231" s="557"/>
      <c r="V231" s="256">
        <v>0</v>
      </c>
      <c r="W231" s="250"/>
      <c r="X231" s="556">
        <v>632.20000000000005</v>
      </c>
      <c r="Y231" s="556"/>
      <c r="Z231" s="250"/>
      <c r="AA231" s="259">
        <v>9488200</v>
      </c>
      <c r="AB231" s="565">
        <v>3777</v>
      </c>
      <c r="AC231" s="565"/>
      <c r="AD231" s="242"/>
    </row>
    <row r="232" spans="1:30">
      <c r="A232" s="242"/>
      <c r="B232" s="559"/>
      <c r="C232" s="559"/>
      <c r="D232" s="247"/>
      <c r="E232" s="250"/>
      <c r="F232" s="554"/>
      <c r="G232" s="554"/>
      <c r="H232" s="250"/>
      <c r="I232" s="554"/>
      <c r="J232" s="554"/>
      <c r="K232" s="250"/>
      <c r="L232" s="250"/>
      <c r="M232" s="250"/>
      <c r="N232" s="250"/>
      <c r="O232" s="250"/>
      <c r="P232" s="250"/>
      <c r="Q232" s="250"/>
      <c r="R232" s="250"/>
      <c r="S232" s="250"/>
      <c r="T232" s="554"/>
      <c r="U232" s="554"/>
      <c r="V232" s="250"/>
      <c r="W232" s="250"/>
      <c r="X232" s="554"/>
      <c r="Y232" s="554"/>
      <c r="Z232" s="250"/>
      <c r="AA232" s="250"/>
      <c r="AB232" s="554"/>
      <c r="AC232" s="554"/>
      <c r="AD232" s="242"/>
    </row>
    <row r="233" spans="1:30">
      <c r="A233" s="242"/>
      <c r="B233" s="563">
        <v>39556</v>
      </c>
      <c r="C233" s="563"/>
      <c r="D233" s="247"/>
      <c r="E233" s="252">
        <v>254.6</v>
      </c>
      <c r="F233" s="564">
        <v>24</v>
      </c>
      <c r="G233" s="564"/>
      <c r="H233" s="252">
        <v>0</v>
      </c>
      <c r="I233" s="564">
        <v>0</v>
      </c>
      <c r="J233" s="564"/>
      <c r="K233" s="252">
        <v>0</v>
      </c>
      <c r="L233" s="253">
        <v>0</v>
      </c>
      <c r="M233" s="252">
        <v>361</v>
      </c>
      <c r="N233" s="253">
        <v>24</v>
      </c>
      <c r="O233" s="254">
        <v>615.6</v>
      </c>
      <c r="P233" s="250"/>
      <c r="Q233" s="252">
        <v>0</v>
      </c>
      <c r="R233" s="253">
        <v>0</v>
      </c>
      <c r="S233" s="252">
        <v>0</v>
      </c>
      <c r="T233" s="564">
        <v>0</v>
      </c>
      <c r="U233" s="564"/>
      <c r="V233" s="252">
        <v>0</v>
      </c>
      <c r="W233" s="250"/>
      <c r="X233" s="561">
        <v>615.6</v>
      </c>
      <c r="Y233" s="561"/>
      <c r="Z233" s="250"/>
      <c r="AA233" s="255">
        <v>7703500</v>
      </c>
      <c r="AB233" s="566">
        <v>0</v>
      </c>
      <c r="AC233" s="566"/>
      <c r="AD233" s="242"/>
    </row>
    <row r="234" spans="1:30">
      <c r="A234" s="242"/>
      <c r="B234" s="559"/>
      <c r="C234" s="559"/>
      <c r="D234" s="247"/>
      <c r="E234" s="250"/>
      <c r="F234" s="554"/>
      <c r="G234" s="554"/>
      <c r="H234" s="250"/>
      <c r="I234" s="554"/>
      <c r="J234" s="554"/>
      <c r="K234" s="250"/>
      <c r="L234" s="250"/>
      <c r="M234" s="250"/>
      <c r="N234" s="250"/>
      <c r="O234" s="250"/>
      <c r="P234" s="250"/>
      <c r="Q234" s="250"/>
      <c r="R234" s="250"/>
      <c r="S234" s="250"/>
      <c r="T234" s="554"/>
      <c r="U234" s="554"/>
      <c r="V234" s="250"/>
      <c r="W234" s="250"/>
      <c r="X234" s="554"/>
      <c r="Y234" s="554"/>
      <c r="Z234" s="250"/>
      <c r="AA234" s="250"/>
      <c r="AB234" s="554"/>
      <c r="AC234" s="554"/>
      <c r="AD234" s="242"/>
    </row>
    <row r="235" spans="1:30">
      <c r="A235" s="242"/>
      <c r="B235" s="558">
        <v>39557</v>
      </c>
      <c r="C235" s="558"/>
      <c r="D235" s="247"/>
      <c r="E235" s="256">
        <v>229.6</v>
      </c>
      <c r="F235" s="557">
        <v>24</v>
      </c>
      <c r="G235" s="557"/>
      <c r="H235" s="256">
        <v>0</v>
      </c>
      <c r="I235" s="557">
        <v>0</v>
      </c>
      <c r="J235" s="557"/>
      <c r="K235" s="256">
        <v>0</v>
      </c>
      <c r="L235" s="257">
        <v>0</v>
      </c>
      <c r="M235" s="256">
        <v>377</v>
      </c>
      <c r="N235" s="257">
        <v>24</v>
      </c>
      <c r="O235" s="258">
        <v>606.6</v>
      </c>
      <c r="P235" s="250"/>
      <c r="Q235" s="256">
        <v>0</v>
      </c>
      <c r="R235" s="257">
        <v>0</v>
      </c>
      <c r="S235" s="256">
        <v>0</v>
      </c>
      <c r="T235" s="557">
        <v>0</v>
      </c>
      <c r="U235" s="557"/>
      <c r="V235" s="256">
        <v>0</v>
      </c>
      <c r="W235" s="250"/>
      <c r="X235" s="556">
        <v>606.6</v>
      </c>
      <c r="Y235" s="556"/>
      <c r="Z235" s="250"/>
      <c r="AA235" s="259">
        <v>7778300</v>
      </c>
      <c r="AB235" s="565">
        <v>0</v>
      </c>
      <c r="AC235" s="565"/>
      <c r="AD235" s="242"/>
    </row>
    <row r="236" spans="1:30">
      <c r="A236" s="242"/>
      <c r="B236" s="559"/>
      <c r="C236" s="559"/>
      <c r="D236" s="247"/>
      <c r="E236" s="250"/>
      <c r="F236" s="554"/>
      <c r="G236" s="554"/>
      <c r="H236" s="250"/>
      <c r="I236" s="554"/>
      <c r="J236" s="554"/>
      <c r="K236" s="250"/>
      <c r="L236" s="250"/>
      <c r="M236" s="250"/>
      <c r="N236" s="250"/>
      <c r="O236" s="250"/>
      <c r="P236" s="250"/>
      <c r="Q236" s="250"/>
      <c r="R236" s="250"/>
      <c r="S236" s="250"/>
      <c r="T236" s="554"/>
      <c r="U236" s="554"/>
      <c r="V236" s="250"/>
      <c r="W236" s="250"/>
      <c r="X236" s="554"/>
      <c r="Y236" s="554"/>
      <c r="Z236" s="250"/>
      <c r="AA236" s="250"/>
      <c r="AB236" s="554"/>
      <c r="AC236" s="554"/>
      <c r="AD236" s="242"/>
    </row>
    <row r="237" spans="1:30">
      <c r="A237" s="242"/>
      <c r="B237" s="563">
        <v>39558</v>
      </c>
      <c r="C237" s="563"/>
      <c r="D237" s="247"/>
      <c r="E237" s="252">
        <v>240.8</v>
      </c>
      <c r="F237" s="564">
        <v>24</v>
      </c>
      <c r="G237" s="564"/>
      <c r="H237" s="252">
        <v>0</v>
      </c>
      <c r="I237" s="564">
        <v>0</v>
      </c>
      <c r="J237" s="564"/>
      <c r="K237" s="252">
        <v>0</v>
      </c>
      <c r="L237" s="253">
        <v>0</v>
      </c>
      <c r="M237" s="252">
        <v>390</v>
      </c>
      <c r="N237" s="253">
        <v>24</v>
      </c>
      <c r="O237" s="254">
        <v>630.79999999999995</v>
      </c>
      <c r="P237" s="250"/>
      <c r="Q237" s="252">
        <v>0</v>
      </c>
      <c r="R237" s="253">
        <v>0</v>
      </c>
      <c r="S237" s="252">
        <v>0</v>
      </c>
      <c r="T237" s="564">
        <v>0</v>
      </c>
      <c r="U237" s="564"/>
      <c r="V237" s="252">
        <v>0</v>
      </c>
      <c r="W237" s="250"/>
      <c r="X237" s="561">
        <v>630.79999999999995</v>
      </c>
      <c r="Y237" s="561"/>
      <c r="Z237" s="250"/>
      <c r="AA237" s="255">
        <v>8261300</v>
      </c>
      <c r="AB237" s="566">
        <v>0</v>
      </c>
      <c r="AC237" s="566"/>
      <c r="AD237" s="242"/>
    </row>
    <row r="238" spans="1:30">
      <c r="A238" s="242"/>
      <c r="B238" s="559"/>
      <c r="C238" s="559"/>
      <c r="D238" s="247"/>
      <c r="E238" s="250"/>
      <c r="F238" s="554"/>
      <c r="G238" s="554"/>
      <c r="H238" s="250"/>
      <c r="I238" s="554"/>
      <c r="J238" s="554"/>
      <c r="K238" s="250"/>
      <c r="L238" s="250"/>
      <c r="M238" s="250"/>
      <c r="N238" s="250"/>
      <c r="O238" s="250"/>
      <c r="P238" s="250"/>
      <c r="Q238" s="250"/>
      <c r="R238" s="250"/>
      <c r="S238" s="250"/>
      <c r="T238" s="554"/>
      <c r="U238" s="554"/>
      <c r="V238" s="250"/>
      <c r="W238" s="250"/>
      <c r="X238" s="554"/>
      <c r="Y238" s="554"/>
      <c r="Z238" s="250"/>
      <c r="AA238" s="250"/>
      <c r="AB238" s="554"/>
      <c r="AC238" s="554"/>
      <c r="AD238" s="242"/>
    </row>
    <row r="239" spans="1:30">
      <c r="A239" s="242"/>
      <c r="B239" s="558">
        <v>39559</v>
      </c>
      <c r="C239" s="558"/>
      <c r="D239" s="247"/>
      <c r="E239" s="256">
        <v>228</v>
      </c>
      <c r="F239" s="557">
        <v>24</v>
      </c>
      <c r="G239" s="557"/>
      <c r="H239" s="256">
        <v>0</v>
      </c>
      <c r="I239" s="557">
        <v>0</v>
      </c>
      <c r="J239" s="557"/>
      <c r="K239" s="256">
        <v>0</v>
      </c>
      <c r="L239" s="257">
        <v>0</v>
      </c>
      <c r="M239" s="256">
        <v>363</v>
      </c>
      <c r="N239" s="257">
        <v>24</v>
      </c>
      <c r="O239" s="258">
        <v>591</v>
      </c>
      <c r="P239" s="250"/>
      <c r="Q239" s="256">
        <v>0</v>
      </c>
      <c r="R239" s="257">
        <v>0</v>
      </c>
      <c r="S239" s="256">
        <v>0</v>
      </c>
      <c r="T239" s="557">
        <v>0</v>
      </c>
      <c r="U239" s="557"/>
      <c r="V239" s="256">
        <v>0</v>
      </c>
      <c r="W239" s="250"/>
      <c r="X239" s="556">
        <v>591</v>
      </c>
      <c r="Y239" s="556"/>
      <c r="Z239" s="250"/>
      <c r="AA239" s="259">
        <v>7998500</v>
      </c>
      <c r="AB239" s="565">
        <v>0</v>
      </c>
      <c r="AC239" s="565"/>
      <c r="AD239" s="242"/>
    </row>
    <row r="240" spans="1:30">
      <c r="A240" s="242"/>
      <c r="B240" s="559"/>
      <c r="C240" s="559"/>
      <c r="D240" s="247"/>
      <c r="E240" s="250"/>
      <c r="F240" s="554"/>
      <c r="G240" s="554"/>
      <c r="H240" s="250"/>
      <c r="I240" s="554"/>
      <c r="J240" s="554"/>
      <c r="K240" s="250"/>
      <c r="L240" s="250"/>
      <c r="M240" s="250"/>
      <c r="N240" s="250"/>
      <c r="O240" s="250"/>
      <c r="P240" s="250"/>
      <c r="Q240" s="250"/>
      <c r="R240" s="250"/>
      <c r="S240" s="250"/>
      <c r="T240" s="554"/>
      <c r="U240" s="554"/>
      <c r="V240" s="250"/>
      <c r="W240" s="250"/>
      <c r="X240" s="554"/>
      <c r="Y240" s="554"/>
      <c r="Z240" s="250"/>
      <c r="AA240" s="250"/>
      <c r="AB240" s="554"/>
      <c r="AC240" s="554"/>
      <c r="AD240" s="242"/>
    </row>
    <row r="241" spans="1:30">
      <c r="A241" s="242"/>
      <c r="B241" s="563">
        <v>39560</v>
      </c>
      <c r="C241" s="563"/>
      <c r="D241" s="247"/>
      <c r="E241" s="252">
        <v>239.7</v>
      </c>
      <c r="F241" s="564">
        <v>24</v>
      </c>
      <c r="G241" s="564"/>
      <c r="H241" s="252">
        <v>0</v>
      </c>
      <c r="I241" s="564">
        <v>0</v>
      </c>
      <c r="J241" s="564"/>
      <c r="K241" s="252">
        <v>0</v>
      </c>
      <c r="L241" s="253">
        <v>0</v>
      </c>
      <c r="M241" s="252">
        <v>380</v>
      </c>
      <c r="N241" s="253">
        <v>24</v>
      </c>
      <c r="O241" s="254">
        <v>619.70000000000005</v>
      </c>
      <c r="P241" s="250"/>
      <c r="Q241" s="252">
        <v>0</v>
      </c>
      <c r="R241" s="253">
        <v>0</v>
      </c>
      <c r="S241" s="252">
        <v>0</v>
      </c>
      <c r="T241" s="564">
        <v>0</v>
      </c>
      <c r="U241" s="564"/>
      <c r="V241" s="252">
        <v>0</v>
      </c>
      <c r="W241" s="250"/>
      <c r="X241" s="561">
        <v>619.70000000000005</v>
      </c>
      <c r="Y241" s="561"/>
      <c r="Z241" s="250"/>
      <c r="AA241" s="255">
        <v>8171600</v>
      </c>
      <c r="AB241" s="566">
        <v>0</v>
      </c>
      <c r="AC241" s="566"/>
      <c r="AD241" s="242"/>
    </row>
    <row r="242" spans="1:30">
      <c r="A242" s="242"/>
      <c r="B242" s="559"/>
      <c r="C242" s="559"/>
      <c r="D242" s="247"/>
      <c r="E242" s="250"/>
      <c r="F242" s="554"/>
      <c r="G242" s="554"/>
      <c r="H242" s="250"/>
      <c r="I242" s="554"/>
      <c r="J242" s="554"/>
      <c r="K242" s="250"/>
      <c r="L242" s="250"/>
      <c r="M242" s="250"/>
      <c r="N242" s="250"/>
      <c r="O242" s="250"/>
      <c r="P242" s="250"/>
      <c r="Q242" s="250"/>
      <c r="R242" s="250"/>
      <c r="S242" s="250"/>
      <c r="T242" s="554"/>
      <c r="U242" s="554"/>
      <c r="V242" s="250"/>
      <c r="W242" s="250"/>
      <c r="X242" s="554"/>
      <c r="Y242" s="554"/>
      <c r="Z242" s="250"/>
      <c r="AA242" s="250"/>
      <c r="AB242" s="554"/>
      <c r="AC242" s="554"/>
      <c r="AD242" s="242"/>
    </row>
    <row r="243" spans="1:30">
      <c r="A243" s="242"/>
      <c r="B243" s="558">
        <v>39561</v>
      </c>
      <c r="C243" s="558"/>
      <c r="D243" s="247"/>
      <c r="E243" s="256">
        <v>208.4</v>
      </c>
      <c r="F243" s="557">
        <v>24</v>
      </c>
      <c r="G243" s="557"/>
      <c r="H243" s="256">
        <v>0</v>
      </c>
      <c r="I243" s="557">
        <v>0</v>
      </c>
      <c r="J243" s="557"/>
      <c r="K243" s="256">
        <v>0</v>
      </c>
      <c r="L243" s="257">
        <v>0</v>
      </c>
      <c r="M243" s="256">
        <v>348</v>
      </c>
      <c r="N243" s="257">
        <v>24</v>
      </c>
      <c r="O243" s="258">
        <v>556.4</v>
      </c>
      <c r="P243" s="250"/>
      <c r="Q243" s="256">
        <v>0</v>
      </c>
      <c r="R243" s="257">
        <v>0</v>
      </c>
      <c r="S243" s="256">
        <v>0</v>
      </c>
      <c r="T243" s="557">
        <v>0</v>
      </c>
      <c r="U243" s="557"/>
      <c r="V243" s="256">
        <v>0</v>
      </c>
      <c r="W243" s="250"/>
      <c r="X243" s="556">
        <v>556.4</v>
      </c>
      <c r="Y243" s="556"/>
      <c r="Z243" s="250"/>
      <c r="AA243" s="259">
        <v>7716100</v>
      </c>
      <c r="AB243" s="565">
        <v>0</v>
      </c>
      <c r="AC243" s="565"/>
      <c r="AD243" s="242"/>
    </row>
    <row r="244" spans="1:30">
      <c r="A244" s="242"/>
      <c r="B244" s="559"/>
      <c r="C244" s="559"/>
      <c r="D244" s="247"/>
      <c r="E244" s="250"/>
      <c r="F244" s="554"/>
      <c r="G244" s="554"/>
      <c r="H244" s="250"/>
      <c r="I244" s="554"/>
      <c r="J244" s="554"/>
      <c r="K244" s="250"/>
      <c r="L244" s="250"/>
      <c r="M244" s="250"/>
      <c r="N244" s="250"/>
      <c r="O244" s="250"/>
      <c r="P244" s="250"/>
      <c r="Q244" s="250"/>
      <c r="R244" s="250"/>
      <c r="S244" s="250"/>
      <c r="T244" s="554"/>
      <c r="U244" s="554"/>
      <c r="V244" s="250"/>
      <c r="W244" s="250"/>
      <c r="X244" s="554"/>
      <c r="Y244" s="554"/>
      <c r="Z244" s="250"/>
      <c r="AA244" s="250"/>
      <c r="AB244" s="554"/>
      <c r="AC244" s="554"/>
      <c r="AD244" s="242"/>
    </row>
    <row r="245" spans="1:30">
      <c r="A245" s="242"/>
      <c r="B245" s="563">
        <v>39562</v>
      </c>
      <c r="C245" s="563"/>
      <c r="D245" s="247"/>
      <c r="E245" s="252">
        <v>212.9</v>
      </c>
      <c r="F245" s="564">
        <v>24</v>
      </c>
      <c r="G245" s="564"/>
      <c r="H245" s="252">
        <v>0</v>
      </c>
      <c r="I245" s="564">
        <v>0</v>
      </c>
      <c r="J245" s="564"/>
      <c r="K245" s="252">
        <v>0</v>
      </c>
      <c r="L245" s="253">
        <v>0</v>
      </c>
      <c r="M245" s="252">
        <v>381</v>
      </c>
      <c r="N245" s="253">
        <v>24</v>
      </c>
      <c r="O245" s="254">
        <v>593.9</v>
      </c>
      <c r="P245" s="250"/>
      <c r="Q245" s="252">
        <v>0</v>
      </c>
      <c r="R245" s="253">
        <v>0</v>
      </c>
      <c r="S245" s="252">
        <v>0</v>
      </c>
      <c r="T245" s="564">
        <v>0</v>
      </c>
      <c r="U245" s="564"/>
      <c r="V245" s="252">
        <v>0</v>
      </c>
      <c r="W245" s="250"/>
      <c r="X245" s="561">
        <v>593.9</v>
      </c>
      <c r="Y245" s="561"/>
      <c r="Z245" s="250"/>
      <c r="AA245" s="255">
        <v>7957200</v>
      </c>
      <c r="AB245" s="566">
        <v>0</v>
      </c>
      <c r="AC245" s="566"/>
      <c r="AD245" s="242"/>
    </row>
    <row r="246" spans="1:30">
      <c r="A246" s="242"/>
      <c r="B246" s="559"/>
      <c r="C246" s="559"/>
      <c r="D246" s="247"/>
      <c r="E246" s="250"/>
      <c r="F246" s="554"/>
      <c r="G246" s="554"/>
      <c r="H246" s="250"/>
      <c r="I246" s="554"/>
      <c r="J246" s="554"/>
      <c r="K246" s="250"/>
      <c r="L246" s="250"/>
      <c r="M246" s="250"/>
      <c r="N246" s="250"/>
      <c r="O246" s="250"/>
      <c r="P246" s="250"/>
      <c r="Q246" s="250"/>
      <c r="R246" s="250"/>
      <c r="S246" s="250"/>
      <c r="T246" s="554"/>
      <c r="U246" s="554"/>
      <c r="V246" s="250"/>
      <c r="W246" s="250"/>
      <c r="X246" s="554"/>
      <c r="Y246" s="554"/>
      <c r="Z246" s="250"/>
      <c r="AA246" s="250"/>
      <c r="AB246" s="554"/>
      <c r="AC246" s="554"/>
      <c r="AD246" s="242"/>
    </row>
    <row r="247" spans="1:30">
      <c r="A247" s="242"/>
      <c r="B247" s="558">
        <v>39563</v>
      </c>
      <c r="C247" s="558"/>
      <c r="D247" s="247"/>
      <c r="E247" s="256">
        <v>228.7</v>
      </c>
      <c r="F247" s="557">
        <v>24</v>
      </c>
      <c r="G247" s="557"/>
      <c r="H247" s="256">
        <v>0</v>
      </c>
      <c r="I247" s="557">
        <v>0</v>
      </c>
      <c r="J247" s="557"/>
      <c r="K247" s="256">
        <v>0</v>
      </c>
      <c r="L247" s="257">
        <v>0</v>
      </c>
      <c r="M247" s="256">
        <v>397</v>
      </c>
      <c r="N247" s="257">
        <v>24</v>
      </c>
      <c r="O247" s="258">
        <v>625.70000000000005</v>
      </c>
      <c r="P247" s="250"/>
      <c r="Q247" s="256">
        <v>0</v>
      </c>
      <c r="R247" s="257">
        <v>0</v>
      </c>
      <c r="S247" s="256">
        <v>0</v>
      </c>
      <c r="T247" s="557">
        <v>0</v>
      </c>
      <c r="U247" s="557"/>
      <c r="V247" s="256">
        <v>0</v>
      </c>
      <c r="W247" s="250"/>
      <c r="X247" s="556">
        <v>625.70000000000005</v>
      </c>
      <c r="Y247" s="556"/>
      <c r="Z247" s="250"/>
      <c r="AA247" s="259">
        <v>8263900</v>
      </c>
      <c r="AB247" s="565">
        <v>0</v>
      </c>
      <c r="AC247" s="565"/>
      <c r="AD247" s="242"/>
    </row>
    <row r="248" spans="1:30">
      <c r="A248" s="242"/>
      <c r="B248" s="559"/>
      <c r="C248" s="559"/>
      <c r="D248" s="247"/>
      <c r="E248" s="250"/>
      <c r="F248" s="554"/>
      <c r="G248" s="554"/>
      <c r="H248" s="250"/>
      <c r="I248" s="554"/>
      <c r="J248" s="554"/>
      <c r="K248" s="250"/>
      <c r="L248" s="250"/>
      <c r="M248" s="250"/>
      <c r="N248" s="250"/>
      <c r="O248" s="250"/>
      <c r="P248" s="250"/>
      <c r="Q248" s="250"/>
      <c r="R248" s="250"/>
      <c r="S248" s="250"/>
      <c r="T248" s="554"/>
      <c r="U248" s="554"/>
      <c r="V248" s="250"/>
      <c r="W248" s="250"/>
      <c r="X248" s="554"/>
      <c r="Y248" s="554"/>
      <c r="Z248" s="250"/>
      <c r="AA248" s="250"/>
      <c r="AB248" s="554"/>
      <c r="AC248" s="554"/>
      <c r="AD248" s="242"/>
    </row>
    <row r="249" spans="1:30">
      <c r="A249" s="242"/>
      <c r="B249" s="563">
        <v>39564</v>
      </c>
      <c r="C249" s="563"/>
      <c r="D249" s="247"/>
      <c r="E249" s="252">
        <v>237.8</v>
      </c>
      <c r="F249" s="564">
        <v>24</v>
      </c>
      <c r="G249" s="564"/>
      <c r="H249" s="252">
        <v>0</v>
      </c>
      <c r="I249" s="564">
        <v>0</v>
      </c>
      <c r="J249" s="564"/>
      <c r="K249" s="252">
        <v>0</v>
      </c>
      <c r="L249" s="253">
        <v>0</v>
      </c>
      <c r="M249" s="252">
        <v>386</v>
      </c>
      <c r="N249" s="253">
        <v>24</v>
      </c>
      <c r="O249" s="254">
        <v>623.79999999999995</v>
      </c>
      <c r="P249" s="250"/>
      <c r="Q249" s="252">
        <v>0</v>
      </c>
      <c r="R249" s="253">
        <v>0</v>
      </c>
      <c r="S249" s="252">
        <v>0</v>
      </c>
      <c r="T249" s="564">
        <v>0</v>
      </c>
      <c r="U249" s="564"/>
      <c r="V249" s="252">
        <v>0</v>
      </c>
      <c r="W249" s="250"/>
      <c r="X249" s="561">
        <v>623.79999999999995</v>
      </c>
      <c r="Y249" s="561"/>
      <c r="Z249" s="250"/>
      <c r="AA249" s="255">
        <v>8195800</v>
      </c>
      <c r="AB249" s="566">
        <v>0</v>
      </c>
      <c r="AC249" s="566"/>
      <c r="AD249" s="242"/>
    </row>
    <row r="250" spans="1:30">
      <c r="A250" s="242"/>
      <c r="B250" s="559"/>
      <c r="C250" s="559"/>
      <c r="D250" s="247"/>
      <c r="E250" s="250"/>
      <c r="F250" s="554"/>
      <c r="G250" s="554"/>
      <c r="H250" s="250"/>
      <c r="I250" s="554"/>
      <c r="J250" s="554"/>
      <c r="K250" s="250"/>
      <c r="L250" s="250"/>
      <c r="M250" s="250"/>
      <c r="N250" s="250"/>
      <c r="O250" s="250"/>
      <c r="P250" s="250"/>
      <c r="Q250" s="250"/>
      <c r="R250" s="250"/>
      <c r="S250" s="250"/>
      <c r="T250" s="554"/>
      <c r="U250" s="554"/>
      <c r="V250" s="250"/>
      <c r="W250" s="250"/>
      <c r="X250" s="554"/>
      <c r="Y250" s="554"/>
      <c r="Z250" s="250"/>
      <c r="AA250" s="250"/>
      <c r="AB250" s="554"/>
      <c r="AC250" s="554"/>
      <c r="AD250" s="242"/>
    </row>
    <row r="251" spans="1:30">
      <c r="A251" s="242"/>
      <c r="B251" s="558">
        <v>39565</v>
      </c>
      <c r="C251" s="558"/>
      <c r="D251" s="247"/>
      <c r="E251" s="256">
        <v>227.5</v>
      </c>
      <c r="F251" s="557">
        <v>24</v>
      </c>
      <c r="G251" s="557"/>
      <c r="H251" s="256">
        <v>0</v>
      </c>
      <c r="I251" s="557">
        <v>0</v>
      </c>
      <c r="J251" s="557"/>
      <c r="K251" s="256">
        <v>0</v>
      </c>
      <c r="L251" s="257">
        <v>0</v>
      </c>
      <c r="M251" s="256">
        <v>357</v>
      </c>
      <c r="N251" s="257">
        <v>24</v>
      </c>
      <c r="O251" s="258">
        <v>584.5</v>
      </c>
      <c r="P251" s="250"/>
      <c r="Q251" s="256">
        <v>0</v>
      </c>
      <c r="R251" s="257">
        <v>0</v>
      </c>
      <c r="S251" s="256">
        <v>0</v>
      </c>
      <c r="T251" s="557">
        <v>0</v>
      </c>
      <c r="U251" s="557"/>
      <c r="V251" s="256">
        <v>0</v>
      </c>
      <c r="W251" s="250"/>
      <c r="X251" s="556">
        <v>584.5</v>
      </c>
      <c r="Y251" s="556"/>
      <c r="Z251" s="250"/>
      <c r="AA251" s="259">
        <v>7966800</v>
      </c>
      <c r="AB251" s="565">
        <v>0</v>
      </c>
      <c r="AC251" s="565"/>
      <c r="AD251" s="242"/>
    </row>
    <row r="252" spans="1:30">
      <c r="A252" s="242"/>
      <c r="B252" s="559"/>
      <c r="C252" s="559"/>
      <c r="D252" s="247"/>
      <c r="E252" s="250"/>
      <c r="F252" s="554"/>
      <c r="G252" s="554"/>
      <c r="H252" s="250"/>
      <c r="I252" s="554"/>
      <c r="J252" s="554"/>
      <c r="K252" s="250"/>
      <c r="L252" s="250"/>
      <c r="M252" s="250"/>
      <c r="N252" s="250"/>
      <c r="O252" s="250"/>
      <c r="P252" s="250"/>
      <c r="Q252" s="250"/>
      <c r="R252" s="250"/>
      <c r="S252" s="250"/>
      <c r="T252" s="554"/>
      <c r="U252" s="554"/>
      <c r="V252" s="250"/>
      <c r="W252" s="250"/>
      <c r="X252" s="554"/>
      <c r="Y252" s="554"/>
      <c r="Z252" s="250"/>
      <c r="AA252" s="250"/>
      <c r="AB252" s="554"/>
      <c r="AC252" s="554"/>
      <c r="AD252" s="242"/>
    </row>
    <row r="253" spans="1:30">
      <c r="A253" s="242"/>
      <c r="B253" s="563">
        <v>39566</v>
      </c>
      <c r="C253" s="563"/>
      <c r="D253" s="247"/>
      <c r="E253" s="252">
        <v>210.5</v>
      </c>
      <c r="F253" s="564">
        <v>24</v>
      </c>
      <c r="G253" s="564"/>
      <c r="H253" s="252">
        <v>0</v>
      </c>
      <c r="I253" s="564">
        <v>0</v>
      </c>
      <c r="J253" s="564"/>
      <c r="K253" s="252">
        <v>0</v>
      </c>
      <c r="L253" s="253">
        <v>0</v>
      </c>
      <c r="M253" s="252">
        <v>379</v>
      </c>
      <c r="N253" s="253">
        <v>24</v>
      </c>
      <c r="O253" s="254">
        <v>589.5</v>
      </c>
      <c r="P253" s="250"/>
      <c r="Q253" s="252">
        <v>0</v>
      </c>
      <c r="R253" s="253">
        <v>0</v>
      </c>
      <c r="S253" s="252">
        <v>0</v>
      </c>
      <c r="T253" s="564">
        <v>0</v>
      </c>
      <c r="U253" s="564"/>
      <c r="V253" s="252">
        <v>0</v>
      </c>
      <c r="W253" s="250"/>
      <c r="X253" s="561">
        <v>589.5</v>
      </c>
      <c r="Y253" s="561"/>
      <c r="Z253" s="250"/>
      <c r="AA253" s="255">
        <v>7958700</v>
      </c>
      <c r="AB253" s="566">
        <v>0</v>
      </c>
      <c r="AC253" s="566"/>
      <c r="AD253" s="242"/>
    </row>
    <row r="254" spans="1:30">
      <c r="A254" s="242"/>
      <c r="B254" s="559"/>
      <c r="C254" s="559"/>
      <c r="D254" s="247"/>
      <c r="E254" s="250"/>
      <c r="F254" s="554"/>
      <c r="G254" s="554"/>
      <c r="H254" s="250"/>
      <c r="I254" s="554"/>
      <c r="J254" s="554"/>
      <c r="K254" s="250"/>
      <c r="L254" s="250"/>
      <c r="M254" s="250"/>
      <c r="N254" s="250"/>
      <c r="O254" s="250"/>
      <c r="P254" s="250"/>
      <c r="Q254" s="250"/>
      <c r="R254" s="250"/>
      <c r="S254" s="250"/>
      <c r="T254" s="554"/>
      <c r="U254" s="554"/>
      <c r="V254" s="250"/>
      <c r="W254" s="250"/>
      <c r="X254" s="554"/>
      <c r="Y254" s="554"/>
      <c r="Z254" s="250"/>
      <c r="AA254" s="250"/>
      <c r="AB254" s="554"/>
      <c r="AC254" s="554"/>
      <c r="AD254" s="242"/>
    </row>
    <row r="255" spans="1:30">
      <c r="A255" s="242"/>
      <c r="B255" s="558">
        <v>39567</v>
      </c>
      <c r="C255" s="558"/>
      <c r="D255" s="247"/>
      <c r="E255" s="256">
        <v>230.6</v>
      </c>
      <c r="F255" s="557">
        <v>24</v>
      </c>
      <c r="G255" s="557"/>
      <c r="H255" s="256">
        <v>0</v>
      </c>
      <c r="I255" s="557">
        <v>0</v>
      </c>
      <c r="J255" s="557"/>
      <c r="K255" s="256">
        <v>0</v>
      </c>
      <c r="L255" s="257">
        <v>0</v>
      </c>
      <c r="M255" s="256">
        <v>414</v>
      </c>
      <c r="N255" s="257">
        <v>24</v>
      </c>
      <c r="O255" s="258">
        <v>644.6</v>
      </c>
      <c r="P255" s="250"/>
      <c r="Q255" s="256">
        <v>0</v>
      </c>
      <c r="R255" s="257">
        <v>0</v>
      </c>
      <c r="S255" s="256">
        <v>0</v>
      </c>
      <c r="T255" s="557">
        <v>0</v>
      </c>
      <c r="U255" s="557"/>
      <c r="V255" s="256">
        <v>0</v>
      </c>
      <c r="W255" s="250"/>
      <c r="X255" s="556">
        <v>644.6</v>
      </c>
      <c r="Y255" s="556"/>
      <c r="Z255" s="250"/>
      <c r="AA255" s="259">
        <v>8373000</v>
      </c>
      <c r="AB255" s="565">
        <v>0</v>
      </c>
      <c r="AC255" s="565"/>
      <c r="AD255" s="242"/>
    </row>
    <row r="256" spans="1:30">
      <c r="A256" s="242"/>
      <c r="B256" s="559"/>
      <c r="C256" s="559"/>
      <c r="D256" s="247"/>
      <c r="E256" s="250"/>
      <c r="F256" s="554"/>
      <c r="G256" s="554"/>
      <c r="H256" s="250"/>
      <c r="I256" s="554"/>
      <c r="J256" s="554"/>
      <c r="K256" s="250"/>
      <c r="L256" s="250"/>
      <c r="M256" s="250"/>
      <c r="N256" s="250"/>
      <c r="O256" s="250"/>
      <c r="P256" s="250"/>
      <c r="Q256" s="250"/>
      <c r="R256" s="250"/>
      <c r="S256" s="250"/>
      <c r="T256" s="554"/>
      <c r="U256" s="554"/>
      <c r="V256" s="250"/>
      <c r="W256" s="250"/>
      <c r="X256" s="554"/>
      <c r="Y256" s="554"/>
      <c r="Z256" s="250"/>
      <c r="AA256" s="250"/>
      <c r="AB256" s="554"/>
      <c r="AC256" s="554"/>
      <c r="AD256" s="242"/>
    </row>
    <row r="257" spans="1:30">
      <c r="A257" s="242"/>
      <c r="B257" s="563">
        <v>39568</v>
      </c>
      <c r="C257" s="563"/>
      <c r="D257" s="247"/>
      <c r="E257" s="252">
        <v>231.5</v>
      </c>
      <c r="F257" s="564">
        <v>24</v>
      </c>
      <c r="G257" s="564"/>
      <c r="H257" s="252">
        <v>0</v>
      </c>
      <c r="I257" s="564">
        <v>0</v>
      </c>
      <c r="J257" s="564"/>
      <c r="K257" s="252">
        <v>0</v>
      </c>
      <c r="L257" s="253">
        <v>0</v>
      </c>
      <c r="M257" s="252">
        <v>412</v>
      </c>
      <c r="N257" s="253">
        <v>24</v>
      </c>
      <c r="O257" s="254">
        <v>643.5</v>
      </c>
      <c r="P257" s="250"/>
      <c r="Q257" s="252">
        <v>0</v>
      </c>
      <c r="R257" s="253">
        <v>0</v>
      </c>
      <c r="S257" s="252">
        <v>0</v>
      </c>
      <c r="T257" s="564">
        <v>0</v>
      </c>
      <c r="U257" s="564"/>
      <c r="V257" s="252">
        <v>0</v>
      </c>
      <c r="W257" s="250"/>
      <c r="X257" s="561">
        <v>643.5</v>
      </c>
      <c r="Y257" s="561"/>
      <c r="Z257" s="250"/>
      <c r="AA257" s="255">
        <v>8369100</v>
      </c>
      <c r="AB257" s="566">
        <v>0</v>
      </c>
      <c r="AC257" s="566"/>
      <c r="AD257" s="242"/>
    </row>
    <row r="258" spans="1:30">
      <c r="A258" s="242"/>
      <c r="B258" s="559"/>
      <c r="C258" s="559"/>
      <c r="D258" s="247"/>
      <c r="E258" s="250"/>
      <c r="F258" s="554"/>
      <c r="G258" s="554"/>
      <c r="H258" s="250"/>
      <c r="I258" s="554"/>
      <c r="J258" s="554"/>
      <c r="K258" s="250"/>
      <c r="L258" s="250"/>
      <c r="M258" s="250"/>
      <c r="N258" s="250"/>
      <c r="O258" s="250"/>
      <c r="P258" s="250"/>
      <c r="Q258" s="250"/>
      <c r="R258" s="250"/>
      <c r="S258" s="250"/>
      <c r="T258" s="554"/>
      <c r="U258" s="554"/>
      <c r="V258" s="250"/>
      <c r="W258" s="250"/>
      <c r="X258" s="554"/>
      <c r="Y258" s="554"/>
      <c r="Z258" s="250"/>
      <c r="AA258" s="250"/>
      <c r="AB258" s="554"/>
      <c r="AC258" s="554"/>
      <c r="AD258" s="242"/>
    </row>
    <row r="259" spans="1:30">
      <c r="A259" s="242"/>
      <c r="B259" s="558">
        <v>39569</v>
      </c>
      <c r="C259" s="558"/>
      <c r="D259" s="247"/>
      <c r="E259" s="256">
        <v>228.4</v>
      </c>
      <c r="F259" s="557">
        <v>24</v>
      </c>
      <c r="G259" s="557"/>
      <c r="H259" s="256">
        <v>0</v>
      </c>
      <c r="I259" s="557">
        <v>0</v>
      </c>
      <c r="J259" s="557"/>
      <c r="K259" s="256">
        <v>0</v>
      </c>
      <c r="L259" s="257">
        <v>0</v>
      </c>
      <c r="M259" s="256">
        <v>394</v>
      </c>
      <c r="N259" s="257">
        <v>24</v>
      </c>
      <c r="O259" s="258">
        <v>622.4</v>
      </c>
      <c r="P259" s="250"/>
      <c r="Q259" s="256">
        <v>0</v>
      </c>
      <c r="R259" s="257">
        <v>0</v>
      </c>
      <c r="S259" s="256">
        <v>0</v>
      </c>
      <c r="T259" s="557">
        <v>0</v>
      </c>
      <c r="U259" s="557"/>
      <c r="V259" s="256">
        <v>0</v>
      </c>
      <c r="W259" s="250"/>
      <c r="X259" s="556">
        <v>622.4</v>
      </c>
      <c r="Y259" s="556"/>
      <c r="Z259" s="250"/>
      <c r="AA259" s="259">
        <v>8181600</v>
      </c>
      <c r="AB259" s="565">
        <v>0</v>
      </c>
      <c r="AC259" s="565"/>
      <c r="AD259" s="242"/>
    </row>
    <row r="260" spans="1:30">
      <c r="A260" s="242"/>
      <c r="B260" s="559"/>
      <c r="C260" s="559"/>
      <c r="D260" s="247"/>
      <c r="E260" s="250"/>
      <c r="F260" s="554"/>
      <c r="G260" s="554"/>
      <c r="H260" s="250"/>
      <c r="I260" s="554"/>
      <c r="J260" s="554"/>
      <c r="K260" s="250"/>
      <c r="L260" s="250"/>
      <c r="M260" s="250"/>
      <c r="N260" s="250"/>
      <c r="O260" s="250"/>
      <c r="P260" s="250"/>
      <c r="Q260" s="250"/>
      <c r="R260" s="250"/>
      <c r="S260" s="250"/>
      <c r="T260" s="554"/>
      <c r="U260" s="554"/>
      <c r="V260" s="250"/>
      <c r="W260" s="250"/>
      <c r="X260" s="554"/>
      <c r="Y260" s="554"/>
      <c r="Z260" s="250"/>
      <c r="AA260" s="250"/>
      <c r="AB260" s="554"/>
      <c r="AC260" s="554"/>
      <c r="AD260" s="242"/>
    </row>
    <row r="261" spans="1:30">
      <c r="A261" s="242"/>
      <c r="B261" s="563">
        <v>39570</v>
      </c>
      <c r="C261" s="563"/>
      <c r="D261" s="247"/>
      <c r="E261" s="252">
        <v>242</v>
      </c>
      <c r="F261" s="564">
        <v>24</v>
      </c>
      <c r="G261" s="564"/>
      <c r="H261" s="252">
        <v>20.2</v>
      </c>
      <c r="I261" s="564">
        <v>3</v>
      </c>
      <c r="J261" s="564"/>
      <c r="K261" s="252">
        <v>0</v>
      </c>
      <c r="L261" s="253">
        <v>0</v>
      </c>
      <c r="M261" s="252">
        <v>360</v>
      </c>
      <c r="N261" s="253">
        <v>24</v>
      </c>
      <c r="O261" s="254">
        <v>622.20000000000005</v>
      </c>
      <c r="P261" s="250"/>
      <c r="Q261" s="252">
        <v>0</v>
      </c>
      <c r="R261" s="253">
        <v>0</v>
      </c>
      <c r="S261" s="252">
        <v>0</v>
      </c>
      <c r="T261" s="564">
        <v>0</v>
      </c>
      <c r="U261" s="564"/>
      <c r="V261" s="252">
        <v>0</v>
      </c>
      <c r="W261" s="250"/>
      <c r="X261" s="561">
        <v>622.20000000000005</v>
      </c>
      <c r="Y261" s="561"/>
      <c r="Z261" s="250"/>
      <c r="AA261" s="255">
        <v>8064500</v>
      </c>
      <c r="AB261" s="566">
        <v>12202</v>
      </c>
      <c r="AC261" s="566"/>
      <c r="AD261" s="242"/>
    </row>
    <row r="262" spans="1:30">
      <c r="A262" s="242"/>
      <c r="B262" s="559"/>
      <c r="C262" s="559"/>
      <c r="D262" s="247"/>
      <c r="E262" s="250"/>
      <c r="F262" s="554"/>
      <c r="G262" s="554"/>
      <c r="H262" s="250"/>
      <c r="I262" s="554"/>
      <c r="J262" s="554"/>
      <c r="K262" s="250"/>
      <c r="L262" s="250"/>
      <c r="M262" s="250"/>
      <c r="N262" s="250"/>
      <c r="O262" s="250"/>
      <c r="P262" s="250"/>
      <c r="Q262" s="250"/>
      <c r="R262" s="250"/>
      <c r="S262" s="250"/>
      <c r="T262" s="554"/>
      <c r="U262" s="554"/>
      <c r="V262" s="250"/>
      <c r="W262" s="250"/>
      <c r="X262" s="554"/>
      <c r="Y262" s="554"/>
      <c r="Z262" s="250"/>
      <c r="AA262" s="250"/>
      <c r="AB262" s="554"/>
      <c r="AC262" s="554"/>
      <c r="AD262" s="242"/>
    </row>
    <row r="263" spans="1:30">
      <c r="A263" s="242"/>
      <c r="B263" s="558">
        <v>39571</v>
      </c>
      <c r="C263" s="558"/>
      <c r="D263" s="247"/>
      <c r="E263" s="256">
        <v>260.39999999999998</v>
      </c>
      <c r="F263" s="557">
        <v>24</v>
      </c>
      <c r="G263" s="557"/>
      <c r="H263" s="256">
        <v>51.5</v>
      </c>
      <c r="I263" s="557">
        <v>6</v>
      </c>
      <c r="J263" s="557"/>
      <c r="K263" s="256">
        <v>0</v>
      </c>
      <c r="L263" s="257">
        <v>0</v>
      </c>
      <c r="M263" s="256">
        <v>363</v>
      </c>
      <c r="N263" s="257">
        <v>24</v>
      </c>
      <c r="O263" s="258">
        <v>674.9</v>
      </c>
      <c r="P263" s="250"/>
      <c r="Q263" s="256">
        <v>0</v>
      </c>
      <c r="R263" s="257">
        <v>0</v>
      </c>
      <c r="S263" s="256">
        <v>0</v>
      </c>
      <c r="T263" s="557">
        <v>0</v>
      </c>
      <c r="U263" s="557"/>
      <c r="V263" s="256">
        <v>0</v>
      </c>
      <c r="W263" s="250"/>
      <c r="X263" s="556">
        <v>674.9</v>
      </c>
      <c r="Y263" s="556"/>
      <c r="Z263" s="250"/>
      <c r="AA263" s="259">
        <v>9009600</v>
      </c>
      <c r="AB263" s="565">
        <v>5749</v>
      </c>
      <c r="AC263" s="565"/>
      <c r="AD263" s="242"/>
    </row>
    <row r="264" spans="1:30">
      <c r="A264" s="242"/>
      <c r="B264" s="559"/>
      <c r="C264" s="559"/>
      <c r="D264" s="247"/>
      <c r="E264" s="250"/>
      <c r="F264" s="554"/>
      <c r="G264" s="554"/>
      <c r="H264" s="250"/>
      <c r="I264" s="554"/>
      <c r="J264" s="554"/>
      <c r="K264" s="250"/>
      <c r="L264" s="250"/>
      <c r="M264" s="250"/>
      <c r="N264" s="250"/>
      <c r="O264" s="250"/>
      <c r="P264" s="250"/>
      <c r="Q264" s="250"/>
      <c r="R264" s="250"/>
      <c r="S264" s="250"/>
      <c r="T264" s="554"/>
      <c r="U264" s="554"/>
      <c r="V264" s="250"/>
      <c r="W264" s="250"/>
      <c r="X264" s="554"/>
      <c r="Y264" s="554"/>
      <c r="Z264" s="250"/>
      <c r="AA264" s="250"/>
      <c r="AB264" s="554"/>
      <c r="AC264" s="554"/>
      <c r="AD264" s="242"/>
    </row>
    <row r="265" spans="1:30">
      <c r="A265" s="242"/>
      <c r="B265" s="563">
        <v>39572</v>
      </c>
      <c r="C265" s="563"/>
      <c r="D265" s="247"/>
      <c r="E265" s="252">
        <v>227.1</v>
      </c>
      <c r="F265" s="564">
        <v>24</v>
      </c>
      <c r="G265" s="564"/>
      <c r="H265" s="252">
        <v>338.7</v>
      </c>
      <c r="I265" s="564">
        <v>24</v>
      </c>
      <c r="J265" s="564"/>
      <c r="K265" s="252">
        <v>0</v>
      </c>
      <c r="L265" s="253">
        <v>0</v>
      </c>
      <c r="M265" s="252">
        <v>48</v>
      </c>
      <c r="N265" s="253">
        <v>10</v>
      </c>
      <c r="O265" s="254">
        <v>613.79999999999995</v>
      </c>
      <c r="P265" s="250"/>
      <c r="Q265" s="252">
        <v>32</v>
      </c>
      <c r="R265" s="253">
        <v>10</v>
      </c>
      <c r="S265" s="252">
        <v>0</v>
      </c>
      <c r="T265" s="564">
        <v>0</v>
      </c>
      <c r="U265" s="564"/>
      <c r="V265" s="252">
        <v>32</v>
      </c>
      <c r="W265" s="250"/>
      <c r="X265" s="561">
        <v>645.79999999999995</v>
      </c>
      <c r="Y265" s="561"/>
      <c r="Z265" s="250"/>
      <c r="AA265" s="255">
        <v>9259900</v>
      </c>
      <c r="AB265" s="566">
        <v>0</v>
      </c>
      <c r="AC265" s="566"/>
      <c r="AD265" s="242"/>
    </row>
    <row r="266" spans="1:30">
      <c r="A266" s="242"/>
      <c r="B266" s="559"/>
      <c r="C266" s="559"/>
      <c r="D266" s="247"/>
      <c r="E266" s="250"/>
      <c r="F266" s="554"/>
      <c r="G266" s="554"/>
      <c r="H266" s="250"/>
      <c r="I266" s="554"/>
      <c r="J266" s="554"/>
      <c r="K266" s="250"/>
      <c r="L266" s="250"/>
      <c r="M266" s="250"/>
      <c r="N266" s="250"/>
      <c r="O266" s="250"/>
      <c r="P266" s="250"/>
      <c r="Q266" s="250"/>
      <c r="R266" s="250"/>
      <c r="S266" s="250"/>
      <c r="T266" s="554"/>
      <c r="U266" s="554"/>
      <c r="V266" s="250"/>
      <c r="W266" s="250"/>
      <c r="X266" s="554"/>
      <c r="Y266" s="554"/>
      <c r="Z266" s="250"/>
      <c r="AA266" s="250"/>
      <c r="AB266" s="554"/>
      <c r="AC266" s="554"/>
      <c r="AD266" s="242"/>
    </row>
    <row r="267" spans="1:30">
      <c r="A267" s="242"/>
      <c r="B267" s="558">
        <v>39573</v>
      </c>
      <c r="C267" s="558"/>
      <c r="D267" s="247"/>
      <c r="E267" s="256">
        <v>286.5</v>
      </c>
      <c r="F267" s="557">
        <v>24</v>
      </c>
      <c r="G267" s="557"/>
      <c r="H267" s="256">
        <v>336.3</v>
      </c>
      <c r="I267" s="557">
        <v>24</v>
      </c>
      <c r="J267" s="557"/>
      <c r="K267" s="256">
        <v>0</v>
      </c>
      <c r="L267" s="257">
        <v>0</v>
      </c>
      <c r="M267" s="256">
        <v>0</v>
      </c>
      <c r="N267" s="257">
        <v>0</v>
      </c>
      <c r="O267" s="258">
        <v>622.79999999999995</v>
      </c>
      <c r="P267" s="250"/>
      <c r="Q267" s="256">
        <v>20</v>
      </c>
      <c r="R267" s="257">
        <v>6</v>
      </c>
      <c r="S267" s="256">
        <v>0</v>
      </c>
      <c r="T267" s="557">
        <v>0</v>
      </c>
      <c r="U267" s="557"/>
      <c r="V267" s="256">
        <v>20</v>
      </c>
      <c r="W267" s="250"/>
      <c r="X267" s="556">
        <v>642.79999999999995</v>
      </c>
      <c r="Y267" s="556"/>
      <c r="Z267" s="250"/>
      <c r="AA267" s="259">
        <v>8652400</v>
      </c>
      <c r="AB267" s="565">
        <v>0</v>
      </c>
      <c r="AC267" s="565"/>
      <c r="AD267" s="242"/>
    </row>
    <row r="268" spans="1:30">
      <c r="A268" s="242"/>
      <c r="B268" s="559"/>
      <c r="C268" s="559"/>
      <c r="D268" s="247"/>
      <c r="E268" s="250"/>
      <c r="F268" s="554"/>
      <c r="G268" s="554"/>
      <c r="H268" s="250"/>
      <c r="I268" s="554"/>
      <c r="J268" s="554"/>
      <c r="K268" s="250"/>
      <c r="L268" s="250"/>
      <c r="M268" s="250"/>
      <c r="N268" s="250"/>
      <c r="O268" s="250"/>
      <c r="P268" s="250"/>
      <c r="Q268" s="250"/>
      <c r="R268" s="250"/>
      <c r="S268" s="250"/>
      <c r="T268" s="554"/>
      <c r="U268" s="554"/>
      <c r="V268" s="250"/>
      <c r="W268" s="250"/>
      <c r="X268" s="554"/>
      <c r="Y268" s="554"/>
      <c r="Z268" s="250"/>
      <c r="AA268" s="250"/>
      <c r="AB268" s="554"/>
      <c r="AC268" s="554"/>
      <c r="AD268" s="242"/>
    </row>
    <row r="269" spans="1:30">
      <c r="A269" s="242"/>
      <c r="B269" s="563">
        <v>39574</v>
      </c>
      <c r="C269" s="563"/>
      <c r="D269" s="247"/>
      <c r="E269" s="252">
        <v>296.7</v>
      </c>
      <c r="F269" s="564">
        <v>24</v>
      </c>
      <c r="G269" s="564"/>
      <c r="H269" s="252">
        <v>322.3</v>
      </c>
      <c r="I269" s="564">
        <v>24</v>
      </c>
      <c r="J269" s="564"/>
      <c r="K269" s="252">
        <v>0</v>
      </c>
      <c r="L269" s="253">
        <v>0</v>
      </c>
      <c r="M269" s="252">
        <v>0</v>
      </c>
      <c r="N269" s="253">
        <v>0</v>
      </c>
      <c r="O269" s="254">
        <v>619</v>
      </c>
      <c r="P269" s="250"/>
      <c r="Q269" s="252">
        <v>7</v>
      </c>
      <c r="R269" s="253">
        <v>3</v>
      </c>
      <c r="S269" s="252">
        <v>0</v>
      </c>
      <c r="T269" s="564">
        <v>0</v>
      </c>
      <c r="U269" s="564"/>
      <c r="V269" s="252">
        <v>7</v>
      </c>
      <c r="W269" s="250"/>
      <c r="X269" s="561">
        <v>626</v>
      </c>
      <c r="Y269" s="561"/>
      <c r="Z269" s="250"/>
      <c r="AA269" s="255">
        <v>8556900</v>
      </c>
      <c r="AB269" s="566">
        <v>0</v>
      </c>
      <c r="AC269" s="566"/>
      <c r="AD269" s="242"/>
    </row>
    <row r="270" spans="1:30">
      <c r="A270" s="242"/>
      <c r="B270" s="559"/>
      <c r="C270" s="559"/>
      <c r="D270" s="247"/>
      <c r="E270" s="250"/>
      <c r="F270" s="554"/>
      <c r="G270" s="554"/>
      <c r="H270" s="250"/>
      <c r="I270" s="554"/>
      <c r="J270" s="554"/>
      <c r="K270" s="250"/>
      <c r="L270" s="250"/>
      <c r="M270" s="250"/>
      <c r="N270" s="250"/>
      <c r="O270" s="250"/>
      <c r="P270" s="250"/>
      <c r="Q270" s="250"/>
      <c r="R270" s="250"/>
      <c r="S270" s="250"/>
      <c r="T270" s="554"/>
      <c r="U270" s="554"/>
      <c r="V270" s="250"/>
      <c r="W270" s="250"/>
      <c r="X270" s="554"/>
      <c r="Y270" s="554"/>
      <c r="Z270" s="250"/>
      <c r="AA270" s="250"/>
      <c r="AB270" s="554"/>
      <c r="AC270" s="554"/>
      <c r="AD270" s="242"/>
    </row>
    <row r="271" spans="1:30">
      <c r="A271" s="242"/>
      <c r="B271" s="558">
        <v>39575</v>
      </c>
      <c r="C271" s="558"/>
      <c r="D271" s="247"/>
      <c r="E271" s="256">
        <v>297.7</v>
      </c>
      <c r="F271" s="557">
        <v>24</v>
      </c>
      <c r="G271" s="557"/>
      <c r="H271" s="256">
        <v>310.89999999999998</v>
      </c>
      <c r="I271" s="557">
        <v>24</v>
      </c>
      <c r="J271" s="557"/>
      <c r="K271" s="256">
        <v>0</v>
      </c>
      <c r="L271" s="257">
        <v>0</v>
      </c>
      <c r="M271" s="256">
        <v>0</v>
      </c>
      <c r="N271" s="257">
        <v>0</v>
      </c>
      <c r="O271" s="258">
        <v>608.6</v>
      </c>
      <c r="P271" s="250"/>
      <c r="Q271" s="256">
        <v>67</v>
      </c>
      <c r="R271" s="257">
        <v>12</v>
      </c>
      <c r="S271" s="256">
        <v>0</v>
      </c>
      <c r="T271" s="557">
        <v>0</v>
      </c>
      <c r="U271" s="557"/>
      <c r="V271" s="256">
        <v>67</v>
      </c>
      <c r="W271" s="250"/>
      <c r="X271" s="556">
        <v>675.6</v>
      </c>
      <c r="Y271" s="556"/>
      <c r="Z271" s="250"/>
      <c r="AA271" s="259">
        <v>8462000</v>
      </c>
      <c r="AB271" s="565">
        <v>0</v>
      </c>
      <c r="AC271" s="565"/>
      <c r="AD271" s="242"/>
    </row>
    <row r="272" spans="1:30">
      <c r="A272" s="242"/>
      <c r="B272" s="559"/>
      <c r="C272" s="559"/>
      <c r="D272" s="247"/>
      <c r="E272" s="250"/>
      <c r="F272" s="554"/>
      <c r="G272" s="554"/>
      <c r="H272" s="250"/>
      <c r="I272" s="554"/>
      <c r="J272" s="554"/>
      <c r="K272" s="250"/>
      <c r="L272" s="250"/>
      <c r="M272" s="250"/>
      <c r="N272" s="250"/>
      <c r="O272" s="250"/>
      <c r="P272" s="250"/>
      <c r="Q272" s="250"/>
      <c r="R272" s="250"/>
      <c r="S272" s="250"/>
      <c r="T272" s="554"/>
      <c r="U272" s="554"/>
      <c r="V272" s="250"/>
      <c r="W272" s="250"/>
      <c r="X272" s="554"/>
      <c r="Y272" s="554"/>
      <c r="Z272" s="250"/>
      <c r="AA272" s="250"/>
      <c r="AB272" s="554"/>
      <c r="AC272" s="554"/>
      <c r="AD272" s="242"/>
    </row>
    <row r="273" spans="1:30">
      <c r="A273" s="242"/>
      <c r="B273" s="563">
        <v>39576</v>
      </c>
      <c r="C273" s="563"/>
      <c r="D273" s="247"/>
      <c r="E273" s="252">
        <v>279.3</v>
      </c>
      <c r="F273" s="564">
        <v>24</v>
      </c>
      <c r="G273" s="564"/>
      <c r="H273" s="252">
        <v>295.89999999999998</v>
      </c>
      <c r="I273" s="564">
        <v>24</v>
      </c>
      <c r="J273" s="564"/>
      <c r="K273" s="252">
        <v>0</v>
      </c>
      <c r="L273" s="253">
        <v>0</v>
      </c>
      <c r="M273" s="252">
        <v>0</v>
      </c>
      <c r="N273" s="253">
        <v>0</v>
      </c>
      <c r="O273" s="254">
        <v>575.20000000000005</v>
      </c>
      <c r="P273" s="250"/>
      <c r="Q273" s="252">
        <v>65</v>
      </c>
      <c r="R273" s="253">
        <v>14</v>
      </c>
      <c r="S273" s="252">
        <v>0</v>
      </c>
      <c r="T273" s="564">
        <v>0</v>
      </c>
      <c r="U273" s="564"/>
      <c r="V273" s="252">
        <v>65</v>
      </c>
      <c r="W273" s="250"/>
      <c r="X273" s="561">
        <v>640.20000000000005</v>
      </c>
      <c r="Y273" s="561"/>
      <c r="Z273" s="250"/>
      <c r="AA273" s="255">
        <v>8187600</v>
      </c>
      <c r="AB273" s="566">
        <v>0</v>
      </c>
      <c r="AC273" s="566"/>
      <c r="AD273" s="242"/>
    </row>
    <row r="274" spans="1:30">
      <c r="A274" s="242"/>
      <c r="B274" s="559"/>
      <c r="C274" s="559"/>
      <c r="D274" s="247"/>
      <c r="E274" s="250"/>
      <c r="F274" s="554"/>
      <c r="G274" s="554"/>
      <c r="H274" s="250"/>
      <c r="I274" s="554"/>
      <c r="J274" s="554"/>
      <c r="K274" s="250"/>
      <c r="L274" s="250"/>
      <c r="M274" s="250"/>
      <c r="N274" s="250"/>
      <c r="O274" s="250"/>
      <c r="P274" s="250"/>
      <c r="Q274" s="250"/>
      <c r="R274" s="250"/>
      <c r="S274" s="250"/>
      <c r="T274" s="554"/>
      <c r="U274" s="554"/>
      <c r="V274" s="250"/>
      <c r="W274" s="250"/>
      <c r="X274" s="554"/>
      <c r="Y274" s="554"/>
      <c r="Z274" s="250"/>
      <c r="AA274" s="250"/>
      <c r="AB274" s="554"/>
      <c r="AC274" s="554"/>
      <c r="AD274" s="242"/>
    </row>
    <row r="275" spans="1:30">
      <c r="A275" s="242"/>
      <c r="B275" s="558">
        <v>39577</v>
      </c>
      <c r="C275" s="558"/>
      <c r="D275" s="247"/>
      <c r="E275" s="256">
        <v>277.89999999999998</v>
      </c>
      <c r="F275" s="557">
        <v>24</v>
      </c>
      <c r="G275" s="557"/>
      <c r="H275" s="256">
        <v>275.10000000000002</v>
      </c>
      <c r="I275" s="557">
        <v>24</v>
      </c>
      <c r="J275" s="557"/>
      <c r="K275" s="256">
        <v>0</v>
      </c>
      <c r="L275" s="257">
        <v>0</v>
      </c>
      <c r="M275" s="256">
        <v>0</v>
      </c>
      <c r="N275" s="257">
        <v>0</v>
      </c>
      <c r="O275" s="258">
        <v>553</v>
      </c>
      <c r="P275" s="250"/>
      <c r="Q275" s="256">
        <v>137</v>
      </c>
      <c r="R275" s="257">
        <v>21</v>
      </c>
      <c r="S275" s="256">
        <v>0</v>
      </c>
      <c r="T275" s="557">
        <v>0</v>
      </c>
      <c r="U275" s="557"/>
      <c r="V275" s="256">
        <v>137</v>
      </c>
      <c r="W275" s="250"/>
      <c r="X275" s="556">
        <v>690</v>
      </c>
      <c r="Y275" s="556"/>
      <c r="Z275" s="250"/>
      <c r="AA275" s="259">
        <v>7988800</v>
      </c>
      <c r="AB275" s="565">
        <v>0</v>
      </c>
      <c r="AC275" s="565"/>
      <c r="AD275" s="242"/>
    </row>
    <row r="276" spans="1:30">
      <c r="A276" s="242"/>
      <c r="B276" s="559"/>
      <c r="C276" s="559"/>
      <c r="D276" s="247"/>
      <c r="E276" s="250"/>
      <c r="F276" s="554"/>
      <c r="G276" s="554"/>
      <c r="H276" s="250"/>
      <c r="I276" s="554"/>
      <c r="J276" s="554"/>
      <c r="K276" s="250"/>
      <c r="L276" s="250"/>
      <c r="M276" s="250"/>
      <c r="N276" s="250"/>
      <c r="O276" s="250"/>
      <c r="P276" s="250"/>
      <c r="Q276" s="250"/>
      <c r="R276" s="250"/>
      <c r="S276" s="250"/>
      <c r="T276" s="554"/>
      <c r="U276" s="554"/>
      <c r="V276" s="250"/>
      <c r="W276" s="250"/>
      <c r="X276" s="554"/>
      <c r="Y276" s="554"/>
      <c r="Z276" s="250"/>
      <c r="AA276" s="250"/>
      <c r="AB276" s="554"/>
      <c r="AC276" s="554"/>
      <c r="AD276" s="242"/>
    </row>
    <row r="277" spans="1:30">
      <c r="A277" s="242"/>
      <c r="B277" s="563">
        <v>39578</v>
      </c>
      <c r="C277" s="563"/>
      <c r="D277" s="247"/>
      <c r="E277" s="252">
        <v>244.9</v>
      </c>
      <c r="F277" s="564">
        <v>23</v>
      </c>
      <c r="G277" s="564"/>
      <c r="H277" s="252">
        <v>95.8</v>
      </c>
      <c r="I277" s="564">
        <v>11</v>
      </c>
      <c r="J277" s="564"/>
      <c r="K277" s="252">
        <v>0</v>
      </c>
      <c r="L277" s="253">
        <v>0</v>
      </c>
      <c r="M277" s="252">
        <v>0</v>
      </c>
      <c r="N277" s="253">
        <v>0</v>
      </c>
      <c r="O277" s="254">
        <v>340.7</v>
      </c>
      <c r="P277" s="250"/>
      <c r="Q277" s="252">
        <v>84</v>
      </c>
      <c r="R277" s="253">
        <v>5</v>
      </c>
      <c r="S277" s="252">
        <v>165</v>
      </c>
      <c r="T277" s="564">
        <v>19</v>
      </c>
      <c r="U277" s="564"/>
      <c r="V277" s="252">
        <v>249</v>
      </c>
      <c r="W277" s="250"/>
      <c r="X277" s="561">
        <v>589.70000000000005</v>
      </c>
      <c r="Y277" s="561"/>
      <c r="Z277" s="250"/>
      <c r="AA277" s="255">
        <v>4703100</v>
      </c>
      <c r="AB277" s="566">
        <v>20179</v>
      </c>
      <c r="AC277" s="566"/>
      <c r="AD277" s="242"/>
    </row>
    <row r="278" spans="1:30">
      <c r="A278" s="242"/>
      <c r="B278" s="559"/>
      <c r="C278" s="559"/>
      <c r="D278" s="247"/>
      <c r="E278" s="250"/>
      <c r="F278" s="554"/>
      <c r="G278" s="554"/>
      <c r="H278" s="250"/>
      <c r="I278" s="554"/>
      <c r="J278" s="554"/>
      <c r="K278" s="250"/>
      <c r="L278" s="250"/>
      <c r="M278" s="250"/>
      <c r="N278" s="250"/>
      <c r="O278" s="250"/>
      <c r="P278" s="250"/>
      <c r="Q278" s="250"/>
      <c r="R278" s="250"/>
      <c r="S278" s="250"/>
      <c r="T278" s="554"/>
      <c r="U278" s="554"/>
      <c r="V278" s="250"/>
      <c r="W278" s="250"/>
      <c r="X278" s="554"/>
      <c r="Y278" s="554"/>
      <c r="Z278" s="250"/>
      <c r="AA278" s="250"/>
      <c r="AB278" s="554"/>
      <c r="AC278" s="554"/>
      <c r="AD278" s="242"/>
    </row>
    <row r="279" spans="1:30">
      <c r="A279" s="242"/>
      <c r="B279" s="558">
        <v>39579</v>
      </c>
      <c r="C279" s="558"/>
      <c r="D279" s="247"/>
      <c r="E279" s="256">
        <v>263.5</v>
      </c>
      <c r="F279" s="557">
        <v>24</v>
      </c>
      <c r="G279" s="557"/>
      <c r="H279" s="256">
        <v>191</v>
      </c>
      <c r="I279" s="557">
        <v>19</v>
      </c>
      <c r="J279" s="557"/>
      <c r="K279" s="256">
        <v>0</v>
      </c>
      <c r="L279" s="257">
        <v>0</v>
      </c>
      <c r="M279" s="256">
        <v>0</v>
      </c>
      <c r="N279" s="257">
        <v>0</v>
      </c>
      <c r="O279" s="258">
        <v>454.5</v>
      </c>
      <c r="P279" s="250"/>
      <c r="Q279" s="256">
        <v>0</v>
      </c>
      <c r="R279" s="257">
        <v>0</v>
      </c>
      <c r="S279" s="256">
        <v>289</v>
      </c>
      <c r="T279" s="557">
        <v>24</v>
      </c>
      <c r="U279" s="557"/>
      <c r="V279" s="256">
        <v>289</v>
      </c>
      <c r="W279" s="250"/>
      <c r="X279" s="556">
        <v>743.5</v>
      </c>
      <c r="Y279" s="556"/>
      <c r="Z279" s="250"/>
      <c r="AA279" s="259">
        <v>3855000</v>
      </c>
      <c r="AB279" s="565">
        <v>105277</v>
      </c>
      <c r="AC279" s="565"/>
      <c r="AD279" s="242"/>
    </row>
    <row r="280" spans="1:30">
      <c r="A280" s="242"/>
      <c r="B280" s="559"/>
      <c r="C280" s="559"/>
      <c r="D280" s="247"/>
      <c r="E280" s="250"/>
      <c r="F280" s="554"/>
      <c r="G280" s="554"/>
      <c r="H280" s="250"/>
      <c r="I280" s="554"/>
      <c r="J280" s="554"/>
      <c r="K280" s="250"/>
      <c r="L280" s="250"/>
      <c r="M280" s="250"/>
      <c r="N280" s="250"/>
      <c r="O280" s="250"/>
      <c r="P280" s="250"/>
      <c r="Q280" s="250"/>
      <c r="R280" s="250"/>
      <c r="S280" s="250"/>
      <c r="T280" s="554"/>
      <c r="U280" s="554"/>
      <c r="V280" s="250"/>
      <c r="W280" s="250"/>
      <c r="X280" s="554"/>
      <c r="Y280" s="554"/>
      <c r="Z280" s="250"/>
      <c r="AA280" s="250"/>
      <c r="AB280" s="554"/>
      <c r="AC280" s="554"/>
      <c r="AD280" s="242"/>
    </row>
    <row r="281" spans="1:30">
      <c r="A281" s="242"/>
      <c r="B281" s="563">
        <v>39580</v>
      </c>
      <c r="C281" s="563"/>
      <c r="D281" s="247"/>
      <c r="E281" s="252">
        <v>267.7</v>
      </c>
      <c r="F281" s="564">
        <v>24</v>
      </c>
      <c r="G281" s="564"/>
      <c r="H281" s="252">
        <v>268.8</v>
      </c>
      <c r="I281" s="564">
        <v>24</v>
      </c>
      <c r="J281" s="564"/>
      <c r="K281" s="252">
        <v>0</v>
      </c>
      <c r="L281" s="253">
        <v>0</v>
      </c>
      <c r="M281" s="252">
        <v>0</v>
      </c>
      <c r="N281" s="253">
        <v>0</v>
      </c>
      <c r="O281" s="254">
        <v>536.5</v>
      </c>
      <c r="P281" s="250"/>
      <c r="Q281" s="252">
        <v>0</v>
      </c>
      <c r="R281" s="253">
        <v>0</v>
      </c>
      <c r="S281" s="252">
        <v>247</v>
      </c>
      <c r="T281" s="564">
        <v>24</v>
      </c>
      <c r="U281" s="564"/>
      <c r="V281" s="252">
        <v>247</v>
      </c>
      <c r="W281" s="250"/>
      <c r="X281" s="561">
        <v>783.5</v>
      </c>
      <c r="Y281" s="561"/>
      <c r="Z281" s="250"/>
      <c r="AA281" s="255">
        <v>3929200</v>
      </c>
      <c r="AB281" s="566">
        <v>141537</v>
      </c>
      <c r="AC281" s="566"/>
      <c r="AD281" s="242"/>
    </row>
    <row r="282" spans="1:30">
      <c r="A282" s="242"/>
      <c r="B282" s="559"/>
      <c r="C282" s="559"/>
      <c r="D282" s="247"/>
      <c r="E282" s="250"/>
      <c r="F282" s="554"/>
      <c r="G282" s="554"/>
      <c r="H282" s="250"/>
      <c r="I282" s="554"/>
      <c r="J282" s="554"/>
      <c r="K282" s="250"/>
      <c r="L282" s="250"/>
      <c r="M282" s="250"/>
      <c r="N282" s="250"/>
      <c r="O282" s="250"/>
      <c r="P282" s="250"/>
      <c r="Q282" s="250"/>
      <c r="R282" s="250"/>
      <c r="S282" s="250"/>
      <c r="T282" s="554"/>
      <c r="U282" s="554"/>
      <c r="V282" s="250"/>
      <c r="W282" s="250"/>
      <c r="X282" s="554"/>
      <c r="Y282" s="554"/>
      <c r="Z282" s="250"/>
      <c r="AA282" s="250"/>
      <c r="AB282" s="554"/>
      <c r="AC282" s="554"/>
      <c r="AD282" s="242"/>
    </row>
    <row r="283" spans="1:30">
      <c r="A283" s="242"/>
      <c r="B283" s="558">
        <v>39581</v>
      </c>
      <c r="C283" s="558"/>
      <c r="D283" s="247"/>
      <c r="E283" s="256">
        <v>277.8</v>
      </c>
      <c r="F283" s="557">
        <v>24</v>
      </c>
      <c r="G283" s="557"/>
      <c r="H283" s="256">
        <v>266.3</v>
      </c>
      <c r="I283" s="557">
        <v>24</v>
      </c>
      <c r="J283" s="557"/>
      <c r="K283" s="256">
        <v>0</v>
      </c>
      <c r="L283" s="257">
        <v>0</v>
      </c>
      <c r="M283" s="256">
        <v>0</v>
      </c>
      <c r="N283" s="257">
        <v>0</v>
      </c>
      <c r="O283" s="258">
        <v>544.1</v>
      </c>
      <c r="P283" s="250"/>
      <c r="Q283" s="256">
        <v>0</v>
      </c>
      <c r="R283" s="257">
        <v>0</v>
      </c>
      <c r="S283" s="256">
        <v>219</v>
      </c>
      <c r="T283" s="557">
        <v>24</v>
      </c>
      <c r="U283" s="557"/>
      <c r="V283" s="256">
        <v>219</v>
      </c>
      <c r="W283" s="250"/>
      <c r="X283" s="556">
        <v>763.1</v>
      </c>
      <c r="Y283" s="556"/>
      <c r="Z283" s="250"/>
      <c r="AA283" s="259">
        <v>4044600</v>
      </c>
      <c r="AB283" s="565">
        <v>141879</v>
      </c>
      <c r="AC283" s="565"/>
      <c r="AD283" s="242"/>
    </row>
    <row r="284" spans="1:30">
      <c r="A284" s="242"/>
      <c r="B284" s="559"/>
      <c r="C284" s="559"/>
      <c r="D284" s="247"/>
      <c r="E284" s="250"/>
      <c r="F284" s="554"/>
      <c r="G284" s="554"/>
      <c r="H284" s="250"/>
      <c r="I284" s="554"/>
      <c r="J284" s="554"/>
      <c r="K284" s="250"/>
      <c r="L284" s="250"/>
      <c r="M284" s="250"/>
      <c r="N284" s="250"/>
      <c r="O284" s="250"/>
      <c r="P284" s="250"/>
      <c r="Q284" s="250"/>
      <c r="R284" s="250"/>
      <c r="S284" s="250"/>
      <c r="T284" s="554"/>
      <c r="U284" s="554"/>
      <c r="V284" s="250"/>
      <c r="W284" s="250"/>
      <c r="X284" s="554"/>
      <c r="Y284" s="554"/>
      <c r="Z284" s="250"/>
      <c r="AA284" s="250"/>
      <c r="AB284" s="554"/>
      <c r="AC284" s="554"/>
      <c r="AD284" s="242"/>
    </row>
    <row r="285" spans="1:30">
      <c r="A285" s="242"/>
      <c r="B285" s="563">
        <v>39582</v>
      </c>
      <c r="C285" s="563"/>
      <c r="D285" s="247"/>
      <c r="E285" s="252">
        <v>268.89999999999998</v>
      </c>
      <c r="F285" s="564">
        <v>24</v>
      </c>
      <c r="G285" s="564"/>
      <c r="H285" s="252">
        <v>281.39999999999998</v>
      </c>
      <c r="I285" s="564">
        <v>24</v>
      </c>
      <c r="J285" s="564"/>
      <c r="K285" s="252">
        <v>0</v>
      </c>
      <c r="L285" s="253">
        <v>0</v>
      </c>
      <c r="M285" s="252">
        <v>0</v>
      </c>
      <c r="N285" s="253">
        <v>0</v>
      </c>
      <c r="O285" s="254">
        <v>550.29999999999995</v>
      </c>
      <c r="P285" s="250"/>
      <c r="Q285" s="252">
        <v>0</v>
      </c>
      <c r="R285" s="253">
        <v>0</v>
      </c>
      <c r="S285" s="252">
        <v>223</v>
      </c>
      <c r="T285" s="564">
        <v>24</v>
      </c>
      <c r="U285" s="564"/>
      <c r="V285" s="252">
        <v>223</v>
      </c>
      <c r="W285" s="250"/>
      <c r="X285" s="561">
        <v>773.3</v>
      </c>
      <c r="Y285" s="561"/>
      <c r="Z285" s="250"/>
      <c r="AA285" s="255">
        <v>3963800</v>
      </c>
      <c r="AB285" s="566">
        <v>146726</v>
      </c>
      <c r="AC285" s="566"/>
      <c r="AD285" s="242"/>
    </row>
    <row r="286" spans="1:30">
      <c r="A286" s="242"/>
      <c r="B286" s="559"/>
      <c r="C286" s="559"/>
      <c r="D286" s="247"/>
      <c r="E286" s="250"/>
      <c r="F286" s="554"/>
      <c r="G286" s="554"/>
      <c r="H286" s="250"/>
      <c r="I286" s="554"/>
      <c r="J286" s="554"/>
      <c r="K286" s="250"/>
      <c r="L286" s="250"/>
      <c r="M286" s="250"/>
      <c r="N286" s="250"/>
      <c r="O286" s="250"/>
      <c r="P286" s="250"/>
      <c r="Q286" s="250"/>
      <c r="R286" s="250"/>
      <c r="S286" s="250"/>
      <c r="T286" s="554"/>
      <c r="U286" s="554"/>
      <c r="V286" s="250"/>
      <c r="W286" s="250"/>
      <c r="X286" s="554"/>
      <c r="Y286" s="554"/>
      <c r="Z286" s="250"/>
      <c r="AA286" s="250"/>
      <c r="AB286" s="554"/>
      <c r="AC286" s="554"/>
      <c r="AD286" s="242"/>
    </row>
    <row r="287" spans="1:30">
      <c r="A287" s="242"/>
      <c r="B287" s="558">
        <v>39583</v>
      </c>
      <c r="C287" s="558"/>
      <c r="D287" s="247"/>
      <c r="E287" s="256">
        <v>256.60000000000002</v>
      </c>
      <c r="F287" s="557">
        <v>24</v>
      </c>
      <c r="G287" s="557"/>
      <c r="H287" s="256">
        <v>255.2</v>
      </c>
      <c r="I287" s="557">
        <v>24</v>
      </c>
      <c r="J287" s="557"/>
      <c r="K287" s="256">
        <v>0</v>
      </c>
      <c r="L287" s="257">
        <v>0</v>
      </c>
      <c r="M287" s="256">
        <v>0</v>
      </c>
      <c r="N287" s="257">
        <v>0</v>
      </c>
      <c r="O287" s="258">
        <v>511.8</v>
      </c>
      <c r="P287" s="250"/>
      <c r="Q287" s="256">
        <v>0</v>
      </c>
      <c r="R287" s="257">
        <v>0</v>
      </c>
      <c r="S287" s="256">
        <v>255</v>
      </c>
      <c r="T287" s="557">
        <v>24</v>
      </c>
      <c r="U287" s="557"/>
      <c r="V287" s="256">
        <v>255</v>
      </c>
      <c r="W287" s="250"/>
      <c r="X287" s="556">
        <v>766.8</v>
      </c>
      <c r="Y287" s="556"/>
      <c r="Z287" s="250"/>
      <c r="AA287" s="259">
        <v>3845500</v>
      </c>
      <c r="AB287" s="565">
        <v>138669</v>
      </c>
      <c r="AC287" s="565"/>
      <c r="AD287" s="242"/>
    </row>
    <row r="288" spans="1:30">
      <c r="A288" s="242"/>
      <c r="B288" s="559"/>
      <c r="C288" s="559"/>
      <c r="D288" s="247"/>
      <c r="E288" s="250"/>
      <c r="F288" s="554"/>
      <c r="G288" s="554"/>
      <c r="H288" s="250"/>
      <c r="I288" s="554"/>
      <c r="J288" s="554"/>
      <c r="K288" s="250"/>
      <c r="L288" s="250"/>
      <c r="M288" s="250"/>
      <c r="N288" s="250"/>
      <c r="O288" s="250"/>
      <c r="P288" s="250"/>
      <c r="Q288" s="250"/>
      <c r="R288" s="250"/>
      <c r="S288" s="250"/>
      <c r="T288" s="554"/>
      <c r="U288" s="554"/>
      <c r="V288" s="250"/>
      <c r="W288" s="250"/>
      <c r="X288" s="554"/>
      <c r="Y288" s="554"/>
      <c r="Z288" s="250"/>
      <c r="AA288" s="250"/>
      <c r="AB288" s="554"/>
      <c r="AC288" s="554"/>
      <c r="AD288" s="242"/>
    </row>
    <row r="289" spans="1:30">
      <c r="A289" s="242"/>
      <c r="B289" s="563">
        <v>39584</v>
      </c>
      <c r="C289" s="563"/>
      <c r="D289" s="247"/>
      <c r="E289" s="252">
        <v>238.1</v>
      </c>
      <c r="F289" s="564">
        <v>24</v>
      </c>
      <c r="G289" s="564"/>
      <c r="H289" s="252">
        <v>233.5</v>
      </c>
      <c r="I289" s="564">
        <v>24</v>
      </c>
      <c r="J289" s="564"/>
      <c r="K289" s="252">
        <v>0</v>
      </c>
      <c r="L289" s="253">
        <v>0</v>
      </c>
      <c r="M289" s="252">
        <v>0</v>
      </c>
      <c r="N289" s="253">
        <v>0</v>
      </c>
      <c r="O289" s="254">
        <v>471.6</v>
      </c>
      <c r="P289" s="250"/>
      <c r="Q289" s="252">
        <v>0</v>
      </c>
      <c r="R289" s="253">
        <v>0</v>
      </c>
      <c r="S289" s="252">
        <v>200</v>
      </c>
      <c r="T289" s="564">
        <v>24</v>
      </c>
      <c r="U289" s="564"/>
      <c r="V289" s="252">
        <v>200</v>
      </c>
      <c r="W289" s="250"/>
      <c r="X289" s="561">
        <v>671.6</v>
      </c>
      <c r="Y289" s="561"/>
      <c r="Z289" s="250"/>
      <c r="AA289" s="255">
        <v>3690400</v>
      </c>
      <c r="AB289" s="566">
        <v>132010</v>
      </c>
      <c r="AC289" s="566"/>
      <c r="AD289" s="242"/>
    </row>
    <row r="290" spans="1:30">
      <c r="A290" s="242"/>
      <c r="B290" s="559"/>
      <c r="C290" s="559"/>
      <c r="D290" s="247"/>
      <c r="E290" s="250"/>
      <c r="F290" s="554"/>
      <c r="G290" s="554"/>
      <c r="H290" s="250"/>
      <c r="I290" s="554"/>
      <c r="J290" s="554"/>
      <c r="K290" s="250"/>
      <c r="L290" s="250"/>
      <c r="M290" s="250"/>
      <c r="N290" s="250"/>
      <c r="O290" s="250"/>
      <c r="P290" s="250"/>
      <c r="Q290" s="250"/>
      <c r="R290" s="250"/>
      <c r="S290" s="250"/>
      <c r="T290" s="554"/>
      <c r="U290" s="554"/>
      <c r="V290" s="250"/>
      <c r="W290" s="250"/>
      <c r="X290" s="554"/>
      <c r="Y290" s="554"/>
      <c r="Z290" s="250"/>
      <c r="AA290" s="250"/>
      <c r="AB290" s="554"/>
      <c r="AC290" s="554"/>
      <c r="AD290" s="242"/>
    </row>
    <row r="291" spans="1:30">
      <c r="A291" s="242"/>
      <c r="B291" s="558">
        <v>39585</v>
      </c>
      <c r="C291" s="558"/>
      <c r="D291" s="247"/>
      <c r="E291" s="256">
        <v>220.4</v>
      </c>
      <c r="F291" s="557">
        <v>24</v>
      </c>
      <c r="G291" s="557"/>
      <c r="H291" s="256">
        <v>218.8</v>
      </c>
      <c r="I291" s="557">
        <v>24</v>
      </c>
      <c r="J291" s="557"/>
      <c r="K291" s="256">
        <v>0</v>
      </c>
      <c r="L291" s="257">
        <v>0</v>
      </c>
      <c r="M291" s="256">
        <v>0</v>
      </c>
      <c r="N291" s="257">
        <v>0</v>
      </c>
      <c r="O291" s="258">
        <v>439.2</v>
      </c>
      <c r="P291" s="250"/>
      <c r="Q291" s="256">
        <v>0</v>
      </c>
      <c r="R291" s="257">
        <v>0</v>
      </c>
      <c r="S291" s="256">
        <v>197</v>
      </c>
      <c r="T291" s="557">
        <v>24</v>
      </c>
      <c r="U291" s="557"/>
      <c r="V291" s="256">
        <v>197</v>
      </c>
      <c r="W291" s="250"/>
      <c r="X291" s="556">
        <v>636.20000000000005</v>
      </c>
      <c r="Y291" s="556"/>
      <c r="Z291" s="250"/>
      <c r="AA291" s="259">
        <v>3557400</v>
      </c>
      <c r="AB291" s="565">
        <v>127674</v>
      </c>
      <c r="AC291" s="565"/>
      <c r="AD291" s="242"/>
    </row>
    <row r="292" spans="1:30">
      <c r="A292" s="242"/>
      <c r="B292" s="559"/>
      <c r="C292" s="559"/>
      <c r="D292" s="247"/>
      <c r="E292" s="250"/>
      <c r="F292" s="554"/>
      <c r="G292" s="554"/>
      <c r="H292" s="250"/>
      <c r="I292" s="554"/>
      <c r="J292" s="554"/>
      <c r="K292" s="250"/>
      <c r="L292" s="250"/>
      <c r="M292" s="250"/>
      <c r="N292" s="250"/>
      <c r="O292" s="250"/>
      <c r="P292" s="250"/>
      <c r="Q292" s="250"/>
      <c r="R292" s="250"/>
      <c r="S292" s="250"/>
      <c r="T292" s="554"/>
      <c r="U292" s="554"/>
      <c r="V292" s="250"/>
      <c r="W292" s="250"/>
      <c r="X292" s="554"/>
      <c r="Y292" s="554"/>
      <c r="Z292" s="250"/>
      <c r="AA292" s="250"/>
      <c r="AB292" s="554"/>
      <c r="AC292" s="554"/>
      <c r="AD292" s="242"/>
    </row>
    <row r="293" spans="1:30">
      <c r="A293" s="242"/>
      <c r="B293" s="563">
        <v>39586</v>
      </c>
      <c r="C293" s="563"/>
      <c r="D293" s="247"/>
      <c r="E293" s="252">
        <v>209</v>
      </c>
      <c r="F293" s="564">
        <v>24</v>
      </c>
      <c r="G293" s="564"/>
      <c r="H293" s="252">
        <v>127.3</v>
      </c>
      <c r="I293" s="564">
        <v>24</v>
      </c>
      <c r="J293" s="564"/>
      <c r="K293" s="252">
        <v>0</v>
      </c>
      <c r="L293" s="253">
        <v>0</v>
      </c>
      <c r="M293" s="252">
        <v>130</v>
      </c>
      <c r="N293" s="253">
        <v>14</v>
      </c>
      <c r="O293" s="254">
        <v>466.3</v>
      </c>
      <c r="P293" s="250"/>
      <c r="Q293" s="252">
        <v>0</v>
      </c>
      <c r="R293" s="253">
        <v>0</v>
      </c>
      <c r="S293" s="252">
        <v>208</v>
      </c>
      <c r="T293" s="564">
        <v>24</v>
      </c>
      <c r="U293" s="564"/>
      <c r="V293" s="252">
        <v>208</v>
      </c>
      <c r="W293" s="250"/>
      <c r="X293" s="561">
        <v>674.3</v>
      </c>
      <c r="Y293" s="561"/>
      <c r="Z293" s="250"/>
      <c r="AA293" s="255">
        <v>5391600</v>
      </c>
      <c r="AB293" s="566">
        <v>104312</v>
      </c>
      <c r="AC293" s="566"/>
      <c r="AD293" s="242"/>
    </row>
    <row r="294" spans="1:30">
      <c r="A294" s="242"/>
      <c r="B294" s="559"/>
      <c r="C294" s="559"/>
      <c r="D294" s="247"/>
      <c r="E294" s="250"/>
      <c r="F294" s="554"/>
      <c r="G294" s="554"/>
      <c r="H294" s="250"/>
      <c r="I294" s="554"/>
      <c r="J294" s="554"/>
      <c r="K294" s="250"/>
      <c r="L294" s="250"/>
      <c r="M294" s="250"/>
      <c r="N294" s="250"/>
      <c r="O294" s="250"/>
      <c r="P294" s="250"/>
      <c r="Q294" s="250"/>
      <c r="R294" s="250"/>
      <c r="S294" s="250"/>
      <c r="T294" s="554"/>
      <c r="U294" s="554"/>
      <c r="V294" s="250"/>
      <c r="W294" s="250"/>
      <c r="X294" s="554"/>
      <c r="Y294" s="554"/>
      <c r="Z294" s="250"/>
      <c r="AA294" s="250"/>
      <c r="AB294" s="554"/>
      <c r="AC294" s="554"/>
      <c r="AD294" s="242"/>
    </row>
    <row r="295" spans="1:30">
      <c r="A295" s="242"/>
      <c r="B295" s="558">
        <v>39587</v>
      </c>
      <c r="C295" s="558"/>
      <c r="D295" s="247"/>
      <c r="E295" s="256">
        <v>140.69999999999999</v>
      </c>
      <c r="F295" s="557">
        <v>24</v>
      </c>
      <c r="G295" s="557"/>
      <c r="H295" s="256">
        <v>0</v>
      </c>
      <c r="I295" s="557">
        <v>8</v>
      </c>
      <c r="J295" s="557"/>
      <c r="K295" s="256">
        <v>0</v>
      </c>
      <c r="L295" s="257">
        <v>0</v>
      </c>
      <c r="M295" s="256">
        <v>287</v>
      </c>
      <c r="N295" s="257">
        <v>24</v>
      </c>
      <c r="O295" s="258">
        <v>427.7</v>
      </c>
      <c r="P295" s="250"/>
      <c r="Q295" s="256">
        <v>0</v>
      </c>
      <c r="R295" s="257">
        <v>0</v>
      </c>
      <c r="S295" s="256">
        <v>177</v>
      </c>
      <c r="T295" s="557">
        <v>24</v>
      </c>
      <c r="U295" s="557"/>
      <c r="V295" s="256">
        <v>177</v>
      </c>
      <c r="W295" s="250"/>
      <c r="X295" s="556">
        <v>604.70000000000005</v>
      </c>
      <c r="Y295" s="556"/>
      <c r="Z295" s="250"/>
      <c r="AA295" s="259">
        <v>6730400</v>
      </c>
      <c r="AB295" s="565">
        <v>24075</v>
      </c>
      <c r="AC295" s="565"/>
      <c r="AD295" s="242"/>
    </row>
    <row r="296" spans="1:30">
      <c r="A296" s="242"/>
      <c r="B296" s="559"/>
      <c r="C296" s="559"/>
      <c r="D296" s="247"/>
      <c r="E296" s="250"/>
      <c r="F296" s="554"/>
      <c r="G296" s="554"/>
      <c r="H296" s="250"/>
      <c r="I296" s="554"/>
      <c r="J296" s="554"/>
      <c r="K296" s="250"/>
      <c r="L296" s="250"/>
      <c r="M296" s="250"/>
      <c r="N296" s="250"/>
      <c r="O296" s="250"/>
      <c r="P296" s="250"/>
      <c r="Q296" s="250"/>
      <c r="R296" s="250"/>
      <c r="S296" s="250"/>
      <c r="T296" s="554"/>
      <c r="U296" s="554"/>
      <c r="V296" s="250"/>
      <c r="W296" s="250"/>
      <c r="X296" s="554"/>
      <c r="Y296" s="554"/>
      <c r="Z296" s="250"/>
      <c r="AA296" s="250"/>
      <c r="AB296" s="554"/>
      <c r="AC296" s="554"/>
      <c r="AD296" s="242"/>
    </row>
    <row r="297" spans="1:30">
      <c r="A297" s="242"/>
      <c r="B297" s="563">
        <v>39588</v>
      </c>
      <c r="C297" s="563"/>
      <c r="D297" s="247"/>
      <c r="E297" s="252">
        <v>58.7</v>
      </c>
      <c r="F297" s="564">
        <v>24</v>
      </c>
      <c r="G297" s="564"/>
      <c r="H297" s="252">
        <v>0</v>
      </c>
      <c r="I297" s="564">
        <v>0</v>
      </c>
      <c r="J297" s="564"/>
      <c r="K297" s="252">
        <v>0</v>
      </c>
      <c r="L297" s="253">
        <v>0</v>
      </c>
      <c r="M297" s="252">
        <v>373</v>
      </c>
      <c r="N297" s="253">
        <v>24</v>
      </c>
      <c r="O297" s="254">
        <v>431.7</v>
      </c>
      <c r="P297" s="250"/>
      <c r="Q297" s="252">
        <v>0</v>
      </c>
      <c r="R297" s="253">
        <v>0</v>
      </c>
      <c r="S297" s="252">
        <v>197</v>
      </c>
      <c r="T297" s="564">
        <v>0</v>
      </c>
      <c r="U297" s="564"/>
      <c r="V297" s="252">
        <v>197</v>
      </c>
      <c r="W297" s="250"/>
      <c r="X297" s="561">
        <v>628.70000000000005</v>
      </c>
      <c r="Y297" s="561"/>
      <c r="Z297" s="250"/>
      <c r="AA297" s="255">
        <v>5612300</v>
      </c>
      <c r="AB297" s="566">
        <v>42403</v>
      </c>
      <c r="AC297" s="566"/>
      <c r="AD297" s="242"/>
    </row>
    <row r="298" spans="1:30">
      <c r="A298" s="242"/>
      <c r="B298" s="559"/>
      <c r="C298" s="559"/>
      <c r="D298" s="247"/>
      <c r="E298" s="250"/>
      <c r="F298" s="554"/>
      <c r="G298" s="554"/>
      <c r="H298" s="250"/>
      <c r="I298" s="554"/>
      <c r="J298" s="554"/>
      <c r="K298" s="250"/>
      <c r="L298" s="250"/>
      <c r="M298" s="250"/>
      <c r="N298" s="250"/>
      <c r="O298" s="250"/>
      <c r="P298" s="250"/>
      <c r="Q298" s="250"/>
      <c r="R298" s="250"/>
      <c r="S298" s="250"/>
      <c r="T298" s="554"/>
      <c r="U298" s="554"/>
      <c r="V298" s="250"/>
      <c r="W298" s="250"/>
      <c r="X298" s="554"/>
      <c r="Y298" s="554"/>
      <c r="Z298" s="250"/>
      <c r="AA298" s="250"/>
      <c r="AB298" s="554"/>
      <c r="AC298" s="554"/>
      <c r="AD298" s="242"/>
    </row>
    <row r="299" spans="1:30">
      <c r="A299" s="242"/>
      <c r="B299" s="558">
        <v>39589</v>
      </c>
      <c r="C299" s="558"/>
      <c r="D299" s="247"/>
      <c r="E299" s="256">
        <v>0</v>
      </c>
      <c r="F299" s="557">
        <v>24</v>
      </c>
      <c r="G299" s="557"/>
      <c r="H299" s="256">
        <v>0</v>
      </c>
      <c r="I299" s="557">
        <v>0</v>
      </c>
      <c r="J299" s="557"/>
      <c r="K299" s="256">
        <v>0</v>
      </c>
      <c r="L299" s="257">
        <v>0</v>
      </c>
      <c r="M299" s="256">
        <v>459</v>
      </c>
      <c r="N299" s="257">
        <v>24</v>
      </c>
      <c r="O299" s="258">
        <v>459</v>
      </c>
      <c r="P299" s="250"/>
      <c r="Q299" s="256">
        <v>0</v>
      </c>
      <c r="R299" s="257">
        <v>0</v>
      </c>
      <c r="S299" s="256">
        <v>235</v>
      </c>
      <c r="T299" s="557">
        <v>24</v>
      </c>
      <c r="U299" s="557"/>
      <c r="V299" s="256">
        <v>235</v>
      </c>
      <c r="W299" s="250"/>
      <c r="X299" s="556">
        <v>694</v>
      </c>
      <c r="Y299" s="556"/>
      <c r="Z299" s="250"/>
      <c r="AA299" s="259">
        <v>5031200</v>
      </c>
      <c r="AB299" s="565">
        <v>69681</v>
      </c>
      <c r="AC299" s="565"/>
      <c r="AD299" s="242"/>
    </row>
    <row r="300" spans="1:30">
      <c r="A300" s="242"/>
      <c r="B300" s="559"/>
      <c r="C300" s="559"/>
      <c r="D300" s="247"/>
      <c r="E300" s="250"/>
      <c r="F300" s="554"/>
      <c r="G300" s="554"/>
      <c r="H300" s="250"/>
      <c r="I300" s="554"/>
      <c r="J300" s="554"/>
      <c r="K300" s="250"/>
      <c r="L300" s="250"/>
      <c r="M300" s="250"/>
      <c r="N300" s="250"/>
      <c r="O300" s="250"/>
      <c r="P300" s="250"/>
      <c r="Q300" s="250"/>
      <c r="R300" s="250"/>
      <c r="S300" s="250"/>
      <c r="T300" s="554"/>
      <c r="U300" s="554"/>
      <c r="V300" s="250"/>
      <c r="W300" s="250"/>
      <c r="X300" s="554"/>
      <c r="Y300" s="554"/>
      <c r="Z300" s="250"/>
      <c r="AA300" s="250"/>
      <c r="AB300" s="554"/>
      <c r="AC300" s="554"/>
      <c r="AD300" s="242"/>
    </row>
    <row r="301" spans="1:30">
      <c r="A301" s="242"/>
      <c r="B301" s="563">
        <v>39590</v>
      </c>
      <c r="C301" s="563"/>
      <c r="D301" s="247"/>
      <c r="E301" s="252">
        <v>0</v>
      </c>
      <c r="F301" s="564">
        <v>24</v>
      </c>
      <c r="G301" s="564"/>
      <c r="H301" s="252">
        <v>0</v>
      </c>
      <c r="I301" s="564">
        <v>0</v>
      </c>
      <c r="J301" s="564"/>
      <c r="K301" s="252">
        <v>0</v>
      </c>
      <c r="L301" s="253">
        <v>0</v>
      </c>
      <c r="M301" s="252">
        <v>436</v>
      </c>
      <c r="N301" s="253">
        <v>24</v>
      </c>
      <c r="O301" s="254">
        <v>436</v>
      </c>
      <c r="P301" s="250"/>
      <c r="Q301" s="252">
        <v>0</v>
      </c>
      <c r="R301" s="253">
        <v>0</v>
      </c>
      <c r="S301" s="252">
        <v>216</v>
      </c>
      <c r="T301" s="564">
        <v>24</v>
      </c>
      <c r="U301" s="564"/>
      <c r="V301" s="252">
        <v>216</v>
      </c>
      <c r="W301" s="250"/>
      <c r="X301" s="561">
        <v>652</v>
      </c>
      <c r="Y301" s="561"/>
      <c r="Z301" s="250"/>
      <c r="AA301" s="255">
        <v>4850600</v>
      </c>
      <c r="AB301" s="566">
        <v>69650</v>
      </c>
      <c r="AC301" s="566"/>
      <c r="AD301" s="242"/>
    </row>
    <row r="302" spans="1:30">
      <c r="A302" s="242"/>
      <c r="B302" s="559"/>
      <c r="C302" s="559"/>
      <c r="D302" s="247"/>
      <c r="E302" s="250"/>
      <c r="F302" s="554"/>
      <c r="G302" s="554"/>
      <c r="H302" s="250"/>
      <c r="I302" s="554"/>
      <c r="J302" s="554"/>
      <c r="K302" s="250"/>
      <c r="L302" s="250"/>
      <c r="M302" s="250"/>
      <c r="N302" s="250"/>
      <c r="O302" s="250"/>
      <c r="P302" s="250"/>
      <c r="Q302" s="250"/>
      <c r="R302" s="250"/>
      <c r="S302" s="250"/>
      <c r="T302" s="554"/>
      <c r="U302" s="554"/>
      <c r="V302" s="250"/>
      <c r="W302" s="250"/>
      <c r="X302" s="554"/>
      <c r="Y302" s="554"/>
      <c r="Z302" s="250"/>
      <c r="AA302" s="250"/>
      <c r="AB302" s="554"/>
      <c r="AC302" s="554"/>
      <c r="AD302" s="242"/>
    </row>
    <row r="303" spans="1:30">
      <c r="A303" s="242"/>
      <c r="B303" s="558">
        <v>39591</v>
      </c>
      <c r="C303" s="558"/>
      <c r="D303" s="247"/>
      <c r="E303" s="256">
        <v>158.30000000000001</v>
      </c>
      <c r="F303" s="557">
        <v>21</v>
      </c>
      <c r="G303" s="557"/>
      <c r="H303" s="256">
        <v>0</v>
      </c>
      <c r="I303" s="557">
        <v>0</v>
      </c>
      <c r="J303" s="557"/>
      <c r="K303" s="256">
        <v>0</v>
      </c>
      <c r="L303" s="257">
        <v>0</v>
      </c>
      <c r="M303" s="256">
        <v>416</v>
      </c>
      <c r="N303" s="257">
        <v>24</v>
      </c>
      <c r="O303" s="258">
        <v>574.29999999999995</v>
      </c>
      <c r="P303" s="250"/>
      <c r="Q303" s="256">
        <v>0</v>
      </c>
      <c r="R303" s="257">
        <v>0</v>
      </c>
      <c r="S303" s="256">
        <v>167</v>
      </c>
      <c r="T303" s="557">
        <v>24</v>
      </c>
      <c r="U303" s="557"/>
      <c r="V303" s="256">
        <v>167</v>
      </c>
      <c r="W303" s="250"/>
      <c r="X303" s="556">
        <v>741.3</v>
      </c>
      <c r="Y303" s="556"/>
      <c r="Z303" s="250"/>
      <c r="AA303" s="259">
        <v>4657200</v>
      </c>
      <c r="AB303" s="565">
        <v>179390</v>
      </c>
      <c r="AC303" s="565"/>
      <c r="AD303" s="242"/>
    </row>
    <row r="304" spans="1:30">
      <c r="A304" s="242"/>
      <c r="B304" s="559"/>
      <c r="C304" s="559"/>
      <c r="D304" s="247"/>
      <c r="E304" s="250"/>
      <c r="F304" s="554"/>
      <c r="G304" s="554"/>
      <c r="H304" s="250"/>
      <c r="I304" s="554"/>
      <c r="J304" s="554"/>
      <c r="K304" s="250"/>
      <c r="L304" s="250"/>
      <c r="M304" s="250"/>
      <c r="N304" s="250"/>
      <c r="O304" s="250"/>
      <c r="P304" s="250"/>
      <c r="Q304" s="250"/>
      <c r="R304" s="250"/>
      <c r="S304" s="250"/>
      <c r="T304" s="554"/>
      <c r="U304" s="554"/>
      <c r="V304" s="250"/>
      <c r="W304" s="250"/>
      <c r="X304" s="554"/>
      <c r="Y304" s="554"/>
      <c r="Z304" s="250"/>
      <c r="AA304" s="250"/>
      <c r="AB304" s="554"/>
      <c r="AC304" s="554"/>
      <c r="AD304" s="242"/>
    </row>
    <row r="305" spans="1:30">
      <c r="A305" s="242"/>
      <c r="B305" s="563">
        <v>39592</v>
      </c>
      <c r="C305" s="563"/>
      <c r="D305" s="247"/>
      <c r="E305" s="252">
        <v>152.80000000000001</v>
      </c>
      <c r="F305" s="564">
        <v>24</v>
      </c>
      <c r="G305" s="564"/>
      <c r="H305" s="252">
        <v>0</v>
      </c>
      <c r="I305" s="564">
        <v>0</v>
      </c>
      <c r="J305" s="564"/>
      <c r="K305" s="252">
        <v>0</v>
      </c>
      <c r="L305" s="253">
        <v>0</v>
      </c>
      <c r="M305" s="252">
        <v>406</v>
      </c>
      <c r="N305" s="253">
        <v>24</v>
      </c>
      <c r="O305" s="254">
        <v>558.79999999999995</v>
      </c>
      <c r="P305" s="250"/>
      <c r="Q305" s="252">
        <v>0</v>
      </c>
      <c r="R305" s="253">
        <v>0</v>
      </c>
      <c r="S305" s="252">
        <v>148</v>
      </c>
      <c r="T305" s="564">
        <v>24</v>
      </c>
      <c r="U305" s="564"/>
      <c r="V305" s="252">
        <v>148</v>
      </c>
      <c r="W305" s="250"/>
      <c r="X305" s="561">
        <v>706.8</v>
      </c>
      <c r="Y305" s="561"/>
      <c r="Z305" s="250"/>
      <c r="AA305" s="255">
        <v>4641300</v>
      </c>
      <c r="AB305" s="566">
        <v>109536</v>
      </c>
      <c r="AC305" s="566"/>
      <c r="AD305" s="242"/>
    </row>
    <row r="306" spans="1:30">
      <c r="A306" s="242"/>
      <c r="B306" s="559"/>
      <c r="C306" s="559"/>
      <c r="D306" s="247"/>
      <c r="E306" s="250"/>
      <c r="F306" s="554"/>
      <c r="G306" s="554"/>
      <c r="H306" s="250"/>
      <c r="I306" s="554"/>
      <c r="J306" s="554"/>
      <c r="K306" s="250"/>
      <c r="L306" s="250"/>
      <c r="M306" s="250"/>
      <c r="N306" s="250"/>
      <c r="O306" s="250"/>
      <c r="P306" s="250"/>
      <c r="Q306" s="250"/>
      <c r="R306" s="250"/>
      <c r="S306" s="250"/>
      <c r="T306" s="554"/>
      <c r="U306" s="554"/>
      <c r="V306" s="250"/>
      <c r="W306" s="250"/>
      <c r="X306" s="554"/>
      <c r="Y306" s="554"/>
      <c r="Z306" s="250"/>
      <c r="AA306" s="250"/>
      <c r="AB306" s="554"/>
      <c r="AC306" s="554"/>
      <c r="AD306" s="242"/>
    </row>
    <row r="307" spans="1:30">
      <c r="A307" s="242"/>
      <c r="B307" s="558">
        <v>39593</v>
      </c>
      <c r="C307" s="558"/>
      <c r="D307" s="247"/>
      <c r="E307" s="256">
        <v>159</v>
      </c>
      <c r="F307" s="557">
        <v>24</v>
      </c>
      <c r="G307" s="557"/>
      <c r="H307" s="256">
        <v>0</v>
      </c>
      <c r="I307" s="557">
        <v>0</v>
      </c>
      <c r="J307" s="557"/>
      <c r="K307" s="256">
        <v>0</v>
      </c>
      <c r="L307" s="257">
        <v>0</v>
      </c>
      <c r="M307" s="256">
        <v>352</v>
      </c>
      <c r="N307" s="257">
        <v>24</v>
      </c>
      <c r="O307" s="258">
        <v>511</v>
      </c>
      <c r="P307" s="250"/>
      <c r="Q307" s="256">
        <v>0</v>
      </c>
      <c r="R307" s="257">
        <v>0</v>
      </c>
      <c r="S307" s="256">
        <v>172</v>
      </c>
      <c r="T307" s="557">
        <v>24</v>
      </c>
      <c r="U307" s="557"/>
      <c r="V307" s="256">
        <v>172</v>
      </c>
      <c r="W307" s="250"/>
      <c r="X307" s="556">
        <v>683</v>
      </c>
      <c r="Y307" s="556"/>
      <c r="Z307" s="250"/>
      <c r="AA307" s="259">
        <v>4166800</v>
      </c>
      <c r="AB307" s="565">
        <v>111026</v>
      </c>
      <c r="AC307" s="565"/>
      <c r="AD307" s="242"/>
    </row>
    <row r="308" spans="1:30">
      <c r="A308" s="242"/>
      <c r="B308" s="559"/>
      <c r="C308" s="559"/>
      <c r="D308" s="247"/>
      <c r="E308" s="250"/>
      <c r="F308" s="554"/>
      <c r="G308" s="554"/>
      <c r="H308" s="250"/>
      <c r="I308" s="554"/>
      <c r="J308" s="554"/>
      <c r="K308" s="250"/>
      <c r="L308" s="250"/>
      <c r="M308" s="250"/>
      <c r="N308" s="250"/>
      <c r="O308" s="250"/>
      <c r="P308" s="250"/>
      <c r="Q308" s="250"/>
      <c r="R308" s="250"/>
      <c r="S308" s="250"/>
      <c r="T308" s="554"/>
      <c r="U308" s="554"/>
      <c r="V308" s="250"/>
      <c r="W308" s="250"/>
      <c r="X308" s="554"/>
      <c r="Y308" s="554"/>
      <c r="Z308" s="250"/>
      <c r="AA308" s="250"/>
      <c r="AB308" s="554"/>
      <c r="AC308" s="554"/>
      <c r="AD308" s="242"/>
    </row>
    <row r="309" spans="1:30">
      <c r="A309" s="242"/>
      <c r="B309" s="563">
        <v>39594</v>
      </c>
      <c r="C309" s="563"/>
      <c r="D309" s="247"/>
      <c r="E309" s="252">
        <v>126.4</v>
      </c>
      <c r="F309" s="564">
        <v>24</v>
      </c>
      <c r="G309" s="564"/>
      <c r="H309" s="252">
        <v>0</v>
      </c>
      <c r="I309" s="564">
        <v>0</v>
      </c>
      <c r="J309" s="564"/>
      <c r="K309" s="252">
        <v>0</v>
      </c>
      <c r="L309" s="253">
        <v>0</v>
      </c>
      <c r="M309" s="252">
        <v>362</v>
      </c>
      <c r="N309" s="253">
        <v>24</v>
      </c>
      <c r="O309" s="254">
        <v>488.4</v>
      </c>
      <c r="P309" s="250"/>
      <c r="Q309" s="252">
        <v>0</v>
      </c>
      <c r="R309" s="253">
        <v>0</v>
      </c>
      <c r="S309" s="252">
        <v>155</v>
      </c>
      <c r="T309" s="564">
        <v>24</v>
      </c>
      <c r="U309" s="564"/>
      <c r="V309" s="252">
        <v>155</v>
      </c>
      <c r="W309" s="250"/>
      <c r="X309" s="561">
        <v>643.4</v>
      </c>
      <c r="Y309" s="561"/>
      <c r="Z309" s="250"/>
      <c r="AA309" s="255">
        <v>4247100</v>
      </c>
      <c r="AB309" s="566">
        <v>102248</v>
      </c>
      <c r="AC309" s="566"/>
      <c r="AD309" s="242"/>
    </row>
    <row r="310" spans="1:30">
      <c r="A310" s="242"/>
      <c r="B310" s="559"/>
      <c r="C310" s="559"/>
      <c r="D310" s="247"/>
      <c r="E310" s="250"/>
      <c r="F310" s="554"/>
      <c r="G310" s="554"/>
      <c r="H310" s="250"/>
      <c r="I310" s="554"/>
      <c r="J310" s="554"/>
      <c r="K310" s="250"/>
      <c r="L310" s="250"/>
      <c r="M310" s="250"/>
      <c r="N310" s="250"/>
      <c r="O310" s="250"/>
      <c r="P310" s="250"/>
      <c r="Q310" s="250"/>
      <c r="R310" s="250"/>
      <c r="S310" s="250"/>
      <c r="T310" s="554"/>
      <c r="U310" s="554"/>
      <c r="V310" s="250"/>
      <c r="W310" s="250"/>
      <c r="X310" s="554"/>
      <c r="Y310" s="554"/>
      <c r="Z310" s="250"/>
      <c r="AA310" s="250"/>
      <c r="AB310" s="554"/>
      <c r="AC310" s="554"/>
      <c r="AD310" s="242"/>
    </row>
    <row r="311" spans="1:30">
      <c r="A311" s="242"/>
      <c r="B311" s="558">
        <v>39595</v>
      </c>
      <c r="C311" s="558"/>
      <c r="D311" s="247"/>
      <c r="E311" s="256">
        <v>122.1</v>
      </c>
      <c r="F311" s="557">
        <v>24</v>
      </c>
      <c r="G311" s="557"/>
      <c r="H311" s="256">
        <v>0</v>
      </c>
      <c r="I311" s="557">
        <v>0</v>
      </c>
      <c r="J311" s="557"/>
      <c r="K311" s="256">
        <v>0</v>
      </c>
      <c r="L311" s="257">
        <v>0</v>
      </c>
      <c r="M311" s="256">
        <v>339</v>
      </c>
      <c r="N311" s="257">
        <v>24</v>
      </c>
      <c r="O311" s="258">
        <v>461.1</v>
      </c>
      <c r="P311" s="250"/>
      <c r="Q311" s="256">
        <v>0</v>
      </c>
      <c r="R311" s="257">
        <v>0</v>
      </c>
      <c r="S311" s="256">
        <v>148</v>
      </c>
      <c r="T311" s="557">
        <v>24</v>
      </c>
      <c r="U311" s="557"/>
      <c r="V311" s="256">
        <v>148</v>
      </c>
      <c r="W311" s="250"/>
      <c r="X311" s="556">
        <v>609.1</v>
      </c>
      <c r="Y311" s="556"/>
      <c r="Z311" s="250"/>
      <c r="AA311" s="259">
        <v>4780400</v>
      </c>
      <c r="AB311" s="565">
        <v>76538</v>
      </c>
      <c r="AC311" s="565"/>
      <c r="AD311" s="242"/>
    </row>
    <row r="312" spans="1:30">
      <c r="A312" s="242"/>
      <c r="B312" s="559"/>
      <c r="C312" s="559"/>
      <c r="D312" s="247"/>
      <c r="E312" s="250"/>
      <c r="F312" s="554"/>
      <c r="G312" s="554"/>
      <c r="H312" s="250"/>
      <c r="I312" s="554"/>
      <c r="J312" s="554"/>
      <c r="K312" s="250"/>
      <c r="L312" s="250"/>
      <c r="M312" s="250"/>
      <c r="N312" s="250"/>
      <c r="O312" s="250"/>
      <c r="P312" s="250"/>
      <c r="Q312" s="250"/>
      <c r="R312" s="250"/>
      <c r="S312" s="250"/>
      <c r="T312" s="554"/>
      <c r="U312" s="554"/>
      <c r="V312" s="250"/>
      <c r="W312" s="250"/>
      <c r="X312" s="554"/>
      <c r="Y312" s="554"/>
      <c r="Z312" s="250"/>
      <c r="AA312" s="250"/>
      <c r="AB312" s="554"/>
      <c r="AC312" s="554"/>
      <c r="AD312" s="242"/>
    </row>
    <row r="313" spans="1:30">
      <c r="A313" s="242"/>
      <c r="B313" s="563">
        <v>39596</v>
      </c>
      <c r="C313" s="563"/>
      <c r="D313" s="247"/>
      <c r="E313" s="252">
        <v>144.5</v>
      </c>
      <c r="F313" s="564">
        <v>24</v>
      </c>
      <c r="G313" s="564"/>
      <c r="H313" s="252">
        <v>0</v>
      </c>
      <c r="I313" s="564">
        <v>0</v>
      </c>
      <c r="J313" s="564"/>
      <c r="K313" s="252">
        <v>0</v>
      </c>
      <c r="L313" s="253">
        <v>0</v>
      </c>
      <c r="M313" s="252">
        <v>337</v>
      </c>
      <c r="N313" s="253">
        <v>24</v>
      </c>
      <c r="O313" s="254">
        <v>481.5</v>
      </c>
      <c r="P313" s="250"/>
      <c r="Q313" s="252">
        <v>0</v>
      </c>
      <c r="R313" s="253">
        <v>0</v>
      </c>
      <c r="S313" s="252">
        <v>178</v>
      </c>
      <c r="T313" s="564">
        <v>24</v>
      </c>
      <c r="U313" s="564"/>
      <c r="V313" s="252">
        <v>178</v>
      </c>
      <c r="W313" s="250"/>
      <c r="X313" s="561">
        <v>659.5</v>
      </c>
      <c r="Y313" s="561"/>
      <c r="Z313" s="250"/>
      <c r="AA313" s="255">
        <v>6988600</v>
      </c>
      <c r="AB313" s="566">
        <v>0</v>
      </c>
      <c r="AC313" s="566"/>
      <c r="AD313" s="242"/>
    </row>
    <row r="314" spans="1:30">
      <c r="A314" s="242"/>
      <c r="B314" s="559"/>
      <c r="C314" s="559"/>
      <c r="D314" s="247"/>
      <c r="E314" s="250"/>
      <c r="F314" s="554"/>
      <c r="G314" s="554"/>
      <c r="H314" s="250"/>
      <c r="I314" s="554"/>
      <c r="J314" s="554"/>
      <c r="K314" s="250"/>
      <c r="L314" s="250"/>
      <c r="M314" s="250"/>
      <c r="N314" s="250"/>
      <c r="O314" s="250"/>
      <c r="P314" s="250"/>
      <c r="Q314" s="250"/>
      <c r="R314" s="250"/>
      <c r="S314" s="250"/>
      <c r="T314" s="554"/>
      <c r="U314" s="554"/>
      <c r="V314" s="250"/>
      <c r="W314" s="250"/>
      <c r="X314" s="554"/>
      <c r="Y314" s="554"/>
      <c r="Z314" s="250"/>
      <c r="AA314" s="250"/>
      <c r="AB314" s="554"/>
      <c r="AC314" s="554"/>
      <c r="AD314" s="242"/>
    </row>
    <row r="315" spans="1:30">
      <c r="A315" s="242"/>
      <c r="B315" s="558">
        <v>39597</v>
      </c>
      <c r="C315" s="558"/>
      <c r="D315" s="247"/>
      <c r="E315" s="256">
        <v>137.69999999999999</v>
      </c>
      <c r="F315" s="557">
        <v>24</v>
      </c>
      <c r="G315" s="557"/>
      <c r="H315" s="256">
        <v>0</v>
      </c>
      <c r="I315" s="557">
        <v>0</v>
      </c>
      <c r="J315" s="557"/>
      <c r="K315" s="256">
        <v>0</v>
      </c>
      <c r="L315" s="257">
        <v>0</v>
      </c>
      <c r="M315" s="256">
        <v>374</v>
      </c>
      <c r="N315" s="257">
        <v>24</v>
      </c>
      <c r="O315" s="258">
        <v>511.7</v>
      </c>
      <c r="P315" s="250"/>
      <c r="Q315" s="256">
        <v>0</v>
      </c>
      <c r="R315" s="257">
        <v>0</v>
      </c>
      <c r="S315" s="256">
        <v>171</v>
      </c>
      <c r="T315" s="557">
        <v>24</v>
      </c>
      <c r="U315" s="557"/>
      <c r="V315" s="256">
        <v>171</v>
      </c>
      <c r="W315" s="250"/>
      <c r="X315" s="556">
        <v>682.7</v>
      </c>
      <c r="Y315" s="556"/>
      <c r="Z315" s="250"/>
      <c r="AA315" s="259">
        <v>7350500</v>
      </c>
      <c r="AB315" s="565">
        <v>0</v>
      </c>
      <c r="AC315" s="565"/>
      <c r="AD315" s="242"/>
    </row>
    <row r="316" spans="1:30">
      <c r="A316" s="242"/>
      <c r="B316" s="559"/>
      <c r="C316" s="559"/>
      <c r="D316" s="247"/>
      <c r="E316" s="250"/>
      <c r="F316" s="554"/>
      <c r="G316" s="554"/>
      <c r="H316" s="250"/>
      <c r="I316" s="554"/>
      <c r="J316" s="554"/>
      <c r="K316" s="250"/>
      <c r="L316" s="250"/>
      <c r="M316" s="250"/>
      <c r="N316" s="250"/>
      <c r="O316" s="250"/>
      <c r="P316" s="250"/>
      <c r="Q316" s="250"/>
      <c r="R316" s="250"/>
      <c r="S316" s="250"/>
      <c r="T316" s="554"/>
      <c r="U316" s="554"/>
      <c r="V316" s="250"/>
      <c r="W316" s="250"/>
      <c r="X316" s="554"/>
      <c r="Y316" s="554"/>
      <c r="Z316" s="250"/>
      <c r="AA316" s="250"/>
      <c r="AB316" s="554"/>
      <c r="AC316" s="554"/>
      <c r="AD316" s="242"/>
    </row>
    <row r="317" spans="1:30">
      <c r="A317" s="242"/>
      <c r="B317" s="563">
        <v>39598</v>
      </c>
      <c r="C317" s="563"/>
      <c r="D317" s="247"/>
      <c r="E317" s="252">
        <v>136.30000000000001</v>
      </c>
      <c r="F317" s="564">
        <v>24</v>
      </c>
      <c r="G317" s="564"/>
      <c r="H317" s="252">
        <v>0</v>
      </c>
      <c r="I317" s="564">
        <v>0</v>
      </c>
      <c r="J317" s="564"/>
      <c r="K317" s="252">
        <v>0</v>
      </c>
      <c r="L317" s="253">
        <v>0</v>
      </c>
      <c r="M317" s="252">
        <v>394</v>
      </c>
      <c r="N317" s="253">
        <v>24</v>
      </c>
      <c r="O317" s="254">
        <v>530.29999999999995</v>
      </c>
      <c r="P317" s="250"/>
      <c r="Q317" s="252">
        <v>91</v>
      </c>
      <c r="R317" s="253">
        <v>13</v>
      </c>
      <c r="S317" s="252">
        <v>65</v>
      </c>
      <c r="T317" s="564">
        <v>10</v>
      </c>
      <c r="U317" s="564"/>
      <c r="V317" s="252">
        <v>156</v>
      </c>
      <c r="W317" s="250"/>
      <c r="X317" s="561">
        <v>686.3</v>
      </c>
      <c r="Y317" s="561"/>
      <c r="Z317" s="250"/>
      <c r="AA317" s="255">
        <v>8408100</v>
      </c>
      <c r="AB317" s="566">
        <v>0</v>
      </c>
      <c r="AC317" s="566"/>
      <c r="AD317" s="242"/>
    </row>
    <row r="318" spans="1:30">
      <c r="A318" s="242"/>
      <c r="B318" s="559"/>
      <c r="C318" s="559"/>
      <c r="D318" s="247"/>
      <c r="E318" s="250"/>
      <c r="F318" s="554"/>
      <c r="G318" s="554"/>
      <c r="H318" s="250"/>
      <c r="I318" s="554"/>
      <c r="J318" s="554"/>
      <c r="K318" s="250"/>
      <c r="L318" s="250"/>
      <c r="M318" s="250"/>
      <c r="N318" s="250"/>
      <c r="O318" s="250"/>
      <c r="P318" s="250"/>
      <c r="Q318" s="250"/>
      <c r="R318" s="250"/>
      <c r="S318" s="250"/>
      <c r="T318" s="554"/>
      <c r="U318" s="554"/>
      <c r="V318" s="250"/>
      <c r="W318" s="250"/>
      <c r="X318" s="554"/>
      <c r="Y318" s="554"/>
      <c r="Z318" s="250"/>
      <c r="AA318" s="250"/>
      <c r="AB318" s="554"/>
      <c r="AC318" s="554"/>
      <c r="AD318" s="242"/>
    </row>
    <row r="319" spans="1:30">
      <c r="A319" s="242"/>
      <c r="B319" s="558">
        <v>39599</v>
      </c>
      <c r="C319" s="558"/>
      <c r="D319" s="247"/>
      <c r="E319" s="256">
        <v>131.5</v>
      </c>
      <c r="F319" s="557">
        <v>24</v>
      </c>
      <c r="G319" s="557"/>
      <c r="H319" s="256">
        <v>0</v>
      </c>
      <c r="I319" s="557">
        <v>0</v>
      </c>
      <c r="J319" s="557"/>
      <c r="K319" s="256">
        <v>0</v>
      </c>
      <c r="L319" s="257">
        <v>0</v>
      </c>
      <c r="M319" s="256">
        <v>402</v>
      </c>
      <c r="N319" s="257">
        <v>24</v>
      </c>
      <c r="O319" s="258">
        <v>533.5</v>
      </c>
      <c r="P319" s="250"/>
      <c r="Q319" s="256">
        <v>170</v>
      </c>
      <c r="R319" s="257">
        <v>24</v>
      </c>
      <c r="S319" s="256">
        <v>0</v>
      </c>
      <c r="T319" s="557">
        <v>0</v>
      </c>
      <c r="U319" s="557"/>
      <c r="V319" s="256">
        <v>170</v>
      </c>
      <c r="W319" s="250"/>
      <c r="X319" s="556">
        <v>703.5</v>
      </c>
      <c r="Y319" s="556"/>
      <c r="Z319" s="250"/>
      <c r="AA319" s="259">
        <v>7480300</v>
      </c>
      <c r="AB319" s="565">
        <v>0</v>
      </c>
      <c r="AC319" s="565"/>
      <c r="AD319" s="242"/>
    </row>
    <row r="320" spans="1:30">
      <c r="A320" s="242"/>
      <c r="B320" s="559"/>
      <c r="C320" s="559"/>
      <c r="D320" s="247"/>
      <c r="E320" s="250"/>
      <c r="F320" s="554"/>
      <c r="G320" s="554"/>
      <c r="H320" s="250"/>
      <c r="I320" s="554"/>
      <c r="J320" s="554"/>
      <c r="K320" s="250"/>
      <c r="L320" s="250"/>
      <c r="M320" s="250"/>
      <c r="N320" s="250"/>
      <c r="O320" s="250"/>
      <c r="P320" s="250"/>
      <c r="Q320" s="250"/>
      <c r="R320" s="250"/>
      <c r="S320" s="250"/>
      <c r="T320" s="554"/>
      <c r="U320" s="554"/>
      <c r="V320" s="250"/>
      <c r="W320" s="250"/>
      <c r="X320" s="554"/>
      <c r="Y320" s="554"/>
      <c r="Z320" s="250"/>
      <c r="AA320" s="250"/>
      <c r="AB320" s="554"/>
      <c r="AC320" s="554"/>
      <c r="AD320" s="242"/>
    </row>
    <row r="321" spans="1:30">
      <c r="A321" s="242"/>
      <c r="B321" s="563">
        <v>39600</v>
      </c>
      <c r="C321" s="563"/>
      <c r="D321" s="247"/>
      <c r="E321" s="252">
        <v>137</v>
      </c>
      <c r="F321" s="564">
        <v>24</v>
      </c>
      <c r="G321" s="564"/>
      <c r="H321" s="252">
        <v>0</v>
      </c>
      <c r="I321" s="564">
        <v>0</v>
      </c>
      <c r="J321" s="564"/>
      <c r="K321" s="252">
        <v>0</v>
      </c>
      <c r="L321" s="253">
        <v>0</v>
      </c>
      <c r="M321" s="252">
        <v>330</v>
      </c>
      <c r="N321" s="253">
        <v>24</v>
      </c>
      <c r="O321" s="254">
        <v>467</v>
      </c>
      <c r="P321" s="250"/>
      <c r="Q321" s="252">
        <v>171</v>
      </c>
      <c r="R321" s="253">
        <v>24</v>
      </c>
      <c r="S321" s="252">
        <v>0</v>
      </c>
      <c r="T321" s="564">
        <v>0</v>
      </c>
      <c r="U321" s="564"/>
      <c r="V321" s="252">
        <v>171</v>
      </c>
      <c r="W321" s="250"/>
      <c r="X321" s="561">
        <v>638</v>
      </c>
      <c r="Y321" s="561"/>
      <c r="Z321" s="250"/>
      <c r="AA321" s="255">
        <v>6921300</v>
      </c>
      <c r="AB321" s="562">
        <v>0</v>
      </c>
      <c r="AC321" s="562"/>
      <c r="AD321" s="242"/>
    </row>
    <row r="322" spans="1:30">
      <c r="A322" s="242"/>
      <c r="B322" s="559"/>
      <c r="C322" s="559"/>
      <c r="D322" s="247"/>
      <c r="E322" s="250"/>
      <c r="F322" s="554"/>
      <c r="G322" s="554"/>
      <c r="H322" s="250"/>
      <c r="I322" s="554"/>
      <c r="J322" s="554"/>
      <c r="K322" s="250"/>
      <c r="L322" s="250"/>
      <c r="M322" s="250"/>
      <c r="N322" s="250"/>
      <c r="O322" s="250"/>
      <c r="P322" s="250"/>
      <c r="Q322" s="250"/>
      <c r="R322" s="250"/>
      <c r="S322" s="250"/>
      <c r="T322" s="554"/>
      <c r="U322" s="554"/>
      <c r="V322" s="250"/>
      <c r="W322" s="250"/>
      <c r="X322" s="554"/>
      <c r="Y322" s="554"/>
      <c r="Z322" s="250"/>
      <c r="AA322" s="250"/>
      <c r="AB322" s="555"/>
      <c r="AC322" s="555"/>
      <c r="AD322" s="242"/>
    </row>
    <row r="323" spans="1:30">
      <c r="A323" s="242"/>
      <c r="B323" s="558">
        <v>39601</v>
      </c>
      <c r="C323" s="558"/>
      <c r="D323" s="247"/>
      <c r="E323" s="256">
        <v>129.80000000000001</v>
      </c>
      <c r="F323" s="557">
        <v>24</v>
      </c>
      <c r="G323" s="557"/>
      <c r="H323" s="256">
        <v>0</v>
      </c>
      <c r="I323" s="557">
        <v>0</v>
      </c>
      <c r="J323" s="557"/>
      <c r="K323" s="256">
        <v>0</v>
      </c>
      <c r="L323" s="257">
        <v>0</v>
      </c>
      <c r="M323" s="256">
        <v>409</v>
      </c>
      <c r="N323" s="257">
        <v>24</v>
      </c>
      <c r="O323" s="258">
        <v>538.79999999999995</v>
      </c>
      <c r="P323" s="250"/>
      <c r="Q323" s="256">
        <v>170</v>
      </c>
      <c r="R323" s="257">
        <v>24</v>
      </c>
      <c r="S323" s="256">
        <v>0</v>
      </c>
      <c r="T323" s="557">
        <v>0</v>
      </c>
      <c r="U323" s="557"/>
      <c r="V323" s="256">
        <v>170</v>
      </c>
      <c r="W323" s="250"/>
      <c r="X323" s="556">
        <v>708.8</v>
      </c>
      <c r="Y323" s="556"/>
      <c r="Z323" s="250"/>
      <c r="AA323" s="259">
        <v>7443100</v>
      </c>
      <c r="AB323" s="560">
        <v>0</v>
      </c>
      <c r="AC323" s="560"/>
      <c r="AD323" s="242"/>
    </row>
    <row r="324" spans="1:30">
      <c r="A324" s="242"/>
      <c r="B324" s="559"/>
      <c r="C324" s="559"/>
      <c r="D324" s="247"/>
      <c r="E324" s="250"/>
      <c r="F324" s="554"/>
      <c r="G324" s="554"/>
      <c r="H324" s="250"/>
      <c r="I324" s="554"/>
      <c r="J324" s="554"/>
      <c r="K324" s="250"/>
      <c r="L324" s="250"/>
      <c r="M324" s="250"/>
      <c r="N324" s="250"/>
      <c r="O324" s="250"/>
      <c r="P324" s="250"/>
      <c r="Q324" s="250"/>
      <c r="R324" s="250"/>
      <c r="S324" s="250"/>
      <c r="T324" s="554"/>
      <c r="U324" s="554"/>
      <c r="V324" s="250"/>
      <c r="W324" s="250"/>
      <c r="X324" s="554"/>
      <c r="Y324" s="554"/>
      <c r="Z324" s="250"/>
      <c r="AA324" s="250"/>
      <c r="AB324" s="555"/>
      <c r="AC324" s="555"/>
      <c r="AD324" s="242"/>
    </row>
    <row r="325" spans="1:30">
      <c r="A325" s="242"/>
      <c r="B325" s="563">
        <v>39602</v>
      </c>
      <c r="C325" s="563"/>
      <c r="D325" s="247"/>
      <c r="E325" s="252">
        <v>139</v>
      </c>
      <c r="F325" s="564">
        <v>24</v>
      </c>
      <c r="G325" s="564"/>
      <c r="H325" s="252">
        <v>0</v>
      </c>
      <c r="I325" s="564">
        <v>0</v>
      </c>
      <c r="J325" s="564"/>
      <c r="K325" s="252">
        <v>0</v>
      </c>
      <c r="L325" s="253">
        <v>0</v>
      </c>
      <c r="M325" s="252">
        <v>360</v>
      </c>
      <c r="N325" s="253">
        <v>24</v>
      </c>
      <c r="O325" s="254">
        <v>499</v>
      </c>
      <c r="P325" s="250"/>
      <c r="Q325" s="252">
        <v>141</v>
      </c>
      <c r="R325" s="253">
        <v>24</v>
      </c>
      <c r="S325" s="252">
        <v>0</v>
      </c>
      <c r="T325" s="564">
        <v>0</v>
      </c>
      <c r="U325" s="564"/>
      <c r="V325" s="252">
        <v>141</v>
      </c>
      <c r="W325" s="250"/>
      <c r="X325" s="561">
        <v>640</v>
      </c>
      <c r="Y325" s="561"/>
      <c r="Z325" s="250"/>
      <c r="AA325" s="255">
        <v>7177600</v>
      </c>
      <c r="AB325" s="562">
        <v>0</v>
      </c>
      <c r="AC325" s="562"/>
      <c r="AD325" s="242"/>
    </row>
    <row r="326" spans="1:30">
      <c r="A326" s="242"/>
      <c r="B326" s="559"/>
      <c r="C326" s="559"/>
      <c r="D326" s="247"/>
      <c r="E326" s="250"/>
      <c r="F326" s="554"/>
      <c r="G326" s="554"/>
      <c r="H326" s="250"/>
      <c r="I326" s="554"/>
      <c r="J326" s="554"/>
      <c r="K326" s="250"/>
      <c r="L326" s="250"/>
      <c r="M326" s="250"/>
      <c r="N326" s="250"/>
      <c r="O326" s="250"/>
      <c r="P326" s="250"/>
      <c r="Q326" s="250"/>
      <c r="R326" s="250"/>
      <c r="S326" s="250"/>
      <c r="T326" s="554"/>
      <c r="U326" s="554"/>
      <c r="V326" s="250"/>
      <c r="W326" s="250"/>
      <c r="X326" s="554"/>
      <c r="Y326" s="554"/>
      <c r="Z326" s="250"/>
      <c r="AA326" s="250"/>
      <c r="AB326" s="555"/>
      <c r="AC326" s="555"/>
      <c r="AD326" s="242"/>
    </row>
    <row r="327" spans="1:30">
      <c r="A327" s="242"/>
      <c r="B327" s="558">
        <v>39603</v>
      </c>
      <c r="C327" s="558"/>
      <c r="D327" s="247"/>
      <c r="E327" s="256">
        <v>191.7</v>
      </c>
      <c r="F327" s="557">
        <v>24</v>
      </c>
      <c r="G327" s="557"/>
      <c r="H327" s="256">
        <v>0</v>
      </c>
      <c r="I327" s="557">
        <v>0</v>
      </c>
      <c r="J327" s="557"/>
      <c r="K327" s="256">
        <v>0</v>
      </c>
      <c r="L327" s="257">
        <v>0</v>
      </c>
      <c r="M327" s="256">
        <v>414</v>
      </c>
      <c r="N327" s="257">
        <v>24</v>
      </c>
      <c r="O327" s="258">
        <v>605.70000000000005</v>
      </c>
      <c r="P327" s="250"/>
      <c r="Q327" s="256">
        <v>120</v>
      </c>
      <c r="R327" s="257">
        <v>24</v>
      </c>
      <c r="S327" s="256">
        <v>0</v>
      </c>
      <c r="T327" s="557">
        <v>0</v>
      </c>
      <c r="U327" s="557"/>
      <c r="V327" s="256">
        <v>120</v>
      </c>
      <c r="W327" s="250"/>
      <c r="X327" s="556">
        <v>725.7</v>
      </c>
      <c r="Y327" s="556"/>
      <c r="Z327" s="250"/>
      <c r="AA327" s="259">
        <v>7975600</v>
      </c>
      <c r="AB327" s="560">
        <v>0</v>
      </c>
      <c r="AC327" s="560"/>
      <c r="AD327" s="242"/>
    </row>
    <row r="328" spans="1:30">
      <c r="A328" s="242"/>
      <c r="B328" s="559"/>
      <c r="C328" s="559"/>
      <c r="D328" s="247"/>
      <c r="E328" s="247"/>
      <c r="F328" s="559"/>
      <c r="G328" s="559"/>
      <c r="H328" s="247"/>
      <c r="I328" s="559"/>
      <c r="J328" s="559"/>
      <c r="K328" s="247"/>
      <c r="L328" s="247"/>
      <c r="M328" s="247"/>
      <c r="N328" s="247"/>
      <c r="O328" s="247"/>
      <c r="P328" s="247"/>
      <c r="Q328" s="247"/>
      <c r="R328" s="247"/>
      <c r="S328" s="247"/>
      <c r="T328" s="559"/>
      <c r="U328" s="559"/>
      <c r="V328" s="247"/>
      <c r="W328" s="247"/>
      <c r="X328" s="559"/>
      <c r="Y328" s="559"/>
      <c r="Z328" s="247"/>
      <c r="AA328" s="247"/>
      <c r="AB328" s="559"/>
      <c r="AC328" s="559"/>
      <c r="AD328" s="242"/>
    </row>
    <row r="329" spans="1:30">
      <c r="A329" s="242"/>
      <c r="B329" s="548" t="s">
        <v>396</v>
      </c>
      <c r="C329" s="548"/>
      <c r="D329" s="247"/>
      <c r="E329" s="260">
        <v>30941.3</v>
      </c>
      <c r="F329" s="549">
        <v>3210</v>
      </c>
      <c r="G329" s="549"/>
      <c r="H329" s="260">
        <v>30692.45</v>
      </c>
      <c r="I329" s="549">
        <v>2755</v>
      </c>
      <c r="J329" s="549"/>
      <c r="K329" s="260">
        <v>4147.3</v>
      </c>
      <c r="L329" s="261">
        <v>408</v>
      </c>
      <c r="M329" s="260">
        <v>24098</v>
      </c>
      <c r="N329" s="261">
        <v>1659</v>
      </c>
      <c r="O329" s="262">
        <v>89879.05</v>
      </c>
      <c r="P329" s="247"/>
      <c r="Q329" s="260">
        <v>1940</v>
      </c>
      <c r="R329" s="261">
        <v>303</v>
      </c>
      <c r="S329" s="260">
        <v>4175</v>
      </c>
      <c r="T329" s="549">
        <v>513</v>
      </c>
      <c r="U329" s="549"/>
      <c r="V329" s="260">
        <v>6115</v>
      </c>
      <c r="W329" s="247"/>
      <c r="X329" s="550">
        <v>95994.05</v>
      </c>
      <c r="Y329" s="550"/>
      <c r="Z329" s="247"/>
      <c r="AA329" s="263">
        <v>712540818</v>
      </c>
      <c r="AB329" s="551">
        <v>20400067</v>
      </c>
      <c r="AC329" s="551"/>
      <c r="AD329" s="242"/>
    </row>
    <row r="330" spans="1:30">
      <c r="A330" s="242"/>
      <c r="B330" s="548" t="s">
        <v>397</v>
      </c>
      <c r="C330" s="548"/>
      <c r="D330" s="247"/>
      <c r="E330" s="260">
        <v>198.34166666666667</v>
      </c>
      <c r="F330" s="549">
        <v>20.576923076923077</v>
      </c>
      <c r="G330" s="549"/>
      <c r="H330" s="260">
        <v>196.74647435897435</v>
      </c>
      <c r="I330" s="549">
        <v>17.660256410256409</v>
      </c>
      <c r="J330" s="549"/>
      <c r="K330" s="260">
        <v>26.585256410256413</v>
      </c>
      <c r="L330" s="261">
        <v>2.6153846153846154</v>
      </c>
      <c r="M330" s="260">
        <v>154.47435897435898</v>
      </c>
      <c r="N330" s="261">
        <v>10.634615384615385</v>
      </c>
      <c r="O330" s="264">
        <v>576.14775641025642</v>
      </c>
      <c r="P330" s="247"/>
      <c r="Q330" s="260">
        <v>12.435897435897436</v>
      </c>
      <c r="R330" s="261">
        <v>1.9423076923076923</v>
      </c>
      <c r="S330" s="260">
        <v>26.93548387096774</v>
      </c>
      <c r="T330" s="549">
        <v>3.3096774193548386</v>
      </c>
      <c r="U330" s="549"/>
      <c r="V330" s="260">
        <v>39.198717948717949</v>
      </c>
      <c r="W330" s="247"/>
      <c r="X330" s="550">
        <v>615.34647435897432</v>
      </c>
      <c r="Y330" s="550"/>
      <c r="Z330" s="247"/>
      <c r="AA330" s="263">
        <v>4567569.346153846</v>
      </c>
      <c r="AB330" s="551">
        <v>130769.66025641028</v>
      </c>
      <c r="AC330" s="551"/>
      <c r="AD330" s="242"/>
    </row>
    <row r="331" spans="1:30">
      <c r="A331" s="242"/>
      <c r="B331" s="548" t="s">
        <v>398</v>
      </c>
      <c r="C331" s="548"/>
      <c r="D331" s="247"/>
      <c r="E331" s="260">
        <v>327.5</v>
      </c>
      <c r="F331" s="549">
        <v>24</v>
      </c>
      <c r="G331" s="549"/>
      <c r="H331" s="260">
        <v>397.9</v>
      </c>
      <c r="I331" s="549">
        <v>24</v>
      </c>
      <c r="J331" s="549"/>
      <c r="K331" s="260">
        <v>310.60000000000002</v>
      </c>
      <c r="L331" s="261">
        <v>24</v>
      </c>
      <c r="M331" s="260">
        <v>459</v>
      </c>
      <c r="N331" s="261">
        <v>24</v>
      </c>
      <c r="O331" s="262">
        <v>752</v>
      </c>
      <c r="P331" s="247"/>
      <c r="Q331" s="260">
        <v>171</v>
      </c>
      <c r="R331" s="261">
        <v>24</v>
      </c>
      <c r="S331" s="260">
        <v>289</v>
      </c>
      <c r="T331" s="549">
        <v>24</v>
      </c>
      <c r="U331" s="549"/>
      <c r="V331" s="260">
        <v>289</v>
      </c>
      <c r="W331" s="247"/>
      <c r="X331" s="550">
        <v>783.5</v>
      </c>
      <c r="Y331" s="550"/>
      <c r="Z331" s="247"/>
      <c r="AA331" s="263">
        <v>9488200</v>
      </c>
      <c r="AB331" s="551">
        <v>352252</v>
      </c>
      <c r="AC331" s="551"/>
      <c r="AD331" s="242"/>
    </row>
    <row r="332" spans="1:30">
      <c r="A332" s="242"/>
      <c r="B332" s="548" t="s">
        <v>399</v>
      </c>
      <c r="C332" s="548"/>
      <c r="D332" s="247"/>
      <c r="E332" s="260">
        <v>0</v>
      </c>
      <c r="F332" s="549">
        <v>0</v>
      </c>
      <c r="G332" s="549"/>
      <c r="H332" s="260">
        <v>0</v>
      </c>
      <c r="I332" s="549">
        <v>0</v>
      </c>
      <c r="J332" s="549"/>
      <c r="K332" s="260">
        <v>0</v>
      </c>
      <c r="L332" s="261">
        <v>0</v>
      </c>
      <c r="M332" s="260">
        <v>0</v>
      </c>
      <c r="N332" s="261">
        <v>0</v>
      </c>
      <c r="O332" s="262">
        <v>309.8</v>
      </c>
      <c r="P332" s="247"/>
      <c r="Q332" s="260">
        <v>0</v>
      </c>
      <c r="R332" s="261">
        <v>0</v>
      </c>
      <c r="S332" s="260">
        <v>0</v>
      </c>
      <c r="T332" s="549">
        <v>0</v>
      </c>
      <c r="U332" s="549"/>
      <c r="V332" s="260">
        <v>0</v>
      </c>
      <c r="W332" s="247"/>
      <c r="X332" s="550">
        <v>434</v>
      </c>
      <c r="Y332" s="550"/>
      <c r="Z332" s="247"/>
      <c r="AA332" s="263">
        <v>0</v>
      </c>
      <c r="AB332" s="551">
        <v>0</v>
      </c>
      <c r="AC332" s="551"/>
      <c r="AD332" s="242"/>
    </row>
    <row r="333" spans="1:30">
      <c r="A333" s="242"/>
      <c r="B333" s="552"/>
      <c r="C333" s="552"/>
      <c r="D333" s="247"/>
      <c r="E333" s="265"/>
      <c r="F333" s="547"/>
      <c r="G333" s="547"/>
      <c r="H333" s="265"/>
      <c r="I333" s="547"/>
      <c r="J333" s="547"/>
      <c r="K333" s="265"/>
      <c r="L333" s="265"/>
      <c r="M333" s="265"/>
      <c r="N333" s="265"/>
      <c r="O333" s="265"/>
      <c r="P333" s="247"/>
      <c r="Q333" s="265"/>
      <c r="R333" s="265"/>
      <c r="S333" s="265"/>
      <c r="T333" s="547"/>
      <c r="U333" s="547"/>
      <c r="V333" s="265"/>
      <c r="W333" s="247"/>
      <c r="X333" s="547"/>
      <c r="Y333" s="547"/>
      <c r="Z333" s="247"/>
      <c r="AA333" s="265"/>
      <c r="AB333" s="547"/>
      <c r="AC333" s="547"/>
      <c r="AD333" s="242"/>
    </row>
    <row r="334" spans="1:30">
      <c r="A334" s="242"/>
      <c r="B334" s="552"/>
      <c r="C334" s="552"/>
      <c r="D334" s="247"/>
      <c r="E334" s="265"/>
      <c r="F334" s="547"/>
      <c r="G334" s="547"/>
      <c r="H334" s="265"/>
      <c r="I334" s="547"/>
      <c r="J334" s="547"/>
      <c r="K334" s="265"/>
      <c r="L334" s="265"/>
      <c r="M334" s="265"/>
      <c r="N334" s="265"/>
      <c r="O334" s="265"/>
      <c r="P334" s="247"/>
      <c r="Q334" s="250"/>
      <c r="R334" s="265"/>
      <c r="S334" s="265"/>
      <c r="T334" s="547"/>
      <c r="U334" s="547"/>
      <c r="V334" s="553" t="s">
        <v>400</v>
      </c>
      <c r="W334" s="553"/>
      <c r="X334" s="553"/>
      <c r="Y334" s="553"/>
      <c r="Z334" s="553"/>
      <c r="AA334" s="553"/>
      <c r="AB334" s="268">
        <v>128328.94248491824</v>
      </c>
      <c r="AC334" s="268"/>
      <c r="AD334" s="242"/>
    </row>
    <row r="335" spans="1:30" ht="14.1" customHeight="1">
      <c r="A335" s="242"/>
      <c r="B335" s="242"/>
      <c r="C335" s="242"/>
      <c r="D335" s="242"/>
      <c r="E335" s="242"/>
      <c r="F335" s="242"/>
      <c r="G335" s="242"/>
      <c r="H335" s="242"/>
      <c r="I335" s="242"/>
      <c r="J335" s="242"/>
      <c r="K335" s="242"/>
      <c r="L335" s="242"/>
      <c r="M335" s="242"/>
      <c r="N335" s="242"/>
      <c r="O335" s="242"/>
      <c r="P335" s="242"/>
      <c r="Q335" s="242"/>
      <c r="R335" s="242"/>
      <c r="S335" s="242"/>
      <c r="T335" s="242"/>
      <c r="U335" s="242"/>
      <c r="V335" s="242"/>
      <c r="W335" s="242"/>
      <c r="X335" s="242"/>
      <c r="Y335" s="242"/>
      <c r="Z335" s="242"/>
      <c r="AA335" s="242"/>
      <c r="AB335" s="242"/>
      <c r="AC335" s="242"/>
      <c r="AD335" s="242"/>
    </row>
  </sheetData>
  <mergeCells count="1939">
    <mergeCell ref="C2:F7"/>
    <mergeCell ref="Y3:AB8"/>
    <mergeCell ref="J4:T4"/>
    <mergeCell ref="J5:T5"/>
    <mergeCell ref="J6:T6"/>
    <mergeCell ref="A10:AB10"/>
    <mergeCell ref="AA13:AC13"/>
    <mergeCell ref="B14:C14"/>
    <mergeCell ref="E14:G14"/>
    <mergeCell ref="H14:J14"/>
    <mergeCell ref="K14:L14"/>
    <mergeCell ref="M14:N14"/>
    <mergeCell ref="Q13:V13"/>
    <mergeCell ref="X13:Y13"/>
    <mergeCell ref="X14:Y14"/>
    <mergeCell ref="AB14:AC14"/>
    <mergeCell ref="X17:Y17"/>
    <mergeCell ref="AB17:AC17"/>
    <mergeCell ref="B13:C13"/>
    <mergeCell ref="E13:O13"/>
    <mergeCell ref="B15:C15"/>
    <mergeCell ref="F15:G15"/>
    <mergeCell ref="I15:J15"/>
    <mergeCell ref="T15:U15"/>
    <mergeCell ref="Q14:R14"/>
    <mergeCell ref="S14:U14"/>
    <mergeCell ref="X19:Y19"/>
    <mergeCell ref="AB19:AC19"/>
    <mergeCell ref="I18:J18"/>
    <mergeCell ref="T18:U18"/>
    <mergeCell ref="X21:Y21"/>
    <mergeCell ref="AB21:AC21"/>
    <mergeCell ref="X18:Y18"/>
    <mergeCell ref="AB18:AC18"/>
    <mergeCell ref="I20:J20"/>
    <mergeCell ref="T20:U20"/>
    <mergeCell ref="B18:C18"/>
    <mergeCell ref="F18:G18"/>
    <mergeCell ref="X20:Y20"/>
    <mergeCell ref="AB20:AC20"/>
    <mergeCell ref="I21:J21"/>
    <mergeCell ref="T21:U21"/>
    <mergeCell ref="B20:C20"/>
    <mergeCell ref="F20:G20"/>
    <mergeCell ref="I25:J25"/>
    <mergeCell ref="T25:U25"/>
    <mergeCell ref="B29:C29"/>
    <mergeCell ref="F29:G29"/>
    <mergeCell ref="B26:C26"/>
    <mergeCell ref="F26:G26"/>
    <mergeCell ref="X24:Y24"/>
    <mergeCell ref="AB24:AC24"/>
    <mergeCell ref="B22:C22"/>
    <mergeCell ref="F22:G22"/>
    <mergeCell ref="I22:J22"/>
    <mergeCell ref="T22:U22"/>
    <mergeCell ref="X22:Y22"/>
    <mergeCell ref="AB22:AC22"/>
    <mergeCell ref="X15:Y15"/>
    <mergeCell ref="AB15:AC15"/>
    <mergeCell ref="T16:U16"/>
    <mergeCell ref="X16:Y16"/>
    <mergeCell ref="AB16:AC16"/>
    <mergeCell ref="T17:U17"/>
    <mergeCell ref="B16:C16"/>
    <mergeCell ref="F16:G16"/>
    <mergeCell ref="B17:C17"/>
    <mergeCell ref="I16:J16"/>
    <mergeCell ref="F17:G17"/>
    <mergeCell ref="I17:J17"/>
    <mergeCell ref="B21:C21"/>
    <mergeCell ref="F21:G21"/>
    <mergeCell ref="B19:C19"/>
    <mergeCell ref="F19:G19"/>
    <mergeCell ref="I19:J19"/>
    <mergeCell ref="T19:U19"/>
    <mergeCell ref="B31:C31"/>
    <mergeCell ref="F31:G31"/>
    <mergeCell ref="I31:J31"/>
    <mergeCell ref="T31:U31"/>
    <mergeCell ref="I30:J30"/>
    <mergeCell ref="T30:U30"/>
    <mergeCell ref="B30:C30"/>
    <mergeCell ref="F30:G30"/>
    <mergeCell ref="X25:Y25"/>
    <mergeCell ref="AB25:AC25"/>
    <mergeCell ref="B23:C23"/>
    <mergeCell ref="F23:G23"/>
    <mergeCell ref="I23:J23"/>
    <mergeCell ref="T23:U23"/>
    <mergeCell ref="I24:J24"/>
    <mergeCell ref="T24:U24"/>
    <mergeCell ref="X23:Y23"/>
    <mergeCell ref="AB23:AC23"/>
    <mergeCell ref="B28:C28"/>
    <mergeCell ref="F28:G28"/>
    <mergeCell ref="I28:J28"/>
    <mergeCell ref="T28:U28"/>
    <mergeCell ref="X28:Y28"/>
    <mergeCell ref="AB28:AC28"/>
    <mergeCell ref="I29:J29"/>
    <mergeCell ref="T29:U29"/>
    <mergeCell ref="X29:Y29"/>
    <mergeCell ref="AB29:AC29"/>
    <mergeCell ref="B24:C24"/>
    <mergeCell ref="F24:G24"/>
    <mergeCell ref="B25:C25"/>
    <mergeCell ref="F25:G25"/>
    <mergeCell ref="I27:J27"/>
    <mergeCell ref="T27:U27"/>
    <mergeCell ref="B27:C27"/>
    <mergeCell ref="F27:G27"/>
    <mergeCell ref="B34:C34"/>
    <mergeCell ref="F34:G34"/>
    <mergeCell ref="I34:J34"/>
    <mergeCell ref="T34:U34"/>
    <mergeCell ref="B32:C32"/>
    <mergeCell ref="F32:G32"/>
    <mergeCell ref="X35:Y35"/>
    <mergeCell ref="AB35:AC35"/>
    <mergeCell ref="B35:C35"/>
    <mergeCell ref="F35:G35"/>
    <mergeCell ref="I35:J35"/>
    <mergeCell ref="T35:U35"/>
    <mergeCell ref="I26:J26"/>
    <mergeCell ref="T26:U26"/>
    <mergeCell ref="X30:Y30"/>
    <mergeCell ref="AB30:AC30"/>
    <mergeCell ref="X26:Y26"/>
    <mergeCell ref="AB26:AC26"/>
    <mergeCell ref="X27:Y27"/>
    <mergeCell ref="AB27:AC27"/>
    <mergeCell ref="X32:Y32"/>
    <mergeCell ref="AB32:AC32"/>
    <mergeCell ref="X33:Y33"/>
    <mergeCell ref="AB33:AC33"/>
    <mergeCell ref="X31:Y31"/>
    <mergeCell ref="AB31:AC31"/>
    <mergeCell ref="I32:J32"/>
    <mergeCell ref="T32:U32"/>
    <mergeCell ref="I40:J40"/>
    <mergeCell ref="T40:U40"/>
    <mergeCell ref="X40:Y40"/>
    <mergeCell ref="AB40:AC40"/>
    <mergeCell ref="X38:Y38"/>
    <mergeCell ref="AB38:AC38"/>
    <mergeCell ref="X39:Y39"/>
    <mergeCell ref="AB39:AC39"/>
    <mergeCell ref="B38:C38"/>
    <mergeCell ref="F38:G38"/>
    <mergeCell ref="I38:J38"/>
    <mergeCell ref="T38:U38"/>
    <mergeCell ref="X34:Y34"/>
    <mergeCell ref="AB34:AC34"/>
    <mergeCell ref="I33:J33"/>
    <mergeCell ref="T33:U33"/>
    <mergeCell ref="B33:C33"/>
    <mergeCell ref="F33:G33"/>
    <mergeCell ref="B40:C40"/>
    <mergeCell ref="F40:G40"/>
    <mergeCell ref="X36:Y36"/>
    <mergeCell ref="AB36:AC36"/>
    <mergeCell ref="I36:J36"/>
    <mergeCell ref="T36:U36"/>
    <mergeCell ref="B36:C36"/>
    <mergeCell ref="F36:G36"/>
    <mergeCell ref="B41:C41"/>
    <mergeCell ref="F41:G41"/>
    <mergeCell ref="I41:J41"/>
    <mergeCell ref="T41:U41"/>
    <mergeCell ref="X37:Y37"/>
    <mergeCell ref="AB37:AC37"/>
    <mergeCell ref="B37:C37"/>
    <mergeCell ref="F37:G37"/>
    <mergeCell ref="X42:Y42"/>
    <mergeCell ref="AB42:AC42"/>
    <mergeCell ref="I46:J46"/>
    <mergeCell ref="T46:U46"/>
    <mergeCell ref="I42:J42"/>
    <mergeCell ref="T42:U42"/>
    <mergeCell ref="B43:C43"/>
    <mergeCell ref="F43:G43"/>
    <mergeCell ref="X41:Y41"/>
    <mergeCell ref="AB41:AC41"/>
    <mergeCell ref="I44:J44"/>
    <mergeCell ref="T44:U44"/>
    <mergeCell ref="B44:C44"/>
    <mergeCell ref="F44:G44"/>
    <mergeCell ref="I37:J37"/>
    <mergeCell ref="T37:U37"/>
    <mergeCell ref="B42:C42"/>
    <mergeCell ref="F42:G42"/>
    <mergeCell ref="I39:J39"/>
    <mergeCell ref="T39:U39"/>
    <mergeCell ref="B39:C39"/>
    <mergeCell ref="F39:G39"/>
    <mergeCell ref="B46:C46"/>
    <mergeCell ref="F46:G46"/>
    <mergeCell ref="X52:Y52"/>
    <mergeCell ref="AB52:AC52"/>
    <mergeCell ref="B53:C53"/>
    <mergeCell ref="F53:G53"/>
    <mergeCell ref="I53:J53"/>
    <mergeCell ref="T53:U53"/>
    <mergeCell ref="X53:Y53"/>
    <mergeCell ref="AB53:AC53"/>
    <mergeCell ref="B48:C48"/>
    <mergeCell ref="F48:G48"/>
    <mergeCell ref="B47:C47"/>
    <mergeCell ref="F47:G47"/>
    <mergeCell ref="I47:J47"/>
    <mergeCell ref="T47:U47"/>
    <mergeCell ref="I48:J48"/>
    <mergeCell ref="T48:U48"/>
    <mergeCell ref="X47:Y47"/>
    <mergeCell ref="AB47:AC47"/>
    <mergeCell ref="B49:C49"/>
    <mergeCell ref="F49:G49"/>
    <mergeCell ref="I49:J49"/>
    <mergeCell ref="T49:U49"/>
    <mergeCell ref="X44:Y44"/>
    <mergeCell ref="AB44:AC44"/>
    <mergeCell ref="X45:Y45"/>
    <mergeCell ref="AB45:AC45"/>
    <mergeCell ref="X49:Y49"/>
    <mergeCell ref="AB49:AC49"/>
    <mergeCell ref="X48:Y48"/>
    <mergeCell ref="AB48:AC48"/>
    <mergeCell ref="X43:Y43"/>
    <mergeCell ref="AB43:AC43"/>
    <mergeCell ref="I51:J51"/>
    <mergeCell ref="T51:U51"/>
    <mergeCell ref="B51:C51"/>
    <mergeCell ref="F51:G51"/>
    <mergeCell ref="I43:J43"/>
    <mergeCell ref="T43:U43"/>
    <mergeCell ref="B50:C50"/>
    <mergeCell ref="F50:G50"/>
    <mergeCell ref="I50:J50"/>
    <mergeCell ref="T50:U50"/>
    <mergeCell ref="X46:Y46"/>
    <mergeCell ref="AB46:AC46"/>
    <mergeCell ref="I45:J45"/>
    <mergeCell ref="T45:U45"/>
    <mergeCell ref="B45:C45"/>
    <mergeCell ref="F45:G45"/>
    <mergeCell ref="B54:C54"/>
    <mergeCell ref="F54:G54"/>
    <mergeCell ref="X57:Y57"/>
    <mergeCell ref="AB57:AC57"/>
    <mergeCell ref="X55:Y55"/>
    <mergeCell ref="AB55:AC55"/>
    <mergeCell ref="B55:C55"/>
    <mergeCell ref="F55:G55"/>
    <mergeCell ref="I55:J55"/>
    <mergeCell ref="T55:U55"/>
    <mergeCell ref="I54:J54"/>
    <mergeCell ref="T54:U54"/>
    <mergeCell ref="X54:Y54"/>
    <mergeCell ref="AB54:AC54"/>
    <mergeCell ref="X50:Y50"/>
    <mergeCell ref="AB50:AC50"/>
    <mergeCell ref="X56:Y56"/>
    <mergeCell ref="AB56:AC56"/>
    <mergeCell ref="I57:J57"/>
    <mergeCell ref="T57:U57"/>
    <mergeCell ref="B57:C57"/>
    <mergeCell ref="F57:G57"/>
    <mergeCell ref="B56:C56"/>
    <mergeCell ref="F56:G56"/>
    <mergeCell ref="I56:J56"/>
    <mergeCell ref="T56:U56"/>
    <mergeCell ref="X51:Y51"/>
    <mergeCell ref="AB51:AC51"/>
    <mergeCell ref="B52:C52"/>
    <mergeCell ref="F52:G52"/>
    <mergeCell ref="I52:J52"/>
    <mergeCell ref="T52:U52"/>
    <mergeCell ref="B58:C58"/>
    <mergeCell ref="F58:G58"/>
    <mergeCell ref="I58:J58"/>
    <mergeCell ref="T58:U58"/>
    <mergeCell ref="X58:Y58"/>
    <mergeCell ref="AB58:AC58"/>
    <mergeCell ref="X59:Y59"/>
    <mergeCell ref="AB59:AC59"/>
    <mergeCell ref="X60:Y60"/>
    <mergeCell ref="AB60:AC60"/>
    <mergeCell ref="B65:C65"/>
    <mergeCell ref="F65:G65"/>
    <mergeCell ref="I65:J65"/>
    <mergeCell ref="T65:U65"/>
    <mergeCell ref="X61:Y61"/>
    <mergeCell ref="AB61:AC61"/>
    <mergeCell ref="B59:C59"/>
    <mergeCell ref="F59:G59"/>
    <mergeCell ref="I59:J59"/>
    <mergeCell ref="T59:U59"/>
    <mergeCell ref="I60:J60"/>
    <mergeCell ref="T60:U60"/>
    <mergeCell ref="B60:C60"/>
    <mergeCell ref="F60:G60"/>
    <mergeCell ref="B61:C61"/>
    <mergeCell ref="F61:G61"/>
    <mergeCell ref="I61:J61"/>
    <mergeCell ref="T61:U61"/>
    <mergeCell ref="I64:J64"/>
    <mergeCell ref="T64:U64"/>
    <mergeCell ref="B63:C63"/>
    <mergeCell ref="F63:G63"/>
    <mergeCell ref="X62:Y62"/>
    <mergeCell ref="AB62:AC62"/>
    <mergeCell ref="X63:Y63"/>
    <mergeCell ref="AB63:AC63"/>
    <mergeCell ref="I68:J68"/>
    <mergeCell ref="T68:U68"/>
    <mergeCell ref="I63:J63"/>
    <mergeCell ref="T63:U63"/>
    <mergeCell ref="X64:Y64"/>
    <mergeCell ref="AB64:AC64"/>
    <mergeCell ref="B62:C62"/>
    <mergeCell ref="F62:G62"/>
    <mergeCell ref="I62:J62"/>
    <mergeCell ref="T62:U62"/>
    <mergeCell ref="X70:Y70"/>
    <mergeCell ref="AB70:AC70"/>
    <mergeCell ref="I69:J69"/>
    <mergeCell ref="T69:U69"/>
    <mergeCell ref="B69:C69"/>
    <mergeCell ref="F69:G69"/>
    <mergeCell ref="B70:C70"/>
    <mergeCell ref="F70:G70"/>
    <mergeCell ref="I70:J70"/>
    <mergeCell ref="T70:U70"/>
    <mergeCell ref="B68:C68"/>
    <mergeCell ref="F68:G68"/>
    <mergeCell ref="B64:C64"/>
    <mergeCell ref="F64:G64"/>
    <mergeCell ref="I66:J66"/>
    <mergeCell ref="T66:U66"/>
    <mergeCell ref="B66:C66"/>
    <mergeCell ref="F66:G66"/>
    <mergeCell ref="B72:C72"/>
    <mergeCell ref="F72:G72"/>
    <mergeCell ref="X65:Y65"/>
    <mergeCell ref="AB65:AC65"/>
    <mergeCell ref="X73:Y73"/>
    <mergeCell ref="AB73:AC73"/>
    <mergeCell ref="B71:C71"/>
    <mergeCell ref="F71:G71"/>
    <mergeCell ref="I71:J71"/>
    <mergeCell ref="T71:U71"/>
    <mergeCell ref="I72:J72"/>
    <mergeCell ref="T72:U72"/>
    <mergeCell ref="B73:C73"/>
    <mergeCell ref="F73:G73"/>
    <mergeCell ref="I73:J73"/>
    <mergeCell ref="T73:U73"/>
    <mergeCell ref="X66:Y66"/>
    <mergeCell ref="AB66:AC66"/>
    <mergeCell ref="B67:C67"/>
    <mergeCell ref="F67:G67"/>
    <mergeCell ref="X68:Y68"/>
    <mergeCell ref="AB68:AC68"/>
    <mergeCell ref="X69:Y69"/>
    <mergeCell ref="AB69:AC69"/>
    <mergeCell ref="X67:Y67"/>
    <mergeCell ref="AB67:AC67"/>
    <mergeCell ref="I67:J67"/>
    <mergeCell ref="T67:U67"/>
    <mergeCell ref="X71:Y71"/>
    <mergeCell ref="AB71:AC71"/>
    <mergeCell ref="X72:Y72"/>
    <mergeCell ref="AB72:AC72"/>
    <mergeCell ref="X81:Y81"/>
    <mergeCell ref="AB81:AC81"/>
    <mergeCell ref="X79:Y79"/>
    <mergeCell ref="AB79:AC79"/>
    <mergeCell ref="B79:C79"/>
    <mergeCell ref="F79:G79"/>
    <mergeCell ref="X77:Y77"/>
    <mergeCell ref="AB77:AC77"/>
    <mergeCell ref="I79:J79"/>
    <mergeCell ref="T79:U79"/>
    <mergeCell ref="X80:Y80"/>
    <mergeCell ref="AB80:AC80"/>
    <mergeCell ref="I81:J81"/>
    <mergeCell ref="T81:U81"/>
    <mergeCell ref="B81:C81"/>
    <mergeCell ref="F81:G81"/>
    <mergeCell ref="B80:C80"/>
    <mergeCell ref="F80:G80"/>
    <mergeCell ref="I80:J80"/>
    <mergeCell ref="T80:U80"/>
    <mergeCell ref="X78:Y78"/>
    <mergeCell ref="AB78:AC78"/>
    <mergeCell ref="X74:Y74"/>
    <mergeCell ref="AB74:AC74"/>
    <mergeCell ref="X75:Y75"/>
    <mergeCell ref="AB75:AC75"/>
    <mergeCell ref="I75:J75"/>
    <mergeCell ref="T75:U75"/>
    <mergeCell ref="B82:C82"/>
    <mergeCell ref="F82:G82"/>
    <mergeCell ref="I82:J82"/>
    <mergeCell ref="T82:U82"/>
    <mergeCell ref="X82:Y82"/>
    <mergeCell ref="AB82:AC82"/>
    <mergeCell ref="I78:J78"/>
    <mergeCell ref="T78:U78"/>
    <mergeCell ref="B78:C78"/>
    <mergeCell ref="F78:G78"/>
    <mergeCell ref="B75:C75"/>
    <mergeCell ref="F75:G75"/>
    <mergeCell ref="B74:C74"/>
    <mergeCell ref="F74:G74"/>
    <mergeCell ref="I74:J74"/>
    <mergeCell ref="T74:U74"/>
    <mergeCell ref="B76:C76"/>
    <mergeCell ref="F76:G76"/>
    <mergeCell ref="I76:J76"/>
    <mergeCell ref="T76:U76"/>
    <mergeCell ref="X76:Y76"/>
    <mergeCell ref="AB76:AC76"/>
    <mergeCell ref="B77:C77"/>
    <mergeCell ref="F77:G77"/>
    <mergeCell ref="I77:J77"/>
    <mergeCell ref="T77:U77"/>
    <mergeCell ref="X83:Y83"/>
    <mergeCell ref="AB83:AC83"/>
    <mergeCell ref="X84:Y84"/>
    <mergeCell ref="AB84:AC84"/>
    <mergeCell ref="B89:C89"/>
    <mergeCell ref="F89:G89"/>
    <mergeCell ref="I89:J89"/>
    <mergeCell ref="T89:U89"/>
    <mergeCell ref="X85:Y85"/>
    <mergeCell ref="AB85:AC85"/>
    <mergeCell ref="B83:C83"/>
    <mergeCell ref="F83:G83"/>
    <mergeCell ref="I83:J83"/>
    <mergeCell ref="T83:U83"/>
    <mergeCell ref="I84:J84"/>
    <mergeCell ref="T84:U84"/>
    <mergeCell ref="B84:C84"/>
    <mergeCell ref="F84:G84"/>
    <mergeCell ref="B85:C85"/>
    <mergeCell ref="F85:G85"/>
    <mergeCell ref="I85:J85"/>
    <mergeCell ref="T85:U85"/>
    <mergeCell ref="I88:J88"/>
    <mergeCell ref="T88:U88"/>
    <mergeCell ref="B87:C87"/>
    <mergeCell ref="F87:G87"/>
    <mergeCell ref="X86:Y86"/>
    <mergeCell ref="AB86:AC86"/>
    <mergeCell ref="X87:Y87"/>
    <mergeCell ref="AB87:AC87"/>
    <mergeCell ref="B99:C99"/>
    <mergeCell ref="F99:G99"/>
    <mergeCell ref="I92:J92"/>
    <mergeCell ref="T92:U92"/>
    <mergeCell ref="I87:J87"/>
    <mergeCell ref="T87:U87"/>
    <mergeCell ref="X88:Y88"/>
    <mergeCell ref="AB88:AC88"/>
    <mergeCell ref="B86:C86"/>
    <mergeCell ref="F86:G86"/>
    <mergeCell ref="I86:J86"/>
    <mergeCell ref="T86:U86"/>
    <mergeCell ref="X94:Y94"/>
    <mergeCell ref="AB94:AC94"/>
    <mergeCell ref="I93:J93"/>
    <mergeCell ref="T93:U93"/>
    <mergeCell ref="B93:C93"/>
    <mergeCell ref="F93:G93"/>
    <mergeCell ref="B94:C94"/>
    <mergeCell ref="F94:G94"/>
    <mergeCell ref="I94:J94"/>
    <mergeCell ref="T94:U94"/>
    <mergeCell ref="B92:C92"/>
    <mergeCell ref="F92:G92"/>
    <mergeCell ref="B88:C88"/>
    <mergeCell ref="F88:G88"/>
    <mergeCell ref="I90:J90"/>
    <mergeCell ref="T90:U90"/>
    <mergeCell ref="B90:C90"/>
    <mergeCell ref="F90:G90"/>
    <mergeCell ref="I91:J91"/>
    <mergeCell ref="T91:U91"/>
    <mergeCell ref="B96:C96"/>
    <mergeCell ref="F96:G96"/>
    <mergeCell ref="X89:Y89"/>
    <mergeCell ref="AB89:AC89"/>
    <mergeCell ref="X97:Y97"/>
    <mergeCell ref="AB97:AC97"/>
    <mergeCell ref="B95:C95"/>
    <mergeCell ref="F95:G95"/>
    <mergeCell ref="I95:J95"/>
    <mergeCell ref="T95:U95"/>
    <mergeCell ref="I96:J96"/>
    <mergeCell ref="T96:U96"/>
    <mergeCell ref="B97:C97"/>
    <mergeCell ref="F97:G97"/>
    <mergeCell ref="I97:J97"/>
    <mergeCell ref="T97:U97"/>
    <mergeCell ref="X90:Y90"/>
    <mergeCell ref="AB90:AC90"/>
    <mergeCell ref="B91:C91"/>
    <mergeCell ref="F91:G91"/>
    <mergeCell ref="X92:Y92"/>
    <mergeCell ref="AB92:AC92"/>
    <mergeCell ref="X93:Y93"/>
    <mergeCell ref="AB93:AC93"/>
    <mergeCell ref="X91:Y91"/>
    <mergeCell ref="AB91:AC91"/>
    <mergeCell ref="X95:Y95"/>
    <mergeCell ref="AB95:AC95"/>
    <mergeCell ref="X96:Y96"/>
    <mergeCell ref="AB96:AC96"/>
    <mergeCell ref="I102:J102"/>
    <mergeCell ref="T102:U102"/>
    <mergeCell ref="B102:C102"/>
    <mergeCell ref="F102:G102"/>
    <mergeCell ref="X101:Y101"/>
    <mergeCell ref="AB101:AC101"/>
    <mergeCell ref="I103:J103"/>
    <mergeCell ref="T103:U103"/>
    <mergeCell ref="X104:Y104"/>
    <mergeCell ref="AB104:AC104"/>
    <mergeCell ref="I105:J105"/>
    <mergeCell ref="T105:U105"/>
    <mergeCell ref="B105:C105"/>
    <mergeCell ref="F105:G105"/>
    <mergeCell ref="B104:C104"/>
    <mergeCell ref="F104:G104"/>
    <mergeCell ref="I104:J104"/>
    <mergeCell ref="T104:U104"/>
    <mergeCell ref="X102:Y102"/>
    <mergeCell ref="AB102:AC102"/>
    <mergeCell ref="X98:Y98"/>
    <mergeCell ref="AB98:AC98"/>
    <mergeCell ref="X99:Y99"/>
    <mergeCell ref="AB99:AC99"/>
    <mergeCell ref="I99:J99"/>
    <mergeCell ref="T99:U99"/>
    <mergeCell ref="B98:C98"/>
    <mergeCell ref="F98:G98"/>
    <mergeCell ref="I98:J98"/>
    <mergeCell ref="T98:U98"/>
    <mergeCell ref="B100:C100"/>
    <mergeCell ref="F100:G100"/>
    <mergeCell ref="B106:C106"/>
    <mergeCell ref="F106:G106"/>
    <mergeCell ref="I106:J106"/>
    <mergeCell ref="T106:U106"/>
    <mergeCell ref="X106:Y106"/>
    <mergeCell ref="AB106:AC106"/>
    <mergeCell ref="I100:J100"/>
    <mergeCell ref="T100:U100"/>
    <mergeCell ref="X100:Y100"/>
    <mergeCell ref="AB100:AC100"/>
    <mergeCell ref="B101:C101"/>
    <mergeCell ref="F101:G101"/>
    <mergeCell ref="I101:J101"/>
    <mergeCell ref="T101:U101"/>
    <mergeCell ref="X105:Y105"/>
    <mergeCell ref="AB105:AC105"/>
    <mergeCell ref="X103:Y103"/>
    <mergeCell ref="AB103:AC103"/>
    <mergeCell ref="B103:C103"/>
    <mergeCell ref="F103:G103"/>
    <mergeCell ref="X107:Y107"/>
    <mergeCell ref="AB107:AC107"/>
    <mergeCell ref="X108:Y108"/>
    <mergeCell ref="AB108:AC108"/>
    <mergeCell ref="B113:C113"/>
    <mergeCell ref="F113:G113"/>
    <mergeCell ref="I113:J113"/>
    <mergeCell ref="T113:U113"/>
    <mergeCell ref="X109:Y109"/>
    <mergeCell ref="AB109:AC109"/>
    <mergeCell ref="B107:C107"/>
    <mergeCell ref="F107:G107"/>
    <mergeCell ref="I107:J107"/>
    <mergeCell ref="T107:U107"/>
    <mergeCell ref="I108:J108"/>
    <mergeCell ref="T108:U108"/>
    <mergeCell ref="B108:C108"/>
    <mergeCell ref="F108:G108"/>
    <mergeCell ref="B109:C109"/>
    <mergeCell ref="F109:G109"/>
    <mergeCell ref="I109:J109"/>
    <mergeCell ref="T109:U109"/>
    <mergeCell ref="I112:J112"/>
    <mergeCell ref="T112:U112"/>
    <mergeCell ref="B111:C111"/>
    <mergeCell ref="F111:G111"/>
    <mergeCell ref="X110:Y110"/>
    <mergeCell ref="AB110:AC110"/>
    <mergeCell ref="X111:Y111"/>
    <mergeCell ref="AB111:AC111"/>
    <mergeCell ref="I116:J116"/>
    <mergeCell ref="T116:U116"/>
    <mergeCell ref="I111:J111"/>
    <mergeCell ref="T111:U111"/>
    <mergeCell ref="X112:Y112"/>
    <mergeCell ref="AB112:AC112"/>
    <mergeCell ref="B110:C110"/>
    <mergeCell ref="F110:G110"/>
    <mergeCell ref="I110:J110"/>
    <mergeCell ref="T110:U110"/>
    <mergeCell ref="X118:Y118"/>
    <mergeCell ref="AB118:AC118"/>
    <mergeCell ref="I117:J117"/>
    <mergeCell ref="T117:U117"/>
    <mergeCell ref="B117:C117"/>
    <mergeCell ref="F117:G117"/>
    <mergeCell ref="B118:C118"/>
    <mergeCell ref="F118:G118"/>
    <mergeCell ref="I118:J118"/>
    <mergeCell ref="T118:U118"/>
    <mergeCell ref="B116:C116"/>
    <mergeCell ref="F116:G116"/>
    <mergeCell ref="B112:C112"/>
    <mergeCell ref="F112:G112"/>
    <mergeCell ref="I114:J114"/>
    <mergeCell ref="T114:U114"/>
    <mergeCell ref="B114:C114"/>
    <mergeCell ref="F114:G114"/>
    <mergeCell ref="B120:C120"/>
    <mergeCell ref="F120:G120"/>
    <mergeCell ref="X113:Y113"/>
    <mergeCell ref="AB113:AC113"/>
    <mergeCell ref="X121:Y121"/>
    <mergeCell ref="AB121:AC121"/>
    <mergeCell ref="B119:C119"/>
    <mergeCell ref="F119:G119"/>
    <mergeCell ref="I119:J119"/>
    <mergeCell ref="T119:U119"/>
    <mergeCell ref="I120:J120"/>
    <mergeCell ref="T120:U120"/>
    <mergeCell ref="B121:C121"/>
    <mergeCell ref="F121:G121"/>
    <mergeCell ref="I121:J121"/>
    <mergeCell ref="T121:U121"/>
    <mergeCell ref="X114:Y114"/>
    <mergeCell ref="AB114:AC114"/>
    <mergeCell ref="B115:C115"/>
    <mergeCell ref="F115:G115"/>
    <mergeCell ref="X116:Y116"/>
    <mergeCell ref="AB116:AC116"/>
    <mergeCell ref="X117:Y117"/>
    <mergeCell ref="AB117:AC117"/>
    <mergeCell ref="X115:Y115"/>
    <mergeCell ref="AB115:AC115"/>
    <mergeCell ref="I115:J115"/>
    <mergeCell ref="T115:U115"/>
    <mergeCell ref="X119:Y119"/>
    <mergeCell ref="AB119:AC119"/>
    <mergeCell ref="X120:Y120"/>
    <mergeCell ref="AB120:AC120"/>
    <mergeCell ref="X129:Y129"/>
    <mergeCell ref="AB129:AC129"/>
    <mergeCell ref="X127:Y127"/>
    <mergeCell ref="AB127:AC127"/>
    <mergeCell ref="B127:C127"/>
    <mergeCell ref="F127:G127"/>
    <mergeCell ref="X125:Y125"/>
    <mergeCell ref="AB125:AC125"/>
    <mergeCell ref="I127:J127"/>
    <mergeCell ref="T127:U127"/>
    <mergeCell ref="X128:Y128"/>
    <mergeCell ref="AB128:AC128"/>
    <mergeCell ref="I129:J129"/>
    <mergeCell ref="T129:U129"/>
    <mergeCell ref="B129:C129"/>
    <mergeCell ref="F129:G129"/>
    <mergeCell ref="B128:C128"/>
    <mergeCell ref="F128:G128"/>
    <mergeCell ref="I128:J128"/>
    <mergeCell ref="T128:U128"/>
    <mergeCell ref="X126:Y126"/>
    <mergeCell ref="AB126:AC126"/>
    <mergeCell ref="X122:Y122"/>
    <mergeCell ref="AB122:AC122"/>
    <mergeCell ref="X123:Y123"/>
    <mergeCell ref="AB123:AC123"/>
    <mergeCell ref="I123:J123"/>
    <mergeCell ref="T123:U123"/>
    <mergeCell ref="B130:C130"/>
    <mergeCell ref="F130:G130"/>
    <mergeCell ref="I130:J130"/>
    <mergeCell ref="T130:U130"/>
    <mergeCell ref="X130:Y130"/>
    <mergeCell ref="AB130:AC130"/>
    <mergeCell ref="I126:J126"/>
    <mergeCell ref="T126:U126"/>
    <mergeCell ref="B126:C126"/>
    <mergeCell ref="F126:G126"/>
    <mergeCell ref="B123:C123"/>
    <mergeCell ref="F123:G123"/>
    <mergeCell ref="B122:C122"/>
    <mergeCell ref="F122:G122"/>
    <mergeCell ref="I122:J122"/>
    <mergeCell ref="T122:U122"/>
    <mergeCell ref="B124:C124"/>
    <mergeCell ref="F124:G124"/>
    <mergeCell ref="I124:J124"/>
    <mergeCell ref="T124:U124"/>
    <mergeCell ref="X124:Y124"/>
    <mergeCell ref="AB124:AC124"/>
    <mergeCell ref="B125:C125"/>
    <mergeCell ref="F125:G125"/>
    <mergeCell ref="I125:J125"/>
    <mergeCell ref="T125:U125"/>
    <mergeCell ref="X131:Y131"/>
    <mergeCell ref="AB131:AC131"/>
    <mergeCell ref="X132:Y132"/>
    <mergeCell ref="AB132:AC132"/>
    <mergeCell ref="B137:C137"/>
    <mergeCell ref="F137:G137"/>
    <mergeCell ref="I137:J137"/>
    <mergeCell ref="T137:U137"/>
    <mergeCell ref="X133:Y133"/>
    <mergeCell ref="AB133:AC133"/>
    <mergeCell ref="B131:C131"/>
    <mergeCell ref="F131:G131"/>
    <mergeCell ref="I131:J131"/>
    <mergeCell ref="T131:U131"/>
    <mergeCell ref="I132:J132"/>
    <mergeCell ref="T132:U132"/>
    <mergeCell ref="B132:C132"/>
    <mergeCell ref="F132:G132"/>
    <mergeCell ref="B133:C133"/>
    <mergeCell ref="F133:G133"/>
    <mergeCell ref="I133:J133"/>
    <mergeCell ref="T133:U133"/>
    <mergeCell ref="I136:J136"/>
    <mergeCell ref="T136:U136"/>
    <mergeCell ref="B135:C135"/>
    <mergeCell ref="F135:G135"/>
    <mergeCell ref="X134:Y134"/>
    <mergeCell ref="AB134:AC134"/>
    <mergeCell ref="X135:Y135"/>
    <mergeCell ref="AB135:AC135"/>
    <mergeCell ref="B147:C147"/>
    <mergeCell ref="F147:G147"/>
    <mergeCell ref="I140:J140"/>
    <mergeCell ref="T140:U140"/>
    <mergeCell ref="I135:J135"/>
    <mergeCell ref="T135:U135"/>
    <mergeCell ref="X136:Y136"/>
    <mergeCell ref="AB136:AC136"/>
    <mergeCell ref="B134:C134"/>
    <mergeCell ref="F134:G134"/>
    <mergeCell ref="I134:J134"/>
    <mergeCell ref="T134:U134"/>
    <mergeCell ref="X142:Y142"/>
    <mergeCell ref="AB142:AC142"/>
    <mergeCell ref="I141:J141"/>
    <mergeCell ref="T141:U141"/>
    <mergeCell ref="B141:C141"/>
    <mergeCell ref="F141:G141"/>
    <mergeCell ref="B142:C142"/>
    <mergeCell ref="F142:G142"/>
    <mergeCell ref="I142:J142"/>
    <mergeCell ref="T142:U142"/>
    <mergeCell ref="B140:C140"/>
    <mergeCell ref="F140:G140"/>
    <mergeCell ref="B136:C136"/>
    <mergeCell ref="F136:G136"/>
    <mergeCell ref="I138:J138"/>
    <mergeCell ref="T138:U138"/>
    <mergeCell ref="B138:C138"/>
    <mergeCell ref="F138:G138"/>
    <mergeCell ref="I139:J139"/>
    <mergeCell ref="T139:U139"/>
    <mergeCell ref="B144:C144"/>
    <mergeCell ref="F144:G144"/>
    <mergeCell ref="X137:Y137"/>
    <mergeCell ref="AB137:AC137"/>
    <mergeCell ref="X145:Y145"/>
    <mergeCell ref="AB145:AC145"/>
    <mergeCell ref="B143:C143"/>
    <mergeCell ref="F143:G143"/>
    <mergeCell ref="I143:J143"/>
    <mergeCell ref="T143:U143"/>
    <mergeCell ref="I144:J144"/>
    <mergeCell ref="T144:U144"/>
    <mergeCell ref="B145:C145"/>
    <mergeCell ref="F145:G145"/>
    <mergeCell ref="I145:J145"/>
    <mergeCell ref="T145:U145"/>
    <mergeCell ref="X138:Y138"/>
    <mergeCell ref="AB138:AC138"/>
    <mergeCell ref="B139:C139"/>
    <mergeCell ref="F139:G139"/>
    <mergeCell ref="X140:Y140"/>
    <mergeCell ref="AB140:AC140"/>
    <mergeCell ref="X141:Y141"/>
    <mergeCell ref="AB141:AC141"/>
    <mergeCell ref="X139:Y139"/>
    <mergeCell ref="AB139:AC139"/>
    <mergeCell ref="X143:Y143"/>
    <mergeCell ref="AB143:AC143"/>
    <mergeCell ref="X144:Y144"/>
    <mergeCell ref="AB144:AC144"/>
    <mergeCell ref="I150:J150"/>
    <mergeCell ref="T150:U150"/>
    <mergeCell ref="B150:C150"/>
    <mergeCell ref="F150:G150"/>
    <mergeCell ref="X149:Y149"/>
    <mergeCell ref="AB149:AC149"/>
    <mergeCell ref="I151:J151"/>
    <mergeCell ref="T151:U151"/>
    <mergeCell ref="X152:Y152"/>
    <mergeCell ref="AB152:AC152"/>
    <mergeCell ref="I153:J153"/>
    <mergeCell ref="T153:U153"/>
    <mergeCell ref="B153:C153"/>
    <mergeCell ref="F153:G153"/>
    <mergeCell ref="B152:C152"/>
    <mergeCell ref="F152:G152"/>
    <mergeCell ref="I152:J152"/>
    <mergeCell ref="T152:U152"/>
    <mergeCell ref="X150:Y150"/>
    <mergeCell ref="AB150:AC150"/>
    <mergeCell ref="X146:Y146"/>
    <mergeCell ref="AB146:AC146"/>
    <mergeCell ref="X147:Y147"/>
    <mergeCell ref="AB147:AC147"/>
    <mergeCell ref="I147:J147"/>
    <mergeCell ref="T147:U147"/>
    <mergeCell ref="B146:C146"/>
    <mergeCell ref="F146:G146"/>
    <mergeCell ref="I146:J146"/>
    <mergeCell ref="T146:U146"/>
    <mergeCell ref="B148:C148"/>
    <mergeCell ref="F148:G148"/>
    <mergeCell ref="B154:C154"/>
    <mergeCell ref="F154:G154"/>
    <mergeCell ref="I154:J154"/>
    <mergeCell ref="T154:U154"/>
    <mergeCell ref="X154:Y154"/>
    <mergeCell ref="AB154:AC154"/>
    <mergeCell ref="I148:J148"/>
    <mergeCell ref="T148:U148"/>
    <mergeCell ref="X148:Y148"/>
    <mergeCell ref="AB148:AC148"/>
    <mergeCell ref="B149:C149"/>
    <mergeCell ref="F149:G149"/>
    <mergeCell ref="I149:J149"/>
    <mergeCell ref="T149:U149"/>
    <mergeCell ref="X153:Y153"/>
    <mergeCell ref="AB153:AC153"/>
    <mergeCell ref="X151:Y151"/>
    <mergeCell ref="AB151:AC151"/>
    <mergeCell ref="B151:C151"/>
    <mergeCell ref="F151:G151"/>
    <mergeCell ref="X155:Y155"/>
    <mergeCell ref="AB155:AC155"/>
    <mergeCell ref="X156:Y156"/>
    <mergeCell ref="AB156:AC156"/>
    <mergeCell ref="B161:C161"/>
    <mergeCell ref="F161:G161"/>
    <mergeCell ref="I161:J161"/>
    <mergeCell ref="T161:U161"/>
    <mergeCell ref="X157:Y157"/>
    <mergeCell ref="AB157:AC157"/>
    <mergeCell ref="B155:C155"/>
    <mergeCell ref="F155:G155"/>
    <mergeCell ref="I155:J155"/>
    <mergeCell ref="T155:U155"/>
    <mergeCell ref="I156:J156"/>
    <mergeCell ref="T156:U156"/>
    <mergeCell ref="B156:C156"/>
    <mergeCell ref="F156:G156"/>
    <mergeCell ref="B157:C157"/>
    <mergeCell ref="F157:G157"/>
    <mergeCell ref="I157:J157"/>
    <mergeCell ref="T157:U157"/>
    <mergeCell ref="I160:J160"/>
    <mergeCell ref="T160:U160"/>
    <mergeCell ref="B159:C159"/>
    <mergeCell ref="F159:G159"/>
    <mergeCell ref="X158:Y158"/>
    <mergeCell ref="AB158:AC158"/>
    <mergeCell ref="X159:Y159"/>
    <mergeCell ref="AB159:AC159"/>
    <mergeCell ref="I164:J164"/>
    <mergeCell ref="T164:U164"/>
    <mergeCell ref="I159:J159"/>
    <mergeCell ref="T159:U159"/>
    <mergeCell ref="X160:Y160"/>
    <mergeCell ref="AB160:AC160"/>
    <mergeCell ref="B158:C158"/>
    <mergeCell ref="F158:G158"/>
    <mergeCell ref="I158:J158"/>
    <mergeCell ref="T158:U158"/>
    <mergeCell ref="X166:Y166"/>
    <mergeCell ref="AB166:AC166"/>
    <mergeCell ref="I165:J165"/>
    <mergeCell ref="T165:U165"/>
    <mergeCell ref="B165:C165"/>
    <mergeCell ref="F165:G165"/>
    <mergeCell ref="B166:C166"/>
    <mergeCell ref="F166:G166"/>
    <mergeCell ref="I166:J166"/>
    <mergeCell ref="T166:U166"/>
    <mergeCell ref="B164:C164"/>
    <mergeCell ref="F164:G164"/>
    <mergeCell ref="B160:C160"/>
    <mergeCell ref="F160:G160"/>
    <mergeCell ref="I162:J162"/>
    <mergeCell ref="T162:U162"/>
    <mergeCell ref="B162:C162"/>
    <mergeCell ref="F162:G162"/>
    <mergeCell ref="B168:C168"/>
    <mergeCell ref="F168:G168"/>
    <mergeCell ref="X161:Y161"/>
    <mergeCell ref="AB161:AC161"/>
    <mergeCell ref="X169:Y169"/>
    <mergeCell ref="AB169:AC169"/>
    <mergeCell ref="B167:C167"/>
    <mergeCell ref="F167:G167"/>
    <mergeCell ref="I167:J167"/>
    <mergeCell ref="T167:U167"/>
    <mergeCell ref="I168:J168"/>
    <mergeCell ref="T168:U168"/>
    <mergeCell ref="B169:C169"/>
    <mergeCell ref="F169:G169"/>
    <mergeCell ref="I169:J169"/>
    <mergeCell ref="T169:U169"/>
    <mergeCell ref="X162:Y162"/>
    <mergeCell ref="AB162:AC162"/>
    <mergeCell ref="B163:C163"/>
    <mergeCell ref="F163:G163"/>
    <mergeCell ref="X164:Y164"/>
    <mergeCell ref="AB164:AC164"/>
    <mergeCell ref="X165:Y165"/>
    <mergeCell ref="AB165:AC165"/>
    <mergeCell ref="X163:Y163"/>
    <mergeCell ref="AB163:AC163"/>
    <mergeCell ref="I163:J163"/>
    <mergeCell ref="T163:U163"/>
    <mergeCell ref="X167:Y167"/>
    <mergeCell ref="AB167:AC167"/>
    <mergeCell ref="X168:Y168"/>
    <mergeCell ref="AB168:AC168"/>
    <mergeCell ref="X177:Y177"/>
    <mergeCell ref="AB177:AC177"/>
    <mergeCell ref="X175:Y175"/>
    <mergeCell ref="AB175:AC175"/>
    <mergeCell ref="B175:C175"/>
    <mergeCell ref="F175:G175"/>
    <mergeCell ref="X173:Y173"/>
    <mergeCell ref="AB173:AC173"/>
    <mergeCell ref="I175:J175"/>
    <mergeCell ref="T175:U175"/>
    <mergeCell ref="X176:Y176"/>
    <mergeCell ref="AB176:AC176"/>
    <mergeCell ref="I177:J177"/>
    <mergeCell ref="T177:U177"/>
    <mergeCell ref="B177:C177"/>
    <mergeCell ref="F177:G177"/>
    <mergeCell ref="B176:C176"/>
    <mergeCell ref="F176:G176"/>
    <mergeCell ref="I176:J176"/>
    <mergeCell ref="T176:U176"/>
    <mergeCell ref="X174:Y174"/>
    <mergeCell ref="AB174:AC174"/>
    <mergeCell ref="X170:Y170"/>
    <mergeCell ref="AB170:AC170"/>
    <mergeCell ref="X171:Y171"/>
    <mergeCell ref="AB171:AC171"/>
    <mergeCell ref="I171:J171"/>
    <mergeCell ref="T171:U171"/>
    <mergeCell ref="B178:C178"/>
    <mergeCell ref="F178:G178"/>
    <mergeCell ref="I178:J178"/>
    <mergeCell ref="T178:U178"/>
    <mergeCell ref="X178:Y178"/>
    <mergeCell ref="AB178:AC178"/>
    <mergeCell ref="I174:J174"/>
    <mergeCell ref="T174:U174"/>
    <mergeCell ref="B174:C174"/>
    <mergeCell ref="F174:G174"/>
    <mergeCell ref="B171:C171"/>
    <mergeCell ref="F171:G171"/>
    <mergeCell ref="B170:C170"/>
    <mergeCell ref="F170:G170"/>
    <mergeCell ref="I170:J170"/>
    <mergeCell ref="T170:U170"/>
    <mergeCell ref="B172:C172"/>
    <mergeCell ref="F172:G172"/>
    <mergeCell ref="I172:J172"/>
    <mergeCell ref="T172:U172"/>
    <mergeCell ref="X172:Y172"/>
    <mergeCell ref="AB172:AC172"/>
    <mergeCell ref="B173:C173"/>
    <mergeCell ref="F173:G173"/>
    <mergeCell ref="I173:J173"/>
    <mergeCell ref="T173:U173"/>
    <mergeCell ref="X179:Y179"/>
    <mergeCell ref="AB179:AC179"/>
    <mergeCell ref="X180:Y180"/>
    <mergeCell ref="AB180:AC180"/>
    <mergeCell ref="B185:C185"/>
    <mergeCell ref="F185:G185"/>
    <mergeCell ref="I185:J185"/>
    <mergeCell ref="T185:U185"/>
    <mergeCell ref="X181:Y181"/>
    <mergeCell ref="AB181:AC181"/>
    <mergeCell ref="B179:C179"/>
    <mergeCell ref="F179:G179"/>
    <mergeCell ref="I179:J179"/>
    <mergeCell ref="T179:U179"/>
    <mergeCell ref="I180:J180"/>
    <mergeCell ref="T180:U180"/>
    <mergeCell ref="B180:C180"/>
    <mergeCell ref="F180:G180"/>
    <mergeCell ref="B181:C181"/>
    <mergeCell ref="F181:G181"/>
    <mergeCell ref="I181:J181"/>
    <mergeCell ref="T181:U181"/>
    <mergeCell ref="I184:J184"/>
    <mergeCell ref="T184:U184"/>
    <mergeCell ref="B183:C183"/>
    <mergeCell ref="F183:G183"/>
    <mergeCell ref="X182:Y182"/>
    <mergeCell ref="AB182:AC182"/>
    <mergeCell ref="X183:Y183"/>
    <mergeCell ref="AB183:AC183"/>
    <mergeCell ref="B195:C195"/>
    <mergeCell ref="F195:G195"/>
    <mergeCell ref="I188:J188"/>
    <mergeCell ref="T188:U188"/>
    <mergeCell ref="I183:J183"/>
    <mergeCell ref="T183:U183"/>
    <mergeCell ref="X184:Y184"/>
    <mergeCell ref="AB184:AC184"/>
    <mergeCell ref="B182:C182"/>
    <mergeCell ref="F182:G182"/>
    <mergeCell ref="I182:J182"/>
    <mergeCell ref="T182:U182"/>
    <mergeCell ref="X190:Y190"/>
    <mergeCell ref="AB190:AC190"/>
    <mergeCell ref="I189:J189"/>
    <mergeCell ref="T189:U189"/>
    <mergeCell ref="B189:C189"/>
    <mergeCell ref="F189:G189"/>
    <mergeCell ref="B190:C190"/>
    <mergeCell ref="F190:G190"/>
    <mergeCell ref="I190:J190"/>
    <mergeCell ref="T190:U190"/>
    <mergeCell ref="B188:C188"/>
    <mergeCell ref="F188:G188"/>
    <mergeCell ref="B184:C184"/>
    <mergeCell ref="F184:G184"/>
    <mergeCell ref="I186:J186"/>
    <mergeCell ref="T186:U186"/>
    <mergeCell ref="B186:C186"/>
    <mergeCell ref="F186:G186"/>
    <mergeCell ref="I187:J187"/>
    <mergeCell ref="T187:U187"/>
    <mergeCell ref="B192:C192"/>
    <mergeCell ref="F192:G192"/>
    <mergeCell ref="X185:Y185"/>
    <mergeCell ref="AB185:AC185"/>
    <mergeCell ref="X193:Y193"/>
    <mergeCell ref="AB193:AC193"/>
    <mergeCell ref="B191:C191"/>
    <mergeCell ref="F191:G191"/>
    <mergeCell ref="I191:J191"/>
    <mergeCell ref="T191:U191"/>
    <mergeCell ref="I192:J192"/>
    <mergeCell ref="T192:U192"/>
    <mergeCell ref="B193:C193"/>
    <mergeCell ref="F193:G193"/>
    <mergeCell ref="I193:J193"/>
    <mergeCell ref="T193:U193"/>
    <mergeCell ref="X186:Y186"/>
    <mergeCell ref="AB186:AC186"/>
    <mergeCell ref="B187:C187"/>
    <mergeCell ref="F187:G187"/>
    <mergeCell ref="X188:Y188"/>
    <mergeCell ref="AB188:AC188"/>
    <mergeCell ref="X189:Y189"/>
    <mergeCell ref="AB189:AC189"/>
    <mergeCell ref="X187:Y187"/>
    <mergeCell ref="AB187:AC187"/>
    <mergeCell ref="X191:Y191"/>
    <mergeCell ref="AB191:AC191"/>
    <mergeCell ref="X192:Y192"/>
    <mergeCell ref="AB192:AC192"/>
    <mergeCell ref="I198:J198"/>
    <mergeCell ref="T198:U198"/>
    <mergeCell ref="B198:C198"/>
    <mergeCell ref="F198:G198"/>
    <mergeCell ref="X197:Y197"/>
    <mergeCell ref="AB197:AC197"/>
    <mergeCell ref="I199:J199"/>
    <mergeCell ref="T199:U199"/>
    <mergeCell ref="X200:Y200"/>
    <mergeCell ref="AB200:AC200"/>
    <mergeCell ref="I201:J201"/>
    <mergeCell ref="T201:U201"/>
    <mergeCell ref="B201:C201"/>
    <mergeCell ref="F201:G201"/>
    <mergeCell ref="B200:C200"/>
    <mergeCell ref="F200:G200"/>
    <mergeCell ref="I200:J200"/>
    <mergeCell ref="T200:U200"/>
    <mergeCell ref="X198:Y198"/>
    <mergeCell ref="AB198:AC198"/>
    <mergeCell ref="X194:Y194"/>
    <mergeCell ref="AB194:AC194"/>
    <mergeCell ref="X195:Y195"/>
    <mergeCell ref="AB195:AC195"/>
    <mergeCell ref="I195:J195"/>
    <mergeCell ref="T195:U195"/>
    <mergeCell ref="B194:C194"/>
    <mergeCell ref="F194:G194"/>
    <mergeCell ref="I194:J194"/>
    <mergeCell ref="T194:U194"/>
    <mergeCell ref="B196:C196"/>
    <mergeCell ref="F196:G196"/>
    <mergeCell ref="B202:C202"/>
    <mergeCell ref="F202:G202"/>
    <mergeCell ref="I202:J202"/>
    <mergeCell ref="T202:U202"/>
    <mergeCell ref="X202:Y202"/>
    <mergeCell ref="AB202:AC202"/>
    <mergeCell ref="I196:J196"/>
    <mergeCell ref="T196:U196"/>
    <mergeCell ref="X196:Y196"/>
    <mergeCell ref="AB196:AC196"/>
    <mergeCell ref="B197:C197"/>
    <mergeCell ref="F197:G197"/>
    <mergeCell ref="I197:J197"/>
    <mergeCell ref="T197:U197"/>
    <mergeCell ref="X201:Y201"/>
    <mergeCell ref="AB201:AC201"/>
    <mergeCell ref="X199:Y199"/>
    <mergeCell ref="AB199:AC199"/>
    <mergeCell ref="B199:C199"/>
    <mergeCell ref="F199:G199"/>
    <mergeCell ref="X203:Y203"/>
    <mergeCell ref="AB203:AC203"/>
    <mergeCell ref="X204:Y204"/>
    <mergeCell ref="AB204:AC204"/>
    <mergeCell ref="B209:C209"/>
    <mergeCell ref="F209:G209"/>
    <mergeCell ref="I209:J209"/>
    <mergeCell ref="T209:U209"/>
    <mergeCell ref="X205:Y205"/>
    <mergeCell ref="AB205:AC205"/>
    <mergeCell ref="B203:C203"/>
    <mergeCell ref="F203:G203"/>
    <mergeCell ref="I203:J203"/>
    <mergeCell ref="T203:U203"/>
    <mergeCell ref="I204:J204"/>
    <mergeCell ref="T204:U204"/>
    <mergeCell ref="B204:C204"/>
    <mergeCell ref="F204:G204"/>
    <mergeCell ref="B205:C205"/>
    <mergeCell ref="F205:G205"/>
    <mergeCell ref="I205:J205"/>
    <mergeCell ref="T205:U205"/>
    <mergeCell ref="I208:J208"/>
    <mergeCell ref="T208:U208"/>
    <mergeCell ref="B207:C207"/>
    <mergeCell ref="F207:G207"/>
    <mergeCell ref="X206:Y206"/>
    <mergeCell ref="AB206:AC206"/>
    <mergeCell ref="X207:Y207"/>
    <mergeCell ref="AB207:AC207"/>
    <mergeCell ref="I212:J212"/>
    <mergeCell ref="T212:U212"/>
    <mergeCell ref="I207:J207"/>
    <mergeCell ref="T207:U207"/>
    <mergeCell ref="X208:Y208"/>
    <mergeCell ref="AB208:AC208"/>
    <mergeCell ref="B206:C206"/>
    <mergeCell ref="F206:G206"/>
    <mergeCell ref="I206:J206"/>
    <mergeCell ref="T206:U206"/>
    <mergeCell ref="X214:Y214"/>
    <mergeCell ref="AB214:AC214"/>
    <mergeCell ref="I213:J213"/>
    <mergeCell ref="T213:U213"/>
    <mergeCell ref="B213:C213"/>
    <mergeCell ref="F213:G213"/>
    <mergeCell ref="B214:C214"/>
    <mergeCell ref="F214:G214"/>
    <mergeCell ref="I214:J214"/>
    <mergeCell ref="T214:U214"/>
    <mergeCell ref="B212:C212"/>
    <mergeCell ref="F212:G212"/>
    <mergeCell ref="B208:C208"/>
    <mergeCell ref="F208:G208"/>
    <mergeCell ref="I210:J210"/>
    <mergeCell ref="T210:U210"/>
    <mergeCell ref="B210:C210"/>
    <mergeCell ref="F210:G210"/>
    <mergeCell ref="B216:C216"/>
    <mergeCell ref="F216:G216"/>
    <mergeCell ref="X209:Y209"/>
    <mergeCell ref="AB209:AC209"/>
    <mergeCell ref="X217:Y217"/>
    <mergeCell ref="AB217:AC217"/>
    <mergeCell ref="B215:C215"/>
    <mergeCell ref="F215:G215"/>
    <mergeCell ref="I215:J215"/>
    <mergeCell ref="T215:U215"/>
    <mergeCell ref="I216:J216"/>
    <mergeCell ref="T216:U216"/>
    <mergeCell ref="B217:C217"/>
    <mergeCell ref="F217:G217"/>
    <mergeCell ref="I217:J217"/>
    <mergeCell ref="T217:U217"/>
    <mergeCell ref="X210:Y210"/>
    <mergeCell ref="AB210:AC210"/>
    <mergeCell ref="B211:C211"/>
    <mergeCell ref="F211:G211"/>
    <mergeCell ref="X212:Y212"/>
    <mergeCell ref="AB212:AC212"/>
    <mergeCell ref="X213:Y213"/>
    <mergeCell ref="AB213:AC213"/>
    <mergeCell ref="X211:Y211"/>
    <mergeCell ref="AB211:AC211"/>
    <mergeCell ref="I211:J211"/>
    <mergeCell ref="T211:U211"/>
    <mergeCell ref="X215:Y215"/>
    <mergeCell ref="AB215:AC215"/>
    <mergeCell ref="X216:Y216"/>
    <mergeCell ref="AB216:AC216"/>
    <mergeCell ref="X225:Y225"/>
    <mergeCell ref="AB225:AC225"/>
    <mergeCell ref="X223:Y223"/>
    <mergeCell ref="AB223:AC223"/>
    <mergeCell ref="B223:C223"/>
    <mergeCell ref="F223:G223"/>
    <mergeCell ref="X221:Y221"/>
    <mergeCell ref="AB221:AC221"/>
    <mergeCell ref="I223:J223"/>
    <mergeCell ref="T223:U223"/>
    <mergeCell ref="X224:Y224"/>
    <mergeCell ref="AB224:AC224"/>
    <mergeCell ref="I225:J225"/>
    <mergeCell ref="T225:U225"/>
    <mergeCell ref="B225:C225"/>
    <mergeCell ref="F225:G225"/>
    <mergeCell ref="B224:C224"/>
    <mergeCell ref="F224:G224"/>
    <mergeCell ref="I224:J224"/>
    <mergeCell ref="T224:U224"/>
    <mergeCell ref="X222:Y222"/>
    <mergeCell ref="AB222:AC222"/>
    <mergeCell ref="X218:Y218"/>
    <mergeCell ref="AB218:AC218"/>
    <mergeCell ref="X219:Y219"/>
    <mergeCell ref="AB219:AC219"/>
    <mergeCell ref="I219:J219"/>
    <mergeCell ref="T219:U219"/>
    <mergeCell ref="B226:C226"/>
    <mergeCell ref="F226:G226"/>
    <mergeCell ref="I226:J226"/>
    <mergeCell ref="T226:U226"/>
    <mergeCell ref="X226:Y226"/>
    <mergeCell ref="AB226:AC226"/>
    <mergeCell ref="I222:J222"/>
    <mergeCell ref="T222:U222"/>
    <mergeCell ref="B222:C222"/>
    <mergeCell ref="F222:G222"/>
    <mergeCell ref="B219:C219"/>
    <mergeCell ref="F219:G219"/>
    <mergeCell ref="B218:C218"/>
    <mergeCell ref="F218:G218"/>
    <mergeCell ref="I218:J218"/>
    <mergeCell ref="T218:U218"/>
    <mergeCell ref="B220:C220"/>
    <mergeCell ref="F220:G220"/>
    <mergeCell ref="I220:J220"/>
    <mergeCell ref="T220:U220"/>
    <mergeCell ref="X220:Y220"/>
    <mergeCell ref="AB220:AC220"/>
    <mergeCell ref="B221:C221"/>
    <mergeCell ref="F221:G221"/>
    <mergeCell ref="I221:J221"/>
    <mergeCell ref="T221:U221"/>
    <mergeCell ref="X227:Y227"/>
    <mergeCell ref="AB227:AC227"/>
    <mergeCell ref="X228:Y228"/>
    <mergeCell ref="AB228:AC228"/>
    <mergeCell ref="B233:C233"/>
    <mergeCell ref="F233:G233"/>
    <mergeCell ref="I233:J233"/>
    <mergeCell ref="T233:U233"/>
    <mergeCell ref="X229:Y229"/>
    <mergeCell ref="AB229:AC229"/>
    <mergeCell ref="B227:C227"/>
    <mergeCell ref="F227:G227"/>
    <mergeCell ref="I227:J227"/>
    <mergeCell ref="T227:U227"/>
    <mergeCell ref="I228:J228"/>
    <mergeCell ref="T228:U228"/>
    <mergeCell ref="B228:C228"/>
    <mergeCell ref="F228:G228"/>
    <mergeCell ref="B229:C229"/>
    <mergeCell ref="F229:G229"/>
    <mergeCell ref="I229:J229"/>
    <mergeCell ref="T229:U229"/>
    <mergeCell ref="I232:J232"/>
    <mergeCell ref="T232:U232"/>
    <mergeCell ref="B231:C231"/>
    <mergeCell ref="F231:G231"/>
    <mergeCell ref="X230:Y230"/>
    <mergeCell ref="AB230:AC230"/>
    <mergeCell ref="X231:Y231"/>
    <mergeCell ref="AB231:AC231"/>
    <mergeCell ref="B243:C243"/>
    <mergeCell ref="F243:G243"/>
    <mergeCell ref="I236:J236"/>
    <mergeCell ref="T236:U236"/>
    <mergeCell ref="I231:J231"/>
    <mergeCell ref="T231:U231"/>
    <mergeCell ref="X232:Y232"/>
    <mergeCell ref="AB232:AC232"/>
    <mergeCell ref="B230:C230"/>
    <mergeCell ref="F230:G230"/>
    <mergeCell ref="I230:J230"/>
    <mergeCell ref="T230:U230"/>
    <mergeCell ref="X238:Y238"/>
    <mergeCell ref="AB238:AC238"/>
    <mergeCell ref="I237:J237"/>
    <mergeCell ref="T237:U237"/>
    <mergeCell ref="B237:C237"/>
    <mergeCell ref="F237:G237"/>
    <mergeCell ref="B238:C238"/>
    <mergeCell ref="F238:G238"/>
    <mergeCell ref="I238:J238"/>
    <mergeCell ref="T238:U238"/>
    <mergeCell ref="B236:C236"/>
    <mergeCell ref="F236:G236"/>
    <mergeCell ref="B232:C232"/>
    <mergeCell ref="F232:G232"/>
    <mergeCell ref="I234:J234"/>
    <mergeCell ref="T234:U234"/>
    <mergeCell ref="B234:C234"/>
    <mergeCell ref="F234:G234"/>
    <mergeCell ref="I235:J235"/>
    <mergeCell ref="T235:U235"/>
    <mergeCell ref="B240:C240"/>
    <mergeCell ref="F240:G240"/>
    <mergeCell ref="X233:Y233"/>
    <mergeCell ref="AB233:AC233"/>
    <mergeCell ref="X241:Y241"/>
    <mergeCell ref="AB241:AC241"/>
    <mergeCell ref="B239:C239"/>
    <mergeCell ref="F239:G239"/>
    <mergeCell ref="I239:J239"/>
    <mergeCell ref="T239:U239"/>
    <mergeCell ref="I240:J240"/>
    <mergeCell ref="T240:U240"/>
    <mergeCell ref="B241:C241"/>
    <mergeCell ref="F241:G241"/>
    <mergeCell ref="I241:J241"/>
    <mergeCell ref="T241:U241"/>
    <mergeCell ref="X234:Y234"/>
    <mergeCell ref="AB234:AC234"/>
    <mergeCell ref="B235:C235"/>
    <mergeCell ref="F235:G235"/>
    <mergeCell ref="X236:Y236"/>
    <mergeCell ref="AB236:AC236"/>
    <mergeCell ref="X237:Y237"/>
    <mergeCell ref="AB237:AC237"/>
    <mergeCell ref="X235:Y235"/>
    <mergeCell ref="AB235:AC235"/>
    <mergeCell ref="X239:Y239"/>
    <mergeCell ref="AB239:AC239"/>
    <mergeCell ref="X240:Y240"/>
    <mergeCell ref="AB240:AC240"/>
    <mergeCell ref="I246:J246"/>
    <mergeCell ref="T246:U246"/>
    <mergeCell ref="B246:C246"/>
    <mergeCell ref="F246:G246"/>
    <mergeCell ref="X245:Y245"/>
    <mergeCell ref="AB245:AC245"/>
    <mergeCell ref="I247:J247"/>
    <mergeCell ref="T247:U247"/>
    <mergeCell ref="X248:Y248"/>
    <mergeCell ref="AB248:AC248"/>
    <mergeCell ref="I249:J249"/>
    <mergeCell ref="T249:U249"/>
    <mergeCell ref="B249:C249"/>
    <mergeCell ref="F249:G249"/>
    <mergeCell ref="B248:C248"/>
    <mergeCell ref="F248:G248"/>
    <mergeCell ref="I248:J248"/>
    <mergeCell ref="T248:U248"/>
    <mergeCell ref="X246:Y246"/>
    <mergeCell ref="AB246:AC246"/>
    <mergeCell ref="X242:Y242"/>
    <mergeCell ref="AB242:AC242"/>
    <mergeCell ref="X243:Y243"/>
    <mergeCell ref="AB243:AC243"/>
    <mergeCell ref="I243:J243"/>
    <mergeCell ref="T243:U243"/>
    <mergeCell ref="B242:C242"/>
    <mergeCell ref="F242:G242"/>
    <mergeCell ref="I242:J242"/>
    <mergeCell ref="T242:U242"/>
    <mergeCell ref="B244:C244"/>
    <mergeCell ref="F244:G244"/>
    <mergeCell ref="B250:C250"/>
    <mergeCell ref="F250:G250"/>
    <mergeCell ref="I250:J250"/>
    <mergeCell ref="T250:U250"/>
    <mergeCell ref="X250:Y250"/>
    <mergeCell ref="AB250:AC250"/>
    <mergeCell ref="I244:J244"/>
    <mergeCell ref="T244:U244"/>
    <mergeCell ref="X244:Y244"/>
    <mergeCell ref="AB244:AC244"/>
    <mergeCell ref="B245:C245"/>
    <mergeCell ref="F245:G245"/>
    <mergeCell ref="I245:J245"/>
    <mergeCell ref="T245:U245"/>
    <mergeCell ref="X249:Y249"/>
    <mergeCell ref="AB249:AC249"/>
    <mergeCell ref="X247:Y247"/>
    <mergeCell ref="AB247:AC247"/>
    <mergeCell ref="B247:C247"/>
    <mergeCell ref="F247:G247"/>
    <mergeCell ref="X251:Y251"/>
    <mergeCell ref="AB251:AC251"/>
    <mergeCell ref="X252:Y252"/>
    <mergeCell ref="AB252:AC252"/>
    <mergeCell ref="B257:C257"/>
    <mergeCell ref="F257:G257"/>
    <mergeCell ref="I257:J257"/>
    <mergeCell ref="T257:U257"/>
    <mergeCell ref="X253:Y253"/>
    <mergeCell ref="AB253:AC253"/>
    <mergeCell ref="B251:C251"/>
    <mergeCell ref="F251:G251"/>
    <mergeCell ref="I251:J251"/>
    <mergeCell ref="T251:U251"/>
    <mergeCell ref="I252:J252"/>
    <mergeCell ref="T252:U252"/>
    <mergeCell ref="B252:C252"/>
    <mergeCell ref="F252:G252"/>
    <mergeCell ref="B253:C253"/>
    <mergeCell ref="F253:G253"/>
    <mergeCell ref="I253:J253"/>
    <mergeCell ref="T253:U253"/>
    <mergeCell ref="I256:J256"/>
    <mergeCell ref="T256:U256"/>
    <mergeCell ref="B255:C255"/>
    <mergeCell ref="F255:G255"/>
    <mergeCell ref="X254:Y254"/>
    <mergeCell ref="AB254:AC254"/>
    <mergeCell ref="X255:Y255"/>
    <mergeCell ref="AB255:AC255"/>
    <mergeCell ref="I260:J260"/>
    <mergeCell ref="T260:U260"/>
    <mergeCell ref="I255:J255"/>
    <mergeCell ref="T255:U255"/>
    <mergeCell ref="X256:Y256"/>
    <mergeCell ref="AB256:AC256"/>
    <mergeCell ref="B254:C254"/>
    <mergeCell ref="F254:G254"/>
    <mergeCell ref="I254:J254"/>
    <mergeCell ref="T254:U254"/>
    <mergeCell ref="X262:Y262"/>
    <mergeCell ref="AB262:AC262"/>
    <mergeCell ref="I261:J261"/>
    <mergeCell ref="T261:U261"/>
    <mergeCell ref="B261:C261"/>
    <mergeCell ref="F261:G261"/>
    <mergeCell ref="B262:C262"/>
    <mergeCell ref="F262:G262"/>
    <mergeCell ref="I262:J262"/>
    <mergeCell ref="T262:U262"/>
    <mergeCell ref="B260:C260"/>
    <mergeCell ref="F260:G260"/>
    <mergeCell ref="B256:C256"/>
    <mergeCell ref="F256:G256"/>
    <mergeCell ref="I258:J258"/>
    <mergeCell ref="T258:U258"/>
    <mergeCell ref="B258:C258"/>
    <mergeCell ref="F258:G258"/>
    <mergeCell ref="B264:C264"/>
    <mergeCell ref="F264:G264"/>
    <mergeCell ref="X257:Y257"/>
    <mergeCell ref="AB257:AC257"/>
    <mergeCell ref="X265:Y265"/>
    <mergeCell ref="AB265:AC265"/>
    <mergeCell ref="B263:C263"/>
    <mergeCell ref="F263:G263"/>
    <mergeCell ref="I263:J263"/>
    <mergeCell ref="T263:U263"/>
    <mergeCell ref="I264:J264"/>
    <mergeCell ref="T264:U264"/>
    <mergeCell ref="B265:C265"/>
    <mergeCell ref="F265:G265"/>
    <mergeCell ref="I265:J265"/>
    <mergeCell ref="T265:U265"/>
    <mergeCell ref="X258:Y258"/>
    <mergeCell ref="AB258:AC258"/>
    <mergeCell ref="B259:C259"/>
    <mergeCell ref="F259:G259"/>
    <mergeCell ref="X260:Y260"/>
    <mergeCell ref="AB260:AC260"/>
    <mergeCell ref="X261:Y261"/>
    <mergeCell ref="AB261:AC261"/>
    <mergeCell ref="X259:Y259"/>
    <mergeCell ref="AB259:AC259"/>
    <mergeCell ref="I259:J259"/>
    <mergeCell ref="T259:U259"/>
    <mergeCell ref="X263:Y263"/>
    <mergeCell ref="AB263:AC263"/>
    <mergeCell ref="X264:Y264"/>
    <mergeCell ref="AB264:AC264"/>
    <mergeCell ref="X273:Y273"/>
    <mergeCell ref="AB273:AC273"/>
    <mergeCell ref="X271:Y271"/>
    <mergeCell ref="AB271:AC271"/>
    <mergeCell ref="B271:C271"/>
    <mergeCell ref="F271:G271"/>
    <mergeCell ref="X269:Y269"/>
    <mergeCell ref="AB269:AC269"/>
    <mergeCell ref="I271:J271"/>
    <mergeCell ref="T271:U271"/>
    <mergeCell ref="X272:Y272"/>
    <mergeCell ref="AB272:AC272"/>
    <mergeCell ref="I273:J273"/>
    <mergeCell ref="T273:U273"/>
    <mergeCell ref="B273:C273"/>
    <mergeCell ref="F273:G273"/>
    <mergeCell ref="B272:C272"/>
    <mergeCell ref="F272:G272"/>
    <mergeCell ref="I272:J272"/>
    <mergeCell ref="T272:U272"/>
    <mergeCell ref="X270:Y270"/>
    <mergeCell ref="AB270:AC270"/>
    <mergeCell ref="X266:Y266"/>
    <mergeCell ref="AB266:AC266"/>
    <mergeCell ref="X267:Y267"/>
    <mergeCell ref="AB267:AC267"/>
    <mergeCell ref="I267:J267"/>
    <mergeCell ref="T267:U267"/>
    <mergeCell ref="B274:C274"/>
    <mergeCell ref="F274:G274"/>
    <mergeCell ref="I274:J274"/>
    <mergeCell ref="T274:U274"/>
    <mergeCell ref="X274:Y274"/>
    <mergeCell ref="AB274:AC274"/>
    <mergeCell ref="I270:J270"/>
    <mergeCell ref="T270:U270"/>
    <mergeCell ref="B270:C270"/>
    <mergeCell ref="F270:G270"/>
    <mergeCell ref="B267:C267"/>
    <mergeCell ref="F267:G267"/>
    <mergeCell ref="B266:C266"/>
    <mergeCell ref="F266:G266"/>
    <mergeCell ref="I266:J266"/>
    <mergeCell ref="T266:U266"/>
    <mergeCell ref="B268:C268"/>
    <mergeCell ref="F268:G268"/>
    <mergeCell ref="I268:J268"/>
    <mergeCell ref="T268:U268"/>
    <mergeCell ref="X268:Y268"/>
    <mergeCell ref="AB268:AC268"/>
    <mergeCell ref="B269:C269"/>
    <mergeCell ref="F269:G269"/>
    <mergeCell ref="I269:J269"/>
    <mergeCell ref="T269:U269"/>
    <mergeCell ref="X275:Y275"/>
    <mergeCell ref="AB275:AC275"/>
    <mergeCell ref="X276:Y276"/>
    <mergeCell ref="AB276:AC276"/>
    <mergeCell ref="B281:C281"/>
    <mergeCell ref="F281:G281"/>
    <mergeCell ref="I281:J281"/>
    <mergeCell ref="T281:U281"/>
    <mergeCell ref="X277:Y277"/>
    <mergeCell ref="AB277:AC277"/>
    <mergeCell ref="B275:C275"/>
    <mergeCell ref="F275:G275"/>
    <mergeCell ref="I275:J275"/>
    <mergeCell ref="T275:U275"/>
    <mergeCell ref="I276:J276"/>
    <mergeCell ref="T276:U276"/>
    <mergeCell ref="B276:C276"/>
    <mergeCell ref="F276:G276"/>
    <mergeCell ref="B277:C277"/>
    <mergeCell ref="F277:G277"/>
    <mergeCell ref="I277:J277"/>
    <mergeCell ref="T277:U277"/>
    <mergeCell ref="I280:J280"/>
    <mergeCell ref="T280:U280"/>
    <mergeCell ref="B279:C279"/>
    <mergeCell ref="F279:G279"/>
    <mergeCell ref="X278:Y278"/>
    <mergeCell ref="AB278:AC278"/>
    <mergeCell ref="X279:Y279"/>
    <mergeCell ref="AB279:AC279"/>
    <mergeCell ref="B291:C291"/>
    <mergeCell ref="F291:G291"/>
    <mergeCell ref="I284:J284"/>
    <mergeCell ref="T284:U284"/>
    <mergeCell ref="I279:J279"/>
    <mergeCell ref="T279:U279"/>
    <mergeCell ref="X280:Y280"/>
    <mergeCell ref="AB280:AC280"/>
    <mergeCell ref="B278:C278"/>
    <mergeCell ref="F278:G278"/>
    <mergeCell ref="I278:J278"/>
    <mergeCell ref="T278:U278"/>
    <mergeCell ref="X286:Y286"/>
    <mergeCell ref="AB286:AC286"/>
    <mergeCell ref="I285:J285"/>
    <mergeCell ref="T285:U285"/>
    <mergeCell ref="B285:C285"/>
    <mergeCell ref="F285:G285"/>
    <mergeCell ref="B286:C286"/>
    <mergeCell ref="F286:G286"/>
    <mergeCell ref="I286:J286"/>
    <mergeCell ref="T286:U286"/>
    <mergeCell ref="B284:C284"/>
    <mergeCell ref="F284:G284"/>
    <mergeCell ref="B280:C280"/>
    <mergeCell ref="F280:G280"/>
    <mergeCell ref="I282:J282"/>
    <mergeCell ref="T282:U282"/>
    <mergeCell ref="B282:C282"/>
    <mergeCell ref="F282:G282"/>
    <mergeCell ref="I283:J283"/>
    <mergeCell ref="T283:U283"/>
    <mergeCell ref="B288:C288"/>
    <mergeCell ref="F288:G288"/>
    <mergeCell ref="X281:Y281"/>
    <mergeCell ref="AB281:AC281"/>
    <mergeCell ref="X289:Y289"/>
    <mergeCell ref="AB289:AC289"/>
    <mergeCell ref="B287:C287"/>
    <mergeCell ref="F287:G287"/>
    <mergeCell ref="I287:J287"/>
    <mergeCell ref="T287:U287"/>
    <mergeCell ref="I288:J288"/>
    <mergeCell ref="T288:U288"/>
    <mergeCell ref="B289:C289"/>
    <mergeCell ref="F289:G289"/>
    <mergeCell ref="I289:J289"/>
    <mergeCell ref="T289:U289"/>
    <mergeCell ref="X282:Y282"/>
    <mergeCell ref="AB282:AC282"/>
    <mergeCell ref="B283:C283"/>
    <mergeCell ref="F283:G283"/>
    <mergeCell ref="X284:Y284"/>
    <mergeCell ref="AB284:AC284"/>
    <mergeCell ref="X285:Y285"/>
    <mergeCell ref="AB285:AC285"/>
    <mergeCell ref="X283:Y283"/>
    <mergeCell ref="AB283:AC283"/>
    <mergeCell ref="X287:Y287"/>
    <mergeCell ref="AB287:AC287"/>
    <mergeCell ref="X288:Y288"/>
    <mergeCell ref="AB288:AC288"/>
    <mergeCell ref="I294:J294"/>
    <mergeCell ref="T294:U294"/>
    <mergeCell ref="B294:C294"/>
    <mergeCell ref="F294:G294"/>
    <mergeCell ref="X293:Y293"/>
    <mergeCell ref="AB293:AC293"/>
    <mergeCell ref="I295:J295"/>
    <mergeCell ref="T295:U295"/>
    <mergeCell ref="X296:Y296"/>
    <mergeCell ref="AB296:AC296"/>
    <mergeCell ref="I297:J297"/>
    <mergeCell ref="T297:U297"/>
    <mergeCell ref="B297:C297"/>
    <mergeCell ref="F297:G297"/>
    <mergeCell ref="B296:C296"/>
    <mergeCell ref="F296:G296"/>
    <mergeCell ref="I296:J296"/>
    <mergeCell ref="T296:U296"/>
    <mergeCell ref="X294:Y294"/>
    <mergeCell ref="AB294:AC294"/>
    <mergeCell ref="X290:Y290"/>
    <mergeCell ref="AB290:AC290"/>
    <mergeCell ref="X291:Y291"/>
    <mergeCell ref="AB291:AC291"/>
    <mergeCell ref="I291:J291"/>
    <mergeCell ref="T291:U291"/>
    <mergeCell ref="B290:C290"/>
    <mergeCell ref="F290:G290"/>
    <mergeCell ref="I290:J290"/>
    <mergeCell ref="T290:U290"/>
    <mergeCell ref="B292:C292"/>
    <mergeCell ref="F292:G292"/>
    <mergeCell ref="B298:C298"/>
    <mergeCell ref="F298:G298"/>
    <mergeCell ref="I298:J298"/>
    <mergeCell ref="T298:U298"/>
    <mergeCell ref="X298:Y298"/>
    <mergeCell ref="AB298:AC298"/>
    <mergeCell ref="I292:J292"/>
    <mergeCell ref="T292:U292"/>
    <mergeCell ref="X292:Y292"/>
    <mergeCell ref="AB292:AC292"/>
    <mergeCell ref="B293:C293"/>
    <mergeCell ref="F293:G293"/>
    <mergeCell ref="I293:J293"/>
    <mergeCell ref="T293:U293"/>
    <mergeCell ref="X297:Y297"/>
    <mergeCell ref="AB297:AC297"/>
    <mergeCell ref="X295:Y295"/>
    <mergeCell ref="AB295:AC295"/>
    <mergeCell ref="B295:C295"/>
    <mergeCell ref="F295:G295"/>
    <mergeCell ref="X299:Y299"/>
    <mergeCell ref="AB299:AC299"/>
    <mergeCell ref="X300:Y300"/>
    <mergeCell ref="AB300:AC300"/>
    <mergeCell ref="B305:C305"/>
    <mergeCell ref="F305:G305"/>
    <mergeCell ref="I305:J305"/>
    <mergeCell ref="T305:U305"/>
    <mergeCell ref="X301:Y301"/>
    <mergeCell ref="AB301:AC301"/>
    <mergeCell ref="B299:C299"/>
    <mergeCell ref="F299:G299"/>
    <mergeCell ref="I299:J299"/>
    <mergeCell ref="T299:U299"/>
    <mergeCell ref="I300:J300"/>
    <mergeCell ref="T300:U300"/>
    <mergeCell ref="B300:C300"/>
    <mergeCell ref="F300:G300"/>
    <mergeCell ref="B301:C301"/>
    <mergeCell ref="F301:G301"/>
    <mergeCell ref="I301:J301"/>
    <mergeCell ref="T301:U301"/>
    <mergeCell ref="I304:J304"/>
    <mergeCell ref="T304:U304"/>
    <mergeCell ref="B303:C303"/>
    <mergeCell ref="F303:G303"/>
    <mergeCell ref="X302:Y302"/>
    <mergeCell ref="AB302:AC302"/>
    <mergeCell ref="X303:Y303"/>
    <mergeCell ref="AB303:AC303"/>
    <mergeCell ref="I308:J308"/>
    <mergeCell ref="T308:U308"/>
    <mergeCell ref="I303:J303"/>
    <mergeCell ref="T303:U303"/>
    <mergeCell ref="X304:Y304"/>
    <mergeCell ref="AB304:AC304"/>
    <mergeCell ref="B302:C302"/>
    <mergeCell ref="F302:G302"/>
    <mergeCell ref="I302:J302"/>
    <mergeCell ref="T302:U302"/>
    <mergeCell ref="X310:Y310"/>
    <mergeCell ref="AB310:AC310"/>
    <mergeCell ref="I309:J309"/>
    <mergeCell ref="T309:U309"/>
    <mergeCell ref="B309:C309"/>
    <mergeCell ref="F309:G309"/>
    <mergeCell ref="B310:C310"/>
    <mergeCell ref="F310:G310"/>
    <mergeCell ref="I310:J310"/>
    <mergeCell ref="T310:U310"/>
    <mergeCell ref="B308:C308"/>
    <mergeCell ref="F308:G308"/>
    <mergeCell ref="B304:C304"/>
    <mergeCell ref="F304:G304"/>
    <mergeCell ref="I306:J306"/>
    <mergeCell ref="T306:U306"/>
    <mergeCell ref="B306:C306"/>
    <mergeCell ref="F306:G306"/>
    <mergeCell ref="B312:C312"/>
    <mergeCell ref="F312:G312"/>
    <mergeCell ref="X305:Y305"/>
    <mergeCell ref="AB305:AC305"/>
    <mergeCell ref="X313:Y313"/>
    <mergeCell ref="AB313:AC313"/>
    <mergeCell ref="B311:C311"/>
    <mergeCell ref="F311:G311"/>
    <mergeCell ref="I311:J311"/>
    <mergeCell ref="T311:U311"/>
    <mergeCell ref="I312:J312"/>
    <mergeCell ref="T312:U312"/>
    <mergeCell ref="B313:C313"/>
    <mergeCell ref="F313:G313"/>
    <mergeCell ref="I313:J313"/>
    <mergeCell ref="T313:U313"/>
    <mergeCell ref="X306:Y306"/>
    <mergeCell ref="AB306:AC306"/>
    <mergeCell ref="B307:C307"/>
    <mergeCell ref="F307:G307"/>
    <mergeCell ref="X308:Y308"/>
    <mergeCell ref="AB308:AC308"/>
    <mergeCell ref="X309:Y309"/>
    <mergeCell ref="AB309:AC309"/>
    <mergeCell ref="X307:Y307"/>
    <mergeCell ref="AB307:AC307"/>
    <mergeCell ref="I307:J307"/>
    <mergeCell ref="T307:U307"/>
    <mergeCell ref="X311:Y311"/>
    <mergeCell ref="AB311:AC311"/>
    <mergeCell ref="X312:Y312"/>
    <mergeCell ref="AB312:AC312"/>
    <mergeCell ref="X321:Y321"/>
    <mergeCell ref="AB321:AC321"/>
    <mergeCell ref="X319:Y319"/>
    <mergeCell ref="AB319:AC319"/>
    <mergeCell ref="B319:C319"/>
    <mergeCell ref="F319:G319"/>
    <mergeCell ref="X317:Y317"/>
    <mergeCell ref="AB317:AC317"/>
    <mergeCell ref="I319:J319"/>
    <mergeCell ref="T319:U319"/>
    <mergeCell ref="X320:Y320"/>
    <mergeCell ref="AB320:AC320"/>
    <mergeCell ref="I321:J321"/>
    <mergeCell ref="T321:U321"/>
    <mergeCell ref="B321:C321"/>
    <mergeCell ref="F321:G321"/>
    <mergeCell ref="B320:C320"/>
    <mergeCell ref="F320:G320"/>
    <mergeCell ref="I320:J320"/>
    <mergeCell ref="T320:U320"/>
    <mergeCell ref="X318:Y318"/>
    <mergeCell ref="AB318:AC318"/>
    <mergeCell ref="X314:Y314"/>
    <mergeCell ref="AB314:AC314"/>
    <mergeCell ref="X315:Y315"/>
    <mergeCell ref="AB315:AC315"/>
    <mergeCell ref="I315:J315"/>
    <mergeCell ref="T315:U315"/>
    <mergeCell ref="B322:C322"/>
    <mergeCell ref="F322:G322"/>
    <mergeCell ref="I322:J322"/>
    <mergeCell ref="T322:U322"/>
    <mergeCell ref="X322:Y322"/>
    <mergeCell ref="AB322:AC322"/>
    <mergeCell ref="I318:J318"/>
    <mergeCell ref="T318:U318"/>
    <mergeCell ref="B318:C318"/>
    <mergeCell ref="F318:G318"/>
    <mergeCell ref="B315:C315"/>
    <mergeCell ref="F315:G315"/>
    <mergeCell ref="B314:C314"/>
    <mergeCell ref="F314:G314"/>
    <mergeCell ref="I314:J314"/>
    <mergeCell ref="T314:U314"/>
    <mergeCell ref="B316:C316"/>
    <mergeCell ref="F316:G316"/>
    <mergeCell ref="I316:J316"/>
    <mergeCell ref="T316:U316"/>
    <mergeCell ref="X316:Y316"/>
    <mergeCell ref="AB316:AC316"/>
    <mergeCell ref="B317:C317"/>
    <mergeCell ref="F317:G317"/>
    <mergeCell ref="I317:J317"/>
    <mergeCell ref="T317:U317"/>
    <mergeCell ref="X323:Y323"/>
    <mergeCell ref="AB323:AC323"/>
    <mergeCell ref="X324:Y324"/>
    <mergeCell ref="AB324:AC324"/>
    <mergeCell ref="B328:C328"/>
    <mergeCell ref="F328:G328"/>
    <mergeCell ref="I328:J328"/>
    <mergeCell ref="T328:U328"/>
    <mergeCell ref="AB327:AC327"/>
    <mergeCell ref="B326:C326"/>
    <mergeCell ref="X325:Y325"/>
    <mergeCell ref="AB325:AC325"/>
    <mergeCell ref="B323:C323"/>
    <mergeCell ref="F323:G323"/>
    <mergeCell ref="I323:J323"/>
    <mergeCell ref="T323:U323"/>
    <mergeCell ref="I324:J324"/>
    <mergeCell ref="T324:U324"/>
    <mergeCell ref="B324:C324"/>
    <mergeCell ref="F324:G324"/>
    <mergeCell ref="B325:C325"/>
    <mergeCell ref="F325:G325"/>
    <mergeCell ref="I325:J325"/>
    <mergeCell ref="T325:U325"/>
    <mergeCell ref="X330:Y330"/>
    <mergeCell ref="AB330:AC330"/>
    <mergeCell ref="X326:Y326"/>
    <mergeCell ref="AB326:AC326"/>
    <mergeCell ref="X327:Y327"/>
    <mergeCell ref="I329:J329"/>
    <mergeCell ref="AB332:AC332"/>
    <mergeCell ref="B331:C331"/>
    <mergeCell ref="F331:G331"/>
    <mergeCell ref="I331:J331"/>
    <mergeCell ref="T331:U331"/>
    <mergeCell ref="X331:Y331"/>
    <mergeCell ref="F326:G326"/>
    <mergeCell ref="I326:J326"/>
    <mergeCell ref="T326:U326"/>
    <mergeCell ref="I327:J327"/>
    <mergeCell ref="T327:U327"/>
    <mergeCell ref="B327:C327"/>
    <mergeCell ref="F327:G327"/>
    <mergeCell ref="X329:Y329"/>
    <mergeCell ref="T330:U330"/>
    <mergeCell ref="B330:C330"/>
    <mergeCell ref="F330:G330"/>
    <mergeCell ref="X328:Y328"/>
    <mergeCell ref="AB328:AC328"/>
    <mergeCell ref="B329:C329"/>
    <mergeCell ref="F329:G329"/>
    <mergeCell ref="AB329:AC329"/>
    <mergeCell ref="I330:J330"/>
    <mergeCell ref="T329:U329"/>
    <mergeCell ref="AB333:AC333"/>
    <mergeCell ref="B332:C332"/>
    <mergeCell ref="F332:G332"/>
    <mergeCell ref="I332:J332"/>
    <mergeCell ref="T332:U332"/>
    <mergeCell ref="X332:Y332"/>
    <mergeCell ref="T333:U333"/>
    <mergeCell ref="X333:Y333"/>
    <mergeCell ref="AB331:AC331"/>
    <mergeCell ref="B334:C334"/>
    <mergeCell ref="F334:G334"/>
    <mergeCell ref="I334:J334"/>
    <mergeCell ref="T334:U334"/>
    <mergeCell ref="V334:AA334"/>
    <mergeCell ref="B333:C333"/>
    <mergeCell ref="F333:G333"/>
    <mergeCell ref="I333:J333"/>
  </mergeCells>
  <phoneticPr fontId="81" type="noConversion"/>
  <pageMargins left="0.19685039370078741" right="0.19685039370078741" top="0.19685039370078741" bottom="0.19685039370078741" header="0.5" footer="0.5"/>
  <pageSetup paperSize="0" orientation="landscape" horizontalDpi="0" verticalDpi="0"/>
  <headerFooter alignWithMargins="0">
    <oddFooter xml:space="preserve">&amp;L&amp;"Arial"&amp;6 Fecha de Imp.: 26/05/2009 Hora: 06:15:18 p.m. &amp;C&amp;R&amp;"Arial"&amp;6 Página: &amp;P </oddFooter>
  </headerFooter>
  <drawing r:id="rId1"/>
</worksheet>
</file>

<file path=xl/worksheets/sheet15.xml><?xml version="1.0" encoding="utf-8"?>
<worksheet xmlns="http://schemas.openxmlformats.org/spreadsheetml/2006/main" xmlns:r="http://schemas.openxmlformats.org/officeDocument/2006/relationships">
  <sheetPr codeName="Hoja12">
    <outlinePr summaryBelow="0" summaryRight="0"/>
  </sheetPr>
  <dimension ref="A1:AD461"/>
  <sheetViews>
    <sheetView showGridLines="0" workbookViewId="0">
      <pane xSplit="4" ySplit="16" topLeftCell="E17" activePane="bottomRight" state="frozen"/>
      <selection pane="topRight" activeCell="E1" sqref="E1"/>
      <selection pane="bottomLeft" activeCell="A17" sqref="A17"/>
      <selection pane="bottomRight"/>
    </sheetView>
  </sheetViews>
  <sheetFormatPr baseColWidth="10" defaultColWidth="9.109375" defaultRowHeight="13.2"/>
  <cols>
    <col min="1" max="1" width="0.109375" style="243" customWidth="1"/>
    <col min="2" max="2" width="0.88671875" style="243" customWidth="1"/>
    <col min="3" max="3" width="8.33203125" style="243" customWidth="1"/>
    <col min="4" max="4" width="0.44140625" style="243" customWidth="1"/>
    <col min="5" max="5" width="9.109375" style="243"/>
    <col min="6" max="6" width="1" style="243" customWidth="1"/>
    <col min="7" max="7" width="6" style="243" customWidth="1"/>
    <col min="8" max="8" width="9.109375" style="243"/>
    <col min="9" max="9" width="2.6640625" style="243" customWidth="1"/>
    <col min="10" max="10" width="4.33203125" style="243" customWidth="1"/>
    <col min="11" max="11" width="12.6640625" style="243" customWidth="1"/>
    <col min="12" max="12" width="11.88671875" style="243" bestFit="1" customWidth="1"/>
    <col min="13" max="13" width="9.109375" style="243"/>
    <col min="14" max="14" width="7.109375" style="243" customWidth="1"/>
    <col min="15" max="15" width="7" style="243" customWidth="1"/>
    <col min="16" max="16" width="0.44140625" style="243" customWidth="1"/>
    <col min="17" max="17" width="8.109375" style="243" customWidth="1"/>
    <col min="18" max="18" width="7" style="243" customWidth="1"/>
    <col min="19" max="19" width="8.109375" style="243" customWidth="1"/>
    <col min="20" max="20" width="2.5546875" style="243" customWidth="1"/>
    <col min="21" max="21" width="4.44140625" style="243" customWidth="1"/>
    <col min="22" max="22" width="7" style="243" customWidth="1"/>
    <col min="23" max="23" width="0.44140625" style="243" customWidth="1"/>
    <col min="24" max="24" width="5.6640625" style="243" customWidth="1"/>
    <col min="25" max="25" width="1.33203125" style="243" customWidth="1"/>
    <col min="26" max="26" width="0.44140625" style="243" customWidth="1"/>
    <col min="27" max="28" width="8.5546875" style="243" customWidth="1"/>
    <col min="29" max="29" width="0.109375" style="243" customWidth="1"/>
    <col min="30" max="30" width="0.44140625" style="243" customWidth="1"/>
    <col min="31" max="16384" width="9.109375" style="243"/>
  </cols>
  <sheetData>
    <row r="1" spans="1:30" ht="3" customHeight="1">
      <c r="A1" s="242"/>
      <c r="B1" s="242"/>
      <c r="C1" s="242"/>
      <c r="D1" s="242"/>
      <c r="E1" s="242"/>
      <c r="F1" s="242"/>
      <c r="G1" s="242"/>
      <c r="H1" s="242"/>
      <c r="I1" s="242"/>
      <c r="J1" s="242"/>
      <c r="K1" s="242"/>
      <c r="L1" s="242"/>
      <c r="M1" s="242"/>
      <c r="N1" s="242"/>
      <c r="O1" s="242"/>
      <c r="P1" s="242"/>
      <c r="Q1" s="242"/>
      <c r="R1" s="242"/>
      <c r="S1" s="242"/>
      <c r="T1" s="242"/>
      <c r="U1" s="242"/>
      <c r="V1" s="242"/>
      <c r="W1" s="242"/>
      <c r="X1" s="242"/>
      <c r="Y1" s="242"/>
      <c r="Z1" s="242"/>
      <c r="AA1" s="242"/>
      <c r="AB1" s="242"/>
      <c r="AC1" s="242"/>
      <c r="AD1" s="242"/>
    </row>
    <row r="2" spans="1:30" ht="1.2" customHeight="1">
      <c r="A2" s="242"/>
      <c r="B2" s="244"/>
      <c r="C2" s="568"/>
      <c r="D2" s="568"/>
      <c r="E2" s="568"/>
      <c r="F2" s="568"/>
      <c r="G2" s="244"/>
      <c r="H2" s="244"/>
      <c r="I2" s="244"/>
      <c r="J2" s="244"/>
      <c r="K2" s="244"/>
      <c r="L2" s="244"/>
      <c r="M2" s="244"/>
      <c r="N2" s="244"/>
      <c r="O2" s="244"/>
      <c r="P2" s="244"/>
      <c r="Q2" s="244"/>
      <c r="R2" s="244"/>
      <c r="S2" s="244"/>
      <c r="T2" s="244"/>
      <c r="U2" s="244"/>
      <c r="V2" s="244"/>
      <c r="W2" s="244"/>
      <c r="X2" s="244"/>
      <c r="Y2" s="244"/>
      <c r="Z2" s="244"/>
      <c r="AA2" s="244"/>
      <c r="AB2" s="242"/>
      <c r="AC2" s="244"/>
      <c r="AD2" s="242"/>
    </row>
    <row r="3" spans="1:30" ht="2.85" customHeight="1">
      <c r="A3" s="242"/>
      <c r="B3" s="244"/>
      <c r="C3" s="568"/>
      <c r="D3" s="568"/>
      <c r="E3" s="568"/>
      <c r="F3" s="568"/>
      <c r="G3" s="244"/>
      <c r="H3" s="244"/>
      <c r="I3" s="244"/>
      <c r="J3" s="244"/>
      <c r="K3" s="244"/>
      <c r="L3" s="244"/>
      <c r="M3" s="244"/>
      <c r="N3" s="244"/>
      <c r="O3" s="244"/>
      <c r="P3" s="244"/>
      <c r="Q3" s="244"/>
      <c r="R3" s="244"/>
      <c r="S3" s="244"/>
      <c r="T3" s="244"/>
      <c r="U3" s="244"/>
      <c r="V3" s="244"/>
      <c r="W3" s="244"/>
      <c r="X3" s="244"/>
      <c r="Y3" s="568"/>
      <c r="Z3" s="568"/>
      <c r="AA3" s="568"/>
      <c r="AB3" s="568"/>
      <c r="AC3" s="244"/>
      <c r="AD3" s="242"/>
    </row>
    <row r="4" spans="1:30" ht="14.1" customHeight="1">
      <c r="A4" s="242"/>
      <c r="B4" s="244"/>
      <c r="C4" s="568"/>
      <c r="D4" s="568"/>
      <c r="E4" s="568"/>
      <c r="F4" s="568"/>
      <c r="G4" s="244"/>
      <c r="H4" s="244"/>
      <c r="I4" s="244"/>
      <c r="J4" s="538" t="s">
        <v>386</v>
      </c>
      <c r="K4" s="538"/>
      <c r="L4" s="538"/>
      <c r="M4" s="538"/>
      <c r="N4" s="538"/>
      <c r="O4" s="538"/>
      <c r="P4" s="538"/>
      <c r="Q4" s="538"/>
      <c r="R4" s="538"/>
      <c r="S4" s="538"/>
      <c r="T4" s="538"/>
      <c r="U4" s="244"/>
      <c r="V4" s="244"/>
      <c r="W4" s="244"/>
      <c r="X4" s="244"/>
      <c r="Y4" s="568"/>
      <c r="Z4" s="568"/>
      <c r="AA4" s="568"/>
      <c r="AB4" s="568"/>
      <c r="AC4" s="244"/>
      <c r="AD4" s="242"/>
    </row>
    <row r="5" spans="1:30" ht="14.1" customHeight="1">
      <c r="A5" s="242"/>
      <c r="B5" s="244"/>
      <c r="C5" s="568"/>
      <c r="D5" s="568"/>
      <c r="E5" s="568"/>
      <c r="F5" s="568"/>
      <c r="G5" s="244"/>
      <c r="H5" s="244"/>
      <c r="I5" s="244"/>
      <c r="J5" s="538" t="s">
        <v>387</v>
      </c>
      <c r="K5" s="538"/>
      <c r="L5" s="538"/>
      <c r="M5" s="538"/>
      <c r="N5" s="538"/>
      <c r="O5" s="538"/>
      <c r="P5" s="538"/>
      <c r="Q5" s="538"/>
      <c r="R5" s="538"/>
      <c r="S5" s="538"/>
      <c r="T5" s="538"/>
      <c r="U5" s="244"/>
      <c r="V5" s="244"/>
      <c r="W5" s="244"/>
      <c r="X5" s="244"/>
      <c r="Y5" s="568"/>
      <c r="Z5" s="568"/>
      <c r="AA5" s="568"/>
      <c r="AB5" s="568"/>
      <c r="AC5" s="244"/>
      <c r="AD5" s="242"/>
    </row>
    <row r="6" spans="1:30" ht="14.25" customHeight="1">
      <c r="A6" s="242"/>
      <c r="B6" s="244"/>
      <c r="C6" s="568"/>
      <c r="D6" s="568"/>
      <c r="E6" s="568"/>
      <c r="F6" s="568"/>
      <c r="G6" s="244"/>
      <c r="H6" s="244"/>
      <c r="I6" s="244"/>
      <c r="J6" s="538" t="s">
        <v>388</v>
      </c>
      <c r="K6" s="538"/>
      <c r="L6" s="538"/>
      <c r="M6" s="538"/>
      <c r="N6" s="538"/>
      <c r="O6" s="538"/>
      <c r="P6" s="538"/>
      <c r="Q6" s="538"/>
      <c r="R6" s="538"/>
      <c r="S6" s="538"/>
      <c r="T6" s="538"/>
      <c r="U6" s="244"/>
      <c r="V6" s="244"/>
      <c r="W6" s="244"/>
      <c r="X6" s="244"/>
      <c r="Y6" s="568"/>
      <c r="Z6" s="568"/>
      <c r="AA6" s="568"/>
      <c r="AB6" s="568"/>
      <c r="AC6" s="244"/>
      <c r="AD6" s="242"/>
    </row>
    <row r="7" spans="1:30" ht="10.199999999999999" customHeight="1">
      <c r="A7" s="242"/>
      <c r="B7" s="244"/>
      <c r="C7" s="568"/>
      <c r="D7" s="568"/>
      <c r="E7" s="568"/>
      <c r="F7" s="568"/>
      <c r="G7" s="244"/>
      <c r="H7" s="244"/>
      <c r="I7" s="244"/>
      <c r="J7" s="244"/>
      <c r="K7" s="244"/>
      <c r="L7" s="244"/>
      <c r="M7" s="244"/>
      <c r="N7" s="244"/>
      <c r="O7" s="244"/>
      <c r="P7" s="244"/>
      <c r="Q7" s="244"/>
      <c r="R7" s="244"/>
      <c r="S7" s="244"/>
      <c r="T7" s="244"/>
      <c r="U7" s="244"/>
      <c r="V7" s="244"/>
      <c r="W7" s="244"/>
      <c r="X7" s="244"/>
      <c r="Y7" s="568"/>
      <c r="Z7" s="568"/>
      <c r="AA7" s="568"/>
      <c r="AB7" s="568"/>
      <c r="AC7" s="244"/>
      <c r="AD7" s="242"/>
    </row>
    <row r="8" spans="1:30" ht="1.2" customHeight="1">
      <c r="A8" s="242"/>
      <c r="B8" s="244"/>
      <c r="C8" s="244"/>
      <c r="D8" s="244"/>
      <c r="E8" s="244"/>
      <c r="F8" s="244"/>
      <c r="G8" s="244"/>
      <c r="H8" s="244"/>
      <c r="I8" s="244"/>
      <c r="J8" s="244"/>
      <c r="K8" s="244"/>
      <c r="L8" s="244"/>
      <c r="M8" s="244"/>
      <c r="N8" s="244"/>
      <c r="O8" s="244"/>
      <c r="P8" s="244"/>
      <c r="Q8" s="244"/>
      <c r="R8" s="244"/>
      <c r="S8" s="244"/>
      <c r="T8" s="244"/>
      <c r="U8" s="244"/>
      <c r="V8" s="244"/>
      <c r="W8" s="244"/>
      <c r="X8" s="244"/>
      <c r="Y8" s="568"/>
      <c r="Z8" s="568"/>
      <c r="AA8" s="568"/>
      <c r="AB8" s="568"/>
      <c r="AC8" s="244"/>
      <c r="AD8" s="242"/>
    </row>
    <row r="9" spans="1:30" ht="3" customHeight="1" thickBot="1">
      <c r="A9" s="242"/>
      <c r="B9" s="244"/>
      <c r="C9" s="244"/>
      <c r="D9" s="244"/>
      <c r="E9" s="244"/>
      <c r="F9" s="244"/>
      <c r="G9" s="244"/>
      <c r="H9" s="244"/>
      <c r="I9" s="244"/>
      <c r="J9" s="244"/>
      <c r="K9" s="244"/>
      <c r="L9" s="244"/>
      <c r="M9" s="244"/>
      <c r="N9" s="244"/>
      <c r="O9" s="244"/>
      <c r="P9" s="244"/>
      <c r="Q9" s="244"/>
      <c r="R9" s="244"/>
      <c r="S9" s="244"/>
      <c r="T9" s="244"/>
      <c r="U9" s="244"/>
      <c r="V9" s="244"/>
      <c r="W9" s="244"/>
      <c r="X9" s="244"/>
      <c r="Y9" s="244"/>
      <c r="Z9" s="244"/>
      <c r="AA9" s="244"/>
      <c r="AB9" s="242"/>
      <c r="AC9" s="244"/>
      <c r="AD9" s="242"/>
    </row>
    <row r="10" spans="1:30" ht="0.9" customHeight="1">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s="569"/>
      <c r="AC10" s="244"/>
      <c r="AD10" s="242"/>
    </row>
    <row r="11" spans="1:30" ht="6" customHeight="1">
      <c r="A11" s="242"/>
      <c r="B11" s="242"/>
      <c r="C11" s="242"/>
      <c r="D11" s="242"/>
      <c r="E11" s="242"/>
      <c r="F11" s="242"/>
      <c r="G11" s="242"/>
      <c r="H11" s="242"/>
      <c r="I11" s="242"/>
      <c r="J11" s="242"/>
      <c r="K11" s="242"/>
      <c r="L11" s="242"/>
      <c r="M11" s="242"/>
      <c r="N11" s="242"/>
      <c r="O11" s="242"/>
      <c r="P11" s="242"/>
      <c r="Q11" s="242"/>
      <c r="R11" s="242"/>
      <c r="S11" s="242"/>
      <c r="T11" s="242"/>
      <c r="U11" s="242"/>
      <c r="V11" s="242"/>
      <c r="W11" s="242"/>
      <c r="X11" s="242"/>
      <c r="Y11" s="242"/>
      <c r="Z11" s="242"/>
      <c r="AA11" s="242"/>
      <c r="AB11" s="242"/>
      <c r="AC11" s="242"/>
      <c r="AD11" s="242"/>
    </row>
    <row r="12" spans="1:30" ht="14.1" customHeight="1">
      <c r="A12" s="242"/>
      <c r="B12" s="242"/>
      <c r="C12" s="242"/>
      <c r="D12" s="242"/>
      <c r="E12" s="242"/>
      <c r="F12" s="242"/>
      <c r="G12" s="242"/>
      <c r="H12" s="242"/>
      <c r="I12" s="242"/>
      <c r="J12" s="242"/>
      <c r="K12" s="242"/>
      <c r="L12" s="242"/>
      <c r="M12" s="242"/>
      <c r="N12" s="242"/>
      <c r="O12" s="242"/>
      <c r="P12" s="242"/>
      <c r="Q12" s="242"/>
      <c r="R12" s="242"/>
      <c r="S12" s="242"/>
      <c r="T12" s="242"/>
      <c r="U12" s="242"/>
      <c r="V12" s="242"/>
      <c r="W12" s="242"/>
      <c r="X12" s="242"/>
      <c r="Y12" s="242"/>
      <c r="Z12" s="242"/>
      <c r="AA12" s="242"/>
      <c r="AB12" s="242"/>
      <c r="AC12" s="242"/>
      <c r="AD12" s="242"/>
    </row>
    <row r="13" spans="1:30">
      <c r="A13" s="242"/>
      <c r="B13" s="573"/>
      <c r="C13" s="573"/>
      <c r="D13" s="245"/>
      <c r="E13" s="570" t="s">
        <v>392</v>
      </c>
      <c r="F13" s="570"/>
      <c r="G13" s="570"/>
      <c r="H13" s="570"/>
      <c r="I13" s="570"/>
      <c r="J13" s="570"/>
      <c r="K13" s="570"/>
      <c r="L13" s="570"/>
      <c r="M13" s="570"/>
      <c r="N13" s="570"/>
      <c r="O13" s="570"/>
      <c r="P13" s="246"/>
      <c r="Q13" s="570" t="s">
        <v>403</v>
      </c>
      <c r="R13" s="570"/>
      <c r="S13" s="570"/>
      <c r="T13" s="570"/>
      <c r="U13" s="570"/>
      <c r="V13" s="570"/>
      <c r="W13" s="246"/>
      <c r="X13" s="571"/>
      <c r="Y13" s="571"/>
      <c r="Z13" s="246"/>
      <c r="AA13" s="570" t="s">
        <v>395</v>
      </c>
      <c r="AB13" s="570"/>
      <c r="AC13" s="570"/>
      <c r="AD13" s="242"/>
    </row>
    <row r="14" spans="1:30">
      <c r="A14" s="242"/>
      <c r="B14" s="548"/>
      <c r="C14" s="548"/>
      <c r="D14" s="247"/>
      <c r="E14" s="553" t="s">
        <v>136</v>
      </c>
      <c r="F14" s="553"/>
      <c r="G14" s="553"/>
      <c r="H14" s="553" t="s">
        <v>137</v>
      </c>
      <c r="I14" s="553"/>
      <c r="J14" s="553"/>
      <c r="K14" s="553" t="s">
        <v>138</v>
      </c>
      <c r="L14" s="553"/>
      <c r="M14" s="553" t="s">
        <v>139</v>
      </c>
      <c r="N14" s="553"/>
      <c r="O14" s="248"/>
      <c r="P14" s="249"/>
      <c r="Q14" s="553" t="s">
        <v>140</v>
      </c>
      <c r="R14" s="553"/>
      <c r="S14" s="553" t="s">
        <v>141</v>
      </c>
      <c r="T14" s="553"/>
      <c r="U14" s="553"/>
      <c r="V14" s="248"/>
      <c r="W14" s="249"/>
      <c r="X14" s="572"/>
      <c r="Y14" s="572"/>
      <c r="Z14" s="249"/>
      <c r="AA14" s="248"/>
      <c r="AB14" s="572"/>
      <c r="AC14" s="572"/>
      <c r="AD14" s="242"/>
    </row>
    <row r="15" spans="1:30" ht="21.6">
      <c r="A15" s="242"/>
      <c r="B15" s="553" t="s">
        <v>401</v>
      </c>
      <c r="C15" s="553"/>
      <c r="D15" s="250"/>
      <c r="E15" s="251" t="s">
        <v>389</v>
      </c>
      <c r="F15" s="553" t="s">
        <v>404</v>
      </c>
      <c r="G15" s="553"/>
      <c r="H15" s="251" t="s">
        <v>389</v>
      </c>
      <c r="I15" s="553" t="s">
        <v>404</v>
      </c>
      <c r="J15" s="553"/>
      <c r="K15" s="251" t="s">
        <v>389</v>
      </c>
      <c r="L15" s="251" t="s">
        <v>404</v>
      </c>
      <c r="M15" s="251" t="s">
        <v>389</v>
      </c>
      <c r="N15" s="251" t="s">
        <v>404</v>
      </c>
      <c r="O15" s="251" t="s">
        <v>142</v>
      </c>
      <c r="P15" s="250"/>
      <c r="Q15" s="251" t="s">
        <v>390</v>
      </c>
      <c r="R15" s="251" t="s">
        <v>404</v>
      </c>
      <c r="S15" s="251" t="s">
        <v>390</v>
      </c>
      <c r="T15" s="553" t="s">
        <v>404</v>
      </c>
      <c r="U15" s="553"/>
      <c r="V15" s="251" t="s">
        <v>143</v>
      </c>
      <c r="W15" s="250"/>
      <c r="X15" s="567" t="s">
        <v>402</v>
      </c>
      <c r="Y15" s="567"/>
      <c r="Z15" s="250"/>
      <c r="AA15" s="251" t="s">
        <v>144</v>
      </c>
      <c r="AB15" s="553" t="s">
        <v>394</v>
      </c>
      <c r="AC15" s="553"/>
      <c r="AD15" s="242"/>
    </row>
    <row r="16" spans="1:30">
      <c r="A16" s="242"/>
      <c r="B16" s="559"/>
      <c r="C16" s="559"/>
      <c r="D16" s="247"/>
      <c r="E16" s="250"/>
      <c r="F16" s="554"/>
      <c r="G16" s="554"/>
      <c r="H16" s="250"/>
      <c r="I16" s="554"/>
      <c r="J16" s="554"/>
      <c r="K16" s="250"/>
      <c r="L16" s="250"/>
      <c r="M16" s="250"/>
      <c r="N16" s="250"/>
      <c r="O16" s="250"/>
      <c r="P16" s="250"/>
      <c r="Q16" s="250"/>
      <c r="R16" s="250"/>
      <c r="S16" s="250"/>
      <c r="T16" s="554"/>
      <c r="U16" s="554"/>
      <c r="V16" s="250"/>
      <c r="W16" s="250"/>
      <c r="X16" s="554"/>
      <c r="Y16" s="554"/>
      <c r="Z16" s="250"/>
      <c r="AA16" s="250"/>
      <c r="AB16" s="554"/>
      <c r="AC16" s="554"/>
      <c r="AD16" s="242"/>
    </row>
    <row r="17" spans="1:30">
      <c r="A17" s="242"/>
      <c r="B17" s="563">
        <v>39600</v>
      </c>
      <c r="C17" s="563"/>
      <c r="D17" s="247"/>
      <c r="E17" s="252">
        <v>137</v>
      </c>
      <c r="F17" s="564">
        <v>24</v>
      </c>
      <c r="G17" s="564"/>
      <c r="H17" s="252">
        <v>0</v>
      </c>
      <c r="I17" s="564">
        <v>0</v>
      </c>
      <c r="J17" s="564"/>
      <c r="K17" s="252">
        <v>0</v>
      </c>
      <c r="L17" s="253">
        <v>0</v>
      </c>
      <c r="M17" s="252">
        <v>330</v>
      </c>
      <c r="N17" s="253">
        <v>24</v>
      </c>
      <c r="O17" s="254">
        <v>467</v>
      </c>
      <c r="P17" s="250"/>
      <c r="Q17" s="252">
        <v>171</v>
      </c>
      <c r="R17" s="253">
        <v>24</v>
      </c>
      <c r="S17" s="252">
        <v>0</v>
      </c>
      <c r="T17" s="564">
        <v>0</v>
      </c>
      <c r="U17" s="564"/>
      <c r="V17" s="252">
        <v>171</v>
      </c>
      <c r="W17" s="250"/>
      <c r="X17" s="561">
        <v>638</v>
      </c>
      <c r="Y17" s="561"/>
      <c r="Z17" s="250"/>
      <c r="AA17" s="266">
        <v>6921300</v>
      </c>
      <c r="AB17" s="566"/>
      <c r="AC17" s="566"/>
      <c r="AD17" s="242"/>
    </row>
    <row r="18" spans="1:30">
      <c r="A18" s="242"/>
      <c r="B18" s="559"/>
      <c r="C18" s="559"/>
      <c r="D18" s="247"/>
      <c r="E18" s="250"/>
      <c r="F18" s="554"/>
      <c r="G18" s="554"/>
      <c r="H18" s="250"/>
      <c r="I18" s="554"/>
      <c r="J18" s="554"/>
      <c r="K18" s="250"/>
      <c r="L18" s="250"/>
      <c r="M18" s="250"/>
      <c r="N18" s="250"/>
      <c r="O18" s="250"/>
      <c r="P18" s="250"/>
      <c r="Q18" s="250"/>
      <c r="R18" s="250"/>
      <c r="S18" s="250"/>
      <c r="T18" s="554"/>
      <c r="U18" s="554"/>
      <c r="V18" s="250"/>
      <c r="W18" s="250"/>
      <c r="X18" s="554"/>
      <c r="Y18" s="554"/>
      <c r="Z18" s="250"/>
      <c r="AA18" s="250"/>
      <c r="AB18" s="554"/>
      <c r="AC18" s="554"/>
      <c r="AD18" s="242"/>
    </row>
    <row r="19" spans="1:30">
      <c r="A19" s="242"/>
      <c r="B19" s="558">
        <v>39601</v>
      </c>
      <c r="C19" s="558"/>
      <c r="D19" s="247"/>
      <c r="E19" s="256">
        <v>129.80000000000001</v>
      </c>
      <c r="F19" s="557">
        <v>24</v>
      </c>
      <c r="G19" s="557"/>
      <c r="H19" s="256">
        <v>0</v>
      </c>
      <c r="I19" s="557">
        <v>0</v>
      </c>
      <c r="J19" s="557"/>
      <c r="K19" s="256">
        <v>0</v>
      </c>
      <c r="L19" s="257">
        <v>0</v>
      </c>
      <c r="M19" s="256">
        <v>409</v>
      </c>
      <c r="N19" s="257">
        <v>24</v>
      </c>
      <c r="O19" s="258">
        <v>538.79999999999995</v>
      </c>
      <c r="P19" s="250"/>
      <c r="Q19" s="256">
        <v>170</v>
      </c>
      <c r="R19" s="257">
        <v>24</v>
      </c>
      <c r="S19" s="256">
        <v>0</v>
      </c>
      <c r="T19" s="557">
        <v>0</v>
      </c>
      <c r="U19" s="557"/>
      <c r="V19" s="256">
        <v>170</v>
      </c>
      <c r="W19" s="250"/>
      <c r="X19" s="556">
        <v>708.8</v>
      </c>
      <c r="Y19" s="556"/>
      <c r="Z19" s="250"/>
      <c r="AA19" s="267">
        <v>7443100</v>
      </c>
      <c r="AB19" s="565"/>
      <c r="AC19" s="565"/>
      <c r="AD19" s="242"/>
    </row>
    <row r="20" spans="1:30">
      <c r="A20" s="242"/>
      <c r="B20" s="559"/>
      <c r="C20" s="559"/>
      <c r="D20" s="247"/>
      <c r="E20" s="250"/>
      <c r="F20" s="554"/>
      <c r="G20" s="554"/>
      <c r="H20" s="250"/>
      <c r="I20" s="554"/>
      <c r="J20" s="554"/>
      <c r="K20" s="250"/>
      <c r="L20" s="250"/>
      <c r="M20" s="250"/>
      <c r="N20" s="250"/>
      <c r="O20" s="250"/>
      <c r="P20" s="250"/>
      <c r="Q20" s="250"/>
      <c r="R20" s="250"/>
      <c r="S20" s="250"/>
      <c r="T20" s="554"/>
      <c r="U20" s="554"/>
      <c r="V20" s="250"/>
      <c r="W20" s="250"/>
      <c r="X20" s="554"/>
      <c r="Y20" s="554"/>
      <c r="Z20" s="250"/>
      <c r="AA20" s="250"/>
      <c r="AB20" s="554"/>
      <c r="AC20" s="554"/>
      <c r="AD20" s="242"/>
    </row>
    <row r="21" spans="1:30">
      <c r="A21" s="242"/>
      <c r="B21" s="563">
        <v>39602</v>
      </c>
      <c r="C21" s="563"/>
      <c r="D21" s="247"/>
      <c r="E21" s="252">
        <v>139</v>
      </c>
      <c r="F21" s="564">
        <v>24</v>
      </c>
      <c r="G21" s="564"/>
      <c r="H21" s="252">
        <v>0</v>
      </c>
      <c r="I21" s="564">
        <v>0</v>
      </c>
      <c r="J21" s="564"/>
      <c r="K21" s="252">
        <v>0</v>
      </c>
      <c r="L21" s="253">
        <v>0</v>
      </c>
      <c r="M21" s="252">
        <v>360</v>
      </c>
      <c r="N21" s="253">
        <v>24</v>
      </c>
      <c r="O21" s="254">
        <v>499</v>
      </c>
      <c r="P21" s="250"/>
      <c r="Q21" s="252">
        <v>141</v>
      </c>
      <c r="R21" s="253">
        <v>24</v>
      </c>
      <c r="S21" s="252">
        <v>0</v>
      </c>
      <c r="T21" s="564">
        <v>0</v>
      </c>
      <c r="U21" s="564"/>
      <c r="V21" s="252">
        <v>141</v>
      </c>
      <c r="W21" s="250"/>
      <c r="X21" s="561">
        <v>640</v>
      </c>
      <c r="Y21" s="561"/>
      <c r="Z21" s="250"/>
      <c r="AA21" s="266">
        <v>7177600</v>
      </c>
      <c r="AB21" s="566">
        <v>0</v>
      </c>
      <c r="AC21" s="566"/>
      <c r="AD21" s="242"/>
    </row>
    <row r="22" spans="1:30">
      <c r="A22" s="242"/>
      <c r="B22" s="559"/>
      <c r="C22" s="559"/>
      <c r="D22" s="247"/>
      <c r="E22" s="250"/>
      <c r="F22" s="554"/>
      <c r="G22" s="554"/>
      <c r="H22" s="250"/>
      <c r="I22" s="554"/>
      <c r="J22" s="554"/>
      <c r="K22" s="250"/>
      <c r="L22" s="250"/>
      <c r="M22" s="250"/>
      <c r="N22" s="250"/>
      <c r="O22" s="250"/>
      <c r="P22" s="250"/>
      <c r="Q22" s="250"/>
      <c r="R22" s="250"/>
      <c r="S22" s="250"/>
      <c r="T22" s="554"/>
      <c r="U22" s="554"/>
      <c r="V22" s="250"/>
      <c r="W22" s="250"/>
      <c r="X22" s="554"/>
      <c r="Y22" s="554"/>
      <c r="Z22" s="250"/>
      <c r="AA22" s="250"/>
      <c r="AB22" s="554"/>
      <c r="AC22" s="554"/>
      <c r="AD22" s="242"/>
    </row>
    <row r="23" spans="1:30">
      <c r="A23" s="242"/>
      <c r="B23" s="558">
        <v>39603</v>
      </c>
      <c r="C23" s="558"/>
      <c r="D23" s="247"/>
      <c r="E23" s="256">
        <v>191.7</v>
      </c>
      <c r="F23" s="557">
        <v>24</v>
      </c>
      <c r="G23" s="557"/>
      <c r="H23" s="256"/>
      <c r="I23" s="557"/>
      <c r="J23" s="557"/>
      <c r="K23" s="256"/>
      <c r="L23" s="257"/>
      <c r="M23" s="256">
        <v>414</v>
      </c>
      <c r="N23" s="257">
        <v>24</v>
      </c>
      <c r="O23" s="258">
        <v>605.70000000000005</v>
      </c>
      <c r="P23" s="250"/>
      <c r="Q23" s="256">
        <v>120</v>
      </c>
      <c r="R23" s="257">
        <v>24</v>
      </c>
      <c r="S23" s="256"/>
      <c r="T23" s="557"/>
      <c r="U23" s="557"/>
      <c r="V23" s="256">
        <v>120</v>
      </c>
      <c r="W23" s="250"/>
      <c r="X23" s="556">
        <v>725.7</v>
      </c>
      <c r="Y23" s="556"/>
      <c r="Z23" s="250"/>
      <c r="AA23" s="267">
        <v>7975600</v>
      </c>
      <c r="AB23" s="565"/>
      <c r="AC23" s="565"/>
      <c r="AD23" s="242"/>
    </row>
    <row r="24" spans="1:30">
      <c r="A24" s="242"/>
      <c r="B24" s="559"/>
      <c r="C24" s="559"/>
      <c r="D24" s="247"/>
      <c r="E24" s="250"/>
      <c r="F24" s="554"/>
      <c r="G24" s="554"/>
      <c r="H24" s="250"/>
      <c r="I24" s="554"/>
      <c r="J24" s="554"/>
      <c r="K24" s="250"/>
      <c r="L24" s="250"/>
      <c r="M24" s="250"/>
      <c r="N24" s="250"/>
      <c r="O24" s="250"/>
      <c r="P24" s="250"/>
      <c r="Q24" s="250"/>
      <c r="R24" s="250"/>
      <c r="S24" s="250"/>
      <c r="T24" s="554"/>
      <c r="U24" s="554"/>
      <c r="V24" s="250"/>
      <c r="W24" s="250"/>
      <c r="X24" s="554"/>
      <c r="Y24" s="554"/>
      <c r="Z24" s="250"/>
      <c r="AA24" s="250"/>
      <c r="AB24" s="554"/>
      <c r="AC24" s="554"/>
      <c r="AD24" s="242"/>
    </row>
    <row r="25" spans="1:30">
      <c r="A25" s="242"/>
      <c r="B25" s="563">
        <v>39604</v>
      </c>
      <c r="C25" s="563"/>
      <c r="D25" s="247"/>
      <c r="E25" s="252">
        <v>209.9</v>
      </c>
      <c r="F25" s="564">
        <v>24</v>
      </c>
      <c r="G25" s="564"/>
      <c r="H25" s="252"/>
      <c r="I25" s="564"/>
      <c r="J25" s="564"/>
      <c r="K25" s="252"/>
      <c r="L25" s="253"/>
      <c r="M25" s="252">
        <v>382</v>
      </c>
      <c r="N25" s="253">
        <v>24</v>
      </c>
      <c r="O25" s="254">
        <v>591.9</v>
      </c>
      <c r="P25" s="250"/>
      <c r="Q25" s="252">
        <v>162</v>
      </c>
      <c r="R25" s="253">
        <v>24</v>
      </c>
      <c r="S25" s="252"/>
      <c r="T25" s="564"/>
      <c r="U25" s="564"/>
      <c r="V25" s="252">
        <v>162</v>
      </c>
      <c r="W25" s="250"/>
      <c r="X25" s="561">
        <v>753.9</v>
      </c>
      <c r="Y25" s="561"/>
      <c r="Z25" s="250"/>
      <c r="AA25" s="266">
        <v>7898400</v>
      </c>
      <c r="AB25" s="566"/>
      <c r="AC25" s="566"/>
      <c r="AD25" s="242"/>
    </row>
    <row r="26" spans="1:30">
      <c r="A26" s="242"/>
      <c r="B26" s="559"/>
      <c r="C26" s="559"/>
      <c r="D26" s="247"/>
      <c r="E26" s="250"/>
      <c r="F26" s="554"/>
      <c r="G26" s="554"/>
      <c r="H26" s="250"/>
      <c r="I26" s="554"/>
      <c r="J26" s="554"/>
      <c r="K26" s="250"/>
      <c r="L26" s="250"/>
      <c r="M26" s="250"/>
      <c r="N26" s="250"/>
      <c r="O26" s="250"/>
      <c r="P26" s="250"/>
      <c r="Q26" s="250"/>
      <c r="R26" s="250"/>
      <c r="S26" s="250"/>
      <c r="T26" s="554"/>
      <c r="U26" s="554"/>
      <c r="V26" s="250"/>
      <c r="W26" s="250"/>
      <c r="X26" s="554"/>
      <c r="Y26" s="554"/>
      <c r="Z26" s="250"/>
      <c r="AA26" s="250"/>
      <c r="AB26" s="554"/>
      <c r="AC26" s="554"/>
      <c r="AD26" s="242"/>
    </row>
    <row r="27" spans="1:30">
      <c r="A27" s="242"/>
      <c r="B27" s="558">
        <v>39605</v>
      </c>
      <c r="C27" s="558"/>
      <c r="D27" s="247"/>
      <c r="E27" s="256">
        <v>169.4</v>
      </c>
      <c r="F27" s="557">
        <v>24</v>
      </c>
      <c r="G27" s="557"/>
      <c r="H27" s="256">
        <v>0</v>
      </c>
      <c r="I27" s="557">
        <v>0</v>
      </c>
      <c r="J27" s="557"/>
      <c r="K27" s="256">
        <v>0</v>
      </c>
      <c r="L27" s="257">
        <v>0</v>
      </c>
      <c r="M27" s="256">
        <v>423</v>
      </c>
      <c r="N27" s="257">
        <v>24</v>
      </c>
      <c r="O27" s="258">
        <v>592.4</v>
      </c>
      <c r="P27" s="250"/>
      <c r="Q27" s="256">
        <v>225</v>
      </c>
      <c r="R27" s="257">
        <v>24</v>
      </c>
      <c r="S27" s="256">
        <v>0</v>
      </c>
      <c r="T27" s="557">
        <v>0</v>
      </c>
      <c r="U27" s="557"/>
      <c r="V27" s="256">
        <v>225</v>
      </c>
      <c r="W27" s="250"/>
      <c r="X27" s="556">
        <v>817.4</v>
      </c>
      <c r="Y27" s="556"/>
      <c r="Z27" s="250"/>
      <c r="AA27" s="267">
        <v>7868600</v>
      </c>
      <c r="AB27" s="565">
        <v>0</v>
      </c>
      <c r="AC27" s="565"/>
      <c r="AD27" s="242"/>
    </row>
    <row r="28" spans="1:30">
      <c r="A28" s="242"/>
      <c r="B28" s="559"/>
      <c r="C28" s="559"/>
      <c r="D28" s="247"/>
      <c r="E28" s="250"/>
      <c r="F28" s="554"/>
      <c r="G28" s="554"/>
      <c r="H28" s="250"/>
      <c r="I28" s="554"/>
      <c r="J28" s="554"/>
      <c r="K28" s="250"/>
      <c r="L28" s="250"/>
      <c r="M28" s="250"/>
      <c r="N28" s="250"/>
      <c r="O28" s="250"/>
      <c r="P28" s="250"/>
      <c r="Q28" s="250"/>
      <c r="R28" s="250"/>
      <c r="S28" s="250"/>
      <c r="T28" s="554"/>
      <c r="U28" s="554"/>
      <c r="V28" s="250"/>
      <c r="W28" s="250"/>
      <c r="X28" s="554"/>
      <c r="Y28" s="554"/>
      <c r="Z28" s="250"/>
      <c r="AA28" s="250"/>
      <c r="AB28" s="554"/>
      <c r="AC28" s="554"/>
      <c r="AD28" s="242"/>
    </row>
    <row r="29" spans="1:30">
      <c r="A29" s="242"/>
      <c r="B29" s="563">
        <v>39606</v>
      </c>
      <c r="C29" s="563"/>
      <c r="D29" s="247"/>
      <c r="E29" s="252">
        <v>160.19999999999999</v>
      </c>
      <c r="F29" s="564">
        <v>24</v>
      </c>
      <c r="G29" s="564"/>
      <c r="H29" s="252">
        <v>0</v>
      </c>
      <c r="I29" s="564">
        <v>0</v>
      </c>
      <c r="J29" s="564"/>
      <c r="K29" s="252">
        <v>0</v>
      </c>
      <c r="L29" s="253">
        <v>0</v>
      </c>
      <c r="M29" s="252">
        <v>398</v>
      </c>
      <c r="N29" s="253">
        <v>24</v>
      </c>
      <c r="O29" s="254">
        <v>558.20000000000005</v>
      </c>
      <c r="P29" s="250"/>
      <c r="Q29" s="252">
        <v>141</v>
      </c>
      <c r="R29" s="253">
        <v>16</v>
      </c>
      <c r="S29" s="252">
        <v>51</v>
      </c>
      <c r="T29" s="564">
        <v>8</v>
      </c>
      <c r="U29" s="564"/>
      <c r="V29" s="252">
        <v>192</v>
      </c>
      <c r="W29" s="250"/>
      <c r="X29" s="561">
        <v>750.2</v>
      </c>
      <c r="Y29" s="561"/>
      <c r="Z29" s="250"/>
      <c r="AA29" s="266">
        <v>7689400</v>
      </c>
      <c r="AB29" s="566">
        <v>0</v>
      </c>
      <c r="AC29" s="566"/>
      <c r="AD29" s="242"/>
    </row>
    <row r="30" spans="1:30">
      <c r="A30" s="242"/>
      <c r="B30" s="559"/>
      <c r="C30" s="559"/>
      <c r="D30" s="247"/>
      <c r="E30" s="250"/>
      <c r="F30" s="554"/>
      <c r="G30" s="554"/>
      <c r="H30" s="250"/>
      <c r="I30" s="554"/>
      <c r="J30" s="554"/>
      <c r="K30" s="250"/>
      <c r="L30" s="250"/>
      <c r="M30" s="250"/>
      <c r="N30" s="250"/>
      <c r="O30" s="250"/>
      <c r="P30" s="250"/>
      <c r="Q30" s="250"/>
      <c r="R30" s="250"/>
      <c r="S30" s="250"/>
      <c r="T30" s="554"/>
      <c r="U30" s="554"/>
      <c r="V30" s="250"/>
      <c r="W30" s="250"/>
      <c r="X30" s="554"/>
      <c r="Y30" s="554"/>
      <c r="Z30" s="250"/>
      <c r="AA30" s="250"/>
      <c r="AB30" s="554"/>
      <c r="AC30" s="554"/>
      <c r="AD30" s="242"/>
    </row>
    <row r="31" spans="1:30">
      <c r="A31" s="242"/>
      <c r="B31" s="558">
        <v>39607</v>
      </c>
      <c r="C31" s="558"/>
      <c r="D31" s="247"/>
      <c r="E31" s="256">
        <v>158</v>
      </c>
      <c r="F31" s="557">
        <v>24</v>
      </c>
      <c r="G31" s="557"/>
      <c r="H31" s="256">
        <v>0</v>
      </c>
      <c r="I31" s="557">
        <v>0</v>
      </c>
      <c r="J31" s="557"/>
      <c r="K31" s="256">
        <v>0</v>
      </c>
      <c r="L31" s="257">
        <v>0</v>
      </c>
      <c r="M31" s="256">
        <v>334</v>
      </c>
      <c r="N31" s="257">
        <v>24</v>
      </c>
      <c r="O31" s="258">
        <v>492</v>
      </c>
      <c r="P31" s="250"/>
      <c r="Q31" s="256">
        <v>0</v>
      </c>
      <c r="R31" s="257">
        <v>0</v>
      </c>
      <c r="S31" s="256">
        <v>180</v>
      </c>
      <c r="T31" s="557">
        <v>24</v>
      </c>
      <c r="U31" s="557"/>
      <c r="V31" s="256">
        <v>180</v>
      </c>
      <c r="W31" s="250"/>
      <c r="X31" s="556">
        <v>672</v>
      </c>
      <c r="Y31" s="556"/>
      <c r="Z31" s="250"/>
      <c r="AA31" s="267">
        <v>7117400</v>
      </c>
      <c r="AB31" s="565">
        <v>0</v>
      </c>
      <c r="AC31" s="565"/>
      <c r="AD31" s="242"/>
    </row>
    <row r="32" spans="1:30">
      <c r="A32" s="242"/>
      <c r="B32" s="559"/>
      <c r="C32" s="559"/>
      <c r="D32" s="247"/>
      <c r="E32" s="250"/>
      <c r="F32" s="554"/>
      <c r="G32" s="554"/>
      <c r="H32" s="250"/>
      <c r="I32" s="554"/>
      <c r="J32" s="554"/>
      <c r="K32" s="250"/>
      <c r="L32" s="250"/>
      <c r="M32" s="250"/>
      <c r="N32" s="250"/>
      <c r="O32" s="250"/>
      <c r="P32" s="250"/>
      <c r="Q32" s="250"/>
      <c r="R32" s="250"/>
      <c r="S32" s="250"/>
      <c r="T32" s="554"/>
      <c r="U32" s="554"/>
      <c r="V32" s="250"/>
      <c r="W32" s="250"/>
      <c r="X32" s="554"/>
      <c r="Y32" s="554"/>
      <c r="Z32" s="250"/>
      <c r="AA32" s="250"/>
      <c r="AB32" s="554"/>
      <c r="AC32" s="554"/>
      <c r="AD32" s="242"/>
    </row>
    <row r="33" spans="1:30">
      <c r="A33" s="242"/>
      <c r="B33" s="563">
        <v>39608</v>
      </c>
      <c r="C33" s="563"/>
      <c r="D33" s="247"/>
      <c r="E33" s="252">
        <v>128.6</v>
      </c>
      <c r="F33" s="564">
        <v>24</v>
      </c>
      <c r="G33" s="564"/>
      <c r="H33" s="252">
        <v>0</v>
      </c>
      <c r="I33" s="564">
        <v>0</v>
      </c>
      <c r="J33" s="564"/>
      <c r="K33" s="252">
        <v>0</v>
      </c>
      <c r="L33" s="253">
        <v>0</v>
      </c>
      <c r="M33" s="252">
        <v>320</v>
      </c>
      <c r="N33" s="253">
        <v>24</v>
      </c>
      <c r="O33" s="254">
        <v>448.6</v>
      </c>
      <c r="P33" s="250"/>
      <c r="Q33" s="252">
        <v>0</v>
      </c>
      <c r="R33" s="253">
        <v>0</v>
      </c>
      <c r="S33" s="252">
        <v>181</v>
      </c>
      <c r="T33" s="564">
        <v>24</v>
      </c>
      <c r="U33" s="564"/>
      <c r="V33" s="252">
        <v>181</v>
      </c>
      <c r="W33" s="250"/>
      <c r="X33" s="561">
        <v>629.6</v>
      </c>
      <c r="Y33" s="561"/>
      <c r="Z33" s="250"/>
      <c r="AA33" s="266">
        <v>6761000</v>
      </c>
      <c r="AB33" s="566">
        <v>0</v>
      </c>
      <c r="AC33" s="566"/>
      <c r="AD33" s="242"/>
    </row>
    <row r="34" spans="1:30">
      <c r="A34" s="242"/>
      <c r="B34" s="559"/>
      <c r="C34" s="559"/>
      <c r="D34" s="247"/>
      <c r="E34" s="250"/>
      <c r="F34" s="554"/>
      <c r="G34" s="554"/>
      <c r="H34" s="250"/>
      <c r="I34" s="554"/>
      <c r="J34" s="554"/>
      <c r="K34" s="250"/>
      <c r="L34" s="250"/>
      <c r="M34" s="250"/>
      <c r="N34" s="250"/>
      <c r="O34" s="250"/>
      <c r="P34" s="250"/>
      <c r="Q34" s="250"/>
      <c r="R34" s="250"/>
      <c r="S34" s="250"/>
      <c r="T34" s="554"/>
      <c r="U34" s="554"/>
      <c r="V34" s="250"/>
      <c r="W34" s="250"/>
      <c r="X34" s="554"/>
      <c r="Y34" s="554"/>
      <c r="Z34" s="250"/>
      <c r="AA34" s="250"/>
      <c r="AB34" s="554"/>
      <c r="AC34" s="554"/>
      <c r="AD34" s="242"/>
    </row>
    <row r="35" spans="1:30">
      <c r="A35" s="242"/>
      <c r="B35" s="558">
        <v>39609</v>
      </c>
      <c r="C35" s="558"/>
      <c r="D35" s="247"/>
      <c r="E35" s="256">
        <v>104.8</v>
      </c>
      <c r="F35" s="557">
        <v>24</v>
      </c>
      <c r="G35" s="557"/>
      <c r="H35" s="256">
        <v>0</v>
      </c>
      <c r="I35" s="557">
        <v>0</v>
      </c>
      <c r="J35" s="557"/>
      <c r="K35" s="256">
        <v>0</v>
      </c>
      <c r="L35" s="257">
        <v>0</v>
      </c>
      <c r="M35" s="256">
        <v>351</v>
      </c>
      <c r="N35" s="257">
        <v>24</v>
      </c>
      <c r="O35" s="258">
        <v>455.8</v>
      </c>
      <c r="P35" s="250"/>
      <c r="Q35" s="256">
        <v>0</v>
      </c>
      <c r="R35" s="257">
        <v>0</v>
      </c>
      <c r="S35" s="256">
        <v>203</v>
      </c>
      <c r="T35" s="557">
        <v>24</v>
      </c>
      <c r="U35" s="557"/>
      <c r="V35" s="256">
        <v>203</v>
      </c>
      <c r="W35" s="250"/>
      <c r="X35" s="556">
        <v>658.8</v>
      </c>
      <c r="Y35" s="556"/>
      <c r="Z35" s="250"/>
      <c r="AA35" s="267">
        <v>6867200</v>
      </c>
      <c r="AB35" s="565">
        <v>0</v>
      </c>
      <c r="AC35" s="565"/>
      <c r="AD35" s="242"/>
    </row>
    <row r="36" spans="1:30">
      <c r="A36" s="242"/>
      <c r="B36" s="559"/>
      <c r="C36" s="559"/>
      <c r="D36" s="247"/>
      <c r="E36" s="250"/>
      <c r="F36" s="554"/>
      <c r="G36" s="554"/>
      <c r="H36" s="250"/>
      <c r="I36" s="554"/>
      <c r="J36" s="554"/>
      <c r="K36" s="250"/>
      <c r="L36" s="250"/>
      <c r="M36" s="250"/>
      <c r="N36" s="250"/>
      <c r="O36" s="250"/>
      <c r="P36" s="250"/>
      <c r="Q36" s="250"/>
      <c r="R36" s="250"/>
      <c r="S36" s="250"/>
      <c r="T36" s="554"/>
      <c r="U36" s="554"/>
      <c r="V36" s="250"/>
      <c r="W36" s="250"/>
      <c r="X36" s="554"/>
      <c r="Y36" s="554"/>
      <c r="Z36" s="250"/>
      <c r="AA36" s="250"/>
      <c r="AB36" s="554"/>
      <c r="AC36" s="554"/>
      <c r="AD36" s="242"/>
    </row>
    <row r="37" spans="1:30">
      <c r="A37" s="242"/>
      <c r="B37" s="563">
        <v>39610</v>
      </c>
      <c r="C37" s="563"/>
      <c r="D37" s="247"/>
      <c r="E37" s="252">
        <v>116.1</v>
      </c>
      <c r="F37" s="564">
        <v>24</v>
      </c>
      <c r="G37" s="564"/>
      <c r="H37" s="252"/>
      <c r="I37" s="564">
        <v>6</v>
      </c>
      <c r="J37" s="564"/>
      <c r="K37" s="252"/>
      <c r="L37" s="253"/>
      <c r="M37" s="252">
        <v>324</v>
      </c>
      <c r="N37" s="253">
        <v>24</v>
      </c>
      <c r="O37" s="254">
        <v>440.1</v>
      </c>
      <c r="P37" s="250"/>
      <c r="Q37" s="252"/>
      <c r="R37" s="253"/>
      <c r="S37" s="252">
        <v>237</v>
      </c>
      <c r="T37" s="564">
        <v>24</v>
      </c>
      <c r="U37" s="564"/>
      <c r="V37" s="252">
        <v>237</v>
      </c>
      <c r="W37" s="250"/>
      <c r="X37" s="561">
        <v>677.1</v>
      </c>
      <c r="Y37" s="561"/>
      <c r="Z37" s="250"/>
      <c r="AA37" s="266">
        <v>7120000</v>
      </c>
      <c r="AB37" s="566">
        <v>2291</v>
      </c>
      <c r="AC37" s="566"/>
      <c r="AD37" s="242"/>
    </row>
    <row r="38" spans="1:30">
      <c r="A38" s="242"/>
      <c r="B38" s="559"/>
      <c r="C38" s="559"/>
      <c r="D38" s="247"/>
      <c r="E38" s="250"/>
      <c r="F38" s="554"/>
      <c r="G38" s="554"/>
      <c r="H38" s="250"/>
      <c r="I38" s="554"/>
      <c r="J38" s="554"/>
      <c r="K38" s="250"/>
      <c r="L38" s="250"/>
      <c r="M38" s="250"/>
      <c r="N38" s="250"/>
      <c r="O38" s="250"/>
      <c r="P38" s="250"/>
      <c r="Q38" s="250"/>
      <c r="R38" s="250"/>
      <c r="S38" s="250"/>
      <c r="T38" s="554"/>
      <c r="U38" s="554"/>
      <c r="V38" s="250"/>
      <c r="W38" s="250"/>
      <c r="X38" s="554"/>
      <c r="Y38" s="554"/>
      <c r="Z38" s="250"/>
      <c r="AA38" s="250"/>
      <c r="AB38" s="554"/>
      <c r="AC38" s="554"/>
      <c r="AD38" s="242"/>
    </row>
    <row r="39" spans="1:30">
      <c r="A39" s="242"/>
      <c r="B39" s="558">
        <v>39611</v>
      </c>
      <c r="C39" s="558"/>
      <c r="D39" s="247"/>
      <c r="E39" s="256">
        <v>49</v>
      </c>
      <c r="F39" s="557">
        <v>13</v>
      </c>
      <c r="G39" s="557"/>
      <c r="H39" s="256">
        <v>176.1</v>
      </c>
      <c r="I39" s="557">
        <v>24</v>
      </c>
      <c r="J39" s="557"/>
      <c r="K39" s="256"/>
      <c r="L39" s="257"/>
      <c r="M39" s="256">
        <v>283</v>
      </c>
      <c r="N39" s="257">
        <v>24</v>
      </c>
      <c r="O39" s="258">
        <v>508.1</v>
      </c>
      <c r="P39" s="250"/>
      <c r="Q39" s="256"/>
      <c r="R39" s="257"/>
      <c r="S39" s="256">
        <v>192</v>
      </c>
      <c r="T39" s="557">
        <v>20</v>
      </c>
      <c r="U39" s="557"/>
      <c r="V39" s="256">
        <v>192</v>
      </c>
      <c r="W39" s="250"/>
      <c r="X39" s="556">
        <v>700.1</v>
      </c>
      <c r="Y39" s="556"/>
      <c r="Z39" s="250"/>
      <c r="AA39" s="267">
        <v>7878900</v>
      </c>
      <c r="AB39" s="565"/>
      <c r="AC39" s="565"/>
      <c r="AD39" s="242"/>
    </row>
    <row r="40" spans="1:30">
      <c r="A40" s="242"/>
      <c r="B40" s="559"/>
      <c r="C40" s="559"/>
      <c r="D40" s="247"/>
      <c r="E40" s="250"/>
      <c r="F40" s="554"/>
      <c r="G40" s="554"/>
      <c r="H40" s="250"/>
      <c r="I40" s="554"/>
      <c r="J40" s="554"/>
      <c r="K40" s="250"/>
      <c r="L40" s="250"/>
      <c r="M40" s="250"/>
      <c r="N40" s="250"/>
      <c r="O40" s="250"/>
      <c r="P40" s="250"/>
      <c r="Q40" s="250"/>
      <c r="R40" s="250"/>
      <c r="S40" s="250"/>
      <c r="T40" s="554"/>
      <c r="U40" s="554"/>
      <c r="V40" s="250"/>
      <c r="W40" s="250"/>
      <c r="X40" s="554"/>
      <c r="Y40" s="554"/>
      <c r="Z40" s="250"/>
      <c r="AA40" s="250"/>
      <c r="AB40" s="554"/>
      <c r="AC40" s="554"/>
      <c r="AD40" s="242"/>
    </row>
    <row r="41" spans="1:30">
      <c r="A41" s="242"/>
      <c r="B41" s="563">
        <v>39612</v>
      </c>
      <c r="C41" s="563"/>
      <c r="D41" s="247"/>
      <c r="E41" s="252">
        <v>0</v>
      </c>
      <c r="F41" s="564">
        <v>0</v>
      </c>
      <c r="G41" s="564"/>
      <c r="H41" s="252">
        <v>260.60000000000002</v>
      </c>
      <c r="I41" s="564">
        <v>24</v>
      </c>
      <c r="J41" s="564"/>
      <c r="K41" s="252">
        <v>0</v>
      </c>
      <c r="L41" s="253">
        <v>0</v>
      </c>
      <c r="M41" s="252">
        <v>396</v>
      </c>
      <c r="N41" s="253">
        <v>24</v>
      </c>
      <c r="O41" s="254">
        <v>656.6</v>
      </c>
      <c r="P41" s="250"/>
      <c r="Q41" s="252">
        <v>0</v>
      </c>
      <c r="R41" s="253">
        <v>0</v>
      </c>
      <c r="S41" s="252">
        <v>0</v>
      </c>
      <c r="T41" s="564">
        <v>0</v>
      </c>
      <c r="U41" s="564"/>
      <c r="V41" s="252">
        <v>0</v>
      </c>
      <c r="W41" s="250"/>
      <c r="X41" s="561">
        <v>656.6</v>
      </c>
      <c r="Y41" s="561"/>
      <c r="Z41" s="250"/>
      <c r="AA41" s="266">
        <v>8171600</v>
      </c>
      <c r="AB41" s="566">
        <v>0</v>
      </c>
      <c r="AC41" s="566"/>
      <c r="AD41" s="242"/>
    </row>
    <row r="42" spans="1:30">
      <c r="A42" s="242"/>
      <c r="B42" s="559"/>
      <c r="C42" s="559"/>
      <c r="D42" s="247"/>
      <c r="E42" s="250"/>
      <c r="F42" s="554"/>
      <c r="G42" s="554"/>
      <c r="H42" s="250"/>
      <c r="I42" s="554"/>
      <c r="J42" s="554"/>
      <c r="K42" s="250"/>
      <c r="L42" s="250"/>
      <c r="M42" s="250"/>
      <c r="N42" s="250"/>
      <c r="O42" s="250"/>
      <c r="P42" s="250"/>
      <c r="Q42" s="250"/>
      <c r="R42" s="250"/>
      <c r="S42" s="250"/>
      <c r="T42" s="554"/>
      <c r="U42" s="554"/>
      <c r="V42" s="250"/>
      <c r="W42" s="250"/>
      <c r="X42" s="554"/>
      <c r="Y42" s="554"/>
      <c r="Z42" s="250"/>
      <c r="AA42" s="250"/>
      <c r="AB42" s="554"/>
      <c r="AC42" s="554"/>
      <c r="AD42" s="242"/>
    </row>
    <row r="43" spans="1:30">
      <c r="A43" s="242"/>
      <c r="B43" s="558">
        <v>39613</v>
      </c>
      <c r="C43" s="558"/>
      <c r="D43" s="247"/>
      <c r="E43" s="256">
        <v>0</v>
      </c>
      <c r="F43" s="557">
        <v>0</v>
      </c>
      <c r="G43" s="557"/>
      <c r="H43" s="256">
        <v>252.8</v>
      </c>
      <c r="I43" s="557">
        <v>24</v>
      </c>
      <c r="J43" s="557"/>
      <c r="K43" s="256">
        <v>0</v>
      </c>
      <c r="L43" s="257">
        <v>0</v>
      </c>
      <c r="M43" s="256">
        <v>356</v>
      </c>
      <c r="N43" s="257">
        <v>24</v>
      </c>
      <c r="O43" s="258">
        <v>608.79999999999995</v>
      </c>
      <c r="P43" s="250"/>
      <c r="Q43" s="256">
        <v>0</v>
      </c>
      <c r="R43" s="257">
        <v>0</v>
      </c>
      <c r="S43" s="256">
        <v>0</v>
      </c>
      <c r="T43" s="557">
        <v>0</v>
      </c>
      <c r="U43" s="557"/>
      <c r="V43" s="256">
        <v>0</v>
      </c>
      <c r="W43" s="250"/>
      <c r="X43" s="556">
        <v>608.79999999999995</v>
      </c>
      <c r="Y43" s="556"/>
      <c r="Z43" s="250"/>
      <c r="AA43" s="267">
        <v>7824600</v>
      </c>
      <c r="AB43" s="565">
        <v>0</v>
      </c>
      <c r="AC43" s="565"/>
      <c r="AD43" s="242"/>
    </row>
    <row r="44" spans="1:30">
      <c r="A44" s="242"/>
      <c r="B44" s="559"/>
      <c r="C44" s="559"/>
      <c r="D44" s="247"/>
      <c r="E44" s="250"/>
      <c r="F44" s="554"/>
      <c r="G44" s="554"/>
      <c r="H44" s="250"/>
      <c r="I44" s="554"/>
      <c r="J44" s="554"/>
      <c r="K44" s="250"/>
      <c r="L44" s="250"/>
      <c r="M44" s="250"/>
      <c r="N44" s="250"/>
      <c r="O44" s="250"/>
      <c r="P44" s="250"/>
      <c r="Q44" s="250"/>
      <c r="R44" s="250"/>
      <c r="S44" s="250"/>
      <c r="T44" s="554"/>
      <c r="U44" s="554"/>
      <c r="V44" s="250"/>
      <c r="W44" s="250"/>
      <c r="X44" s="554"/>
      <c r="Y44" s="554"/>
      <c r="Z44" s="250"/>
      <c r="AA44" s="250"/>
      <c r="AB44" s="554"/>
      <c r="AC44" s="554"/>
      <c r="AD44" s="242"/>
    </row>
    <row r="45" spans="1:30">
      <c r="A45" s="242"/>
      <c r="B45" s="563">
        <v>39614</v>
      </c>
      <c r="C45" s="563"/>
      <c r="D45" s="247"/>
      <c r="E45" s="252"/>
      <c r="F45" s="564"/>
      <c r="G45" s="564"/>
      <c r="H45" s="252">
        <v>182.2</v>
      </c>
      <c r="I45" s="564">
        <v>24</v>
      </c>
      <c r="J45" s="564"/>
      <c r="K45" s="252"/>
      <c r="L45" s="253"/>
      <c r="M45" s="252">
        <v>323</v>
      </c>
      <c r="N45" s="253">
        <v>24</v>
      </c>
      <c r="O45" s="254">
        <v>505.2</v>
      </c>
      <c r="P45" s="250"/>
      <c r="Q45" s="252"/>
      <c r="R45" s="253"/>
      <c r="S45" s="252">
        <v>110</v>
      </c>
      <c r="T45" s="564">
        <v>14</v>
      </c>
      <c r="U45" s="564"/>
      <c r="V45" s="252">
        <v>110</v>
      </c>
      <c r="W45" s="250"/>
      <c r="X45" s="561">
        <v>615.20000000000005</v>
      </c>
      <c r="Y45" s="561"/>
      <c r="Z45" s="250"/>
      <c r="AA45" s="266">
        <v>7056400</v>
      </c>
      <c r="AB45" s="566"/>
      <c r="AC45" s="566"/>
      <c r="AD45" s="242"/>
    </row>
    <row r="46" spans="1:30">
      <c r="A46" s="242"/>
      <c r="B46" s="559"/>
      <c r="C46" s="559"/>
      <c r="D46" s="247"/>
      <c r="E46" s="250"/>
      <c r="F46" s="554"/>
      <c r="G46" s="554"/>
      <c r="H46" s="250"/>
      <c r="I46" s="554"/>
      <c r="J46" s="554"/>
      <c r="K46" s="250"/>
      <c r="L46" s="250"/>
      <c r="M46" s="250"/>
      <c r="N46" s="250"/>
      <c r="O46" s="250"/>
      <c r="P46" s="250"/>
      <c r="Q46" s="250"/>
      <c r="R46" s="250"/>
      <c r="S46" s="250"/>
      <c r="T46" s="554"/>
      <c r="U46" s="554"/>
      <c r="V46" s="250"/>
      <c r="W46" s="250"/>
      <c r="X46" s="554"/>
      <c r="Y46" s="554"/>
      <c r="Z46" s="250"/>
      <c r="AA46" s="250"/>
      <c r="AB46" s="554"/>
      <c r="AC46" s="554"/>
      <c r="AD46" s="242"/>
    </row>
    <row r="47" spans="1:30">
      <c r="A47" s="242"/>
      <c r="B47" s="558">
        <v>39615</v>
      </c>
      <c r="C47" s="558"/>
      <c r="D47" s="247"/>
      <c r="E47" s="256">
        <v>0</v>
      </c>
      <c r="F47" s="557">
        <v>0</v>
      </c>
      <c r="G47" s="557"/>
      <c r="H47" s="256">
        <v>140.4</v>
      </c>
      <c r="I47" s="557">
        <v>24</v>
      </c>
      <c r="J47" s="557"/>
      <c r="K47" s="256">
        <v>0</v>
      </c>
      <c r="L47" s="257">
        <v>0</v>
      </c>
      <c r="M47" s="256">
        <v>308</v>
      </c>
      <c r="N47" s="257">
        <v>24</v>
      </c>
      <c r="O47" s="258">
        <v>448.4</v>
      </c>
      <c r="P47" s="250"/>
      <c r="Q47" s="256">
        <v>0</v>
      </c>
      <c r="R47" s="257">
        <v>0</v>
      </c>
      <c r="S47" s="256">
        <v>213</v>
      </c>
      <c r="T47" s="557">
        <v>24</v>
      </c>
      <c r="U47" s="557"/>
      <c r="V47" s="256">
        <v>213</v>
      </c>
      <c r="W47" s="250"/>
      <c r="X47" s="556">
        <v>661.4</v>
      </c>
      <c r="Y47" s="556"/>
      <c r="Z47" s="250"/>
      <c r="AA47" s="267">
        <v>6612000</v>
      </c>
      <c r="AB47" s="565"/>
      <c r="AC47" s="565"/>
      <c r="AD47" s="242"/>
    </row>
    <row r="48" spans="1:30">
      <c r="A48" s="242"/>
      <c r="B48" s="559"/>
      <c r="C48" s="559"/>
      <c r="D48" s="247"/>
      <c r="E48" s="250"/>
      <c r="F48" s="554"/>
      <c r="G48" s="554"/>
      <c r="H48" s="250"/>
      <c r="I48" s="554"/>
      <c r="J48" s="554"/>
      <c r="K48" s="250"/>
      <c r="L48" s="250"/>
      <c r="M48" s="250"/>
      <c r="N48" s="250"/>
      <c r="O48" s="250"/>
      <c r="P48" s="250"/>
      <c r="Q48" s="250"/>
      <c r="R48" s="250"/>
      <c r="S48" s="250"/>
      <c r="T48" s="554"/>
      <c r="U48" s="554"/>
      <c r="V48" s="250"/>
      <c r="W48" s="250"/>
      <c r="X48" s="554"/>
      <c r="Y48" s="554"/>
      <c r="Z48" s="250"/>
      <c r="AA48" s="250"/>
      <c r="AB48" s="554"/>
      <c r="AC48" s="554"/>
      <c r="AD48" s="242"/>
    </row>
    <row r="49" spans="1:30">
      <c r="A49" s="242"/>
      <c r="B49" s="563">
        <v>39616</v>
      </c>
      <c r="C49" s="563"/>
      <c r="D49" s="247"/>
      <c r="E49" s="252">
        <v>0</v>
      </c>
      <c r="F49" s="564">
        <v>0</v>
      </c>
      <c r="G49" s="564"/>
      <c r="H49" s="252">
        <v>139.4</v>
      </c>
      <c r="I49" s="564">
        <v>24</v>
      </c>
      <c r="J49" s="564"/>
      <c r="K49" s="252">
        <v>0</v>
      </c>
      <c r="L49" s="253">
        <v>0</v>
      </c>
      <c r="M49" s="252">
        <v>377</v>
      </c>
      <c r="N49" s="253">
        <v>24</v>
      </c>
      <c r="O49" s="254">
        <v>516.4</v>
      </c>
      <c r="P49" s="250"/>
      <c r="Q49" s="252">
        <v>0</v>
      </c>
      <c r="R49" s="253">
        <v>0</v>
      </c>
      <c r="S49" s="252">
        <v>204</v>
      </c>
      <c r="T49" s="564">
        <v>24</v>
      </c>
      <c r="U49" s="564"/>
      <c r="V49" s="252">
        <v>204</v>
      </c>
      <c r="W49" s="250"/>
      <c r="X49" s="561">
        <v>720.4</v>
      </c>
      <c r="Y49" s="561"/>
      <c r="Z49" s="250"/>
      <c r="AA49" s="266">
        <v>7186300</v>
      </c>
      <c r="AB49" s="566">
        <v>0</v>
      </c>
      <c r="AC49" s="566"/>
      <c r="AD49" s="242"/>
    </row>
    <row r="50" spans="1:30">
      <c r="A50" s="242"/>
      <c r="B50" s="559"/>
      <c r="C50" s="559"/>
      <c r="D50" s="247"/>
      <c r="E50" s="250"/>
      <c r="F50" s="554"/>
      <c r="G50" s="554"/>
      <c r="H50" s="250"/>
      <c r="I50" s="554"/>
      <c r="J50" s="554"/>
      <c r="K50" s="250"/>
      <c r="L50" s="250"/>
      <c r="M50" s="250"/>
      <c r="N50" s="250"/>
      <c r="O50" s="250"/>
      <c r="P50" s="250"/>
      <c r="Q50" s="250"/>
      <c r="R50" s="250"/>
      <c r="S50" s="250"/>
      <c r="T50" s="554"/>
      <c r="U50" s="554"/>
      <c r="V50" s="250"/>
      <c r="W50" s="250"/>
      <c r="X50" s="554"/>
      <c r="Y50" s="554"/>
      <c r="Z50" s="250"/>
      <c r="AA50" s="250"/>
      <c r="AB50" s="554"/>
      <c r="AC50" s="554"/>
      <c r="AD50" s="242"/>
    </row>
    <row r="51" spans="1:30">
      <c r="A51" s="242"/>
      <c r="B51" s="558">
        <v>39617</v>
      </c>
      <c r="C51" s="558"/>
      <c r="D51" s="247"/>
      <c r="E51" s="256"/>
      <c r="F51" s="557"/>
      <c r="G51" s="557"/>
      <c r="H51" s="256">
        <v>139.69999999999999</v>
      </c>
      <c r="I51" s="557">
        <v>24</v>
      </c>
      <c r="J51" s="557"/>
      <c r="K51" s="256"/>
      <c r="L51" s="257"/>
      <c r="M51" s="256">
        <v>348</v>
      </c>
      <c r="N51" s="257">
        <v>24</v>
      </c>
      <c r="O51" s="258">
        <v>487.7</v>
      </c>
      <c r="P51" s="250"/>
      <c r="Q51" s="256"/>
      <c r="R51" s="257"/>
      <c r="S51" s="256">
        <v>215</v>
      </c>
      <c r="T51" s="557">
        <v>24</v>
      </c>
      <c r="U51" s="557"/>
      <c r="V51" s="256">
        <v>215</v>
      </c>
      <c r="W51" s="250"/>
      <c r="X51" s="556">
        <v>702.7</v>
      </c>
      <c r="Y51" s="556"/>
      <c r="Z51" s="250"/>
      <c r="AA51" s="267">
        <v>6875300</v>
      </c>
      <c r="AB51" s="565"/>
      <c r="AC51" s="565"/>
      <c r="AD51" s="242"/>
    </row>
    <row r="52" spans="1:30">
      <c r="A52" s="242"/>
      <c r="B52" s="559"/>
      <c r="C52" s="559"/>
      <c r="D52" s="247"/>
      <c r="E52" s="250"/>
      <c r="F52" s="554"/>
      <c r="G52" s="554"/>
      <c r="H52" s="250"/>
      <c r="I52" s="554"/>
      <c r="J52" s="554"/>
      <c r="K52" s="250"/>
      <c r="L52" s="250"/>
      <c r="M52" s="250"/>
      <c r="N52" s="250"/>
      <c r="O52" s="250"/>
      <c r="P52" s="250"/>
      <c r="Q52" s="250"/>
      <c r="R52" s="250"/>
      <c r="S52" s="250"/>
      <c r="T52" s="554"/>
      <c r="U52" s="554"/>
      <c r="V52" s="250"/>
      <c r="W52" s="250"/>
      <c r="X52" s="554"/>
      <c r="Y52" s="554"/>
      <c r="Z52" s="250"/>
      <c r="AA52" s="250"/>
      <c r="AB52" s="554"/>
      <c r="AC52" s="554"/>
      <c r="AD52" s="242"/>
    </row>
    <row r="53" spans="1:30">
      <c r="A53" s="242"/>
      <c r="B53" s="563">
        <v>39618</v>
      </c>
      <c r="C53" s="563"/>
      <c r="D53" s="247"/>
      <c r="E53" s="252"/>
      <c r="F53" s="564"/>
      <c r="G53" s="564"/>
      <c r="H53" s="252">
        <v>148.30000000000001</v>
      </c>
      <c r="I53" s="564">
        <v>24</v>
      </c>
      <c r="J53" s="564"/>
      <c r="K53" s="252"/>
      <c r="L53" s="253"/>
      <c r="M53" s="252">
        <v>319</v>
      </c>
      <c r="N53" s="253">
        <v>24</v>
      </c>
      <c r="O53" s="254">
        <v>467.3</v>
      </c>
      <c r="P53" s="250"/>
      <c r="Q53" s="252"/>
      <c r="R53" s="253"/>
      <c r="S53" s="252">
        <v>161</v>
      </c>
      <c r="T53" s="564">
        <v>24</v>
      </c>
      <c r="U53" s="564"/>
      <c r="V53" s="252">
        <v>161</v>
      </c>
      <c r="W53" s="250"/>
      <c r="X53" s="561">
        <v>628.29999999999995</v>
      </c>
      <c r="Y53" s="561"/>
      <c r="Z53" s="250"/>
      <c r="AA53" s="266">
        <v>6819200</v>
      </c>
      <c r="AB53" s="566"/>
      <c r="AC53" s="566"/>
      <c r="AD53" s="242"/>
    </row>
    <row r="54" spans="1:30">
      <c r="A54" s="242"/>
      <c r="B54" s="559"/>
      <c r="C54" s="559"/>
      <c r="D54" s="247"/>
      <c r="E54" s="250"/>
      <c r="F54" s="554"/>
      <c r="G54" s="554"/>
      <c r="H54" s="250"/>
      <c r="I54" s="554"/>
      <c r="J54" s="554"/>
      <c r="K54" s="250"/>
      <c r="L54" s="250"/>
      <c r="M54" s="250"/>
      <c r="N54" s="250"/>
      <c r="O54" s="250"/>
      <c r="P54" s="250"/>
      <c r="Q54" s="250"/>
      <c r="R54" s="250"/>
      <c r="S54" s="250"/>
      <c r="T54" s="554"/>
      <c r="U54" s="554"/>
      <c r="V54" s="250"/>
      <c r="W54" s="250"/>
      <c r="X54" s="554"/>
      <c r="Y54" s="554"/>
      <c r="Z54" s="250"/>
      <c r="AA54" s="250"/>
      <c r="AB54" s="554"/>
      <c r="AC54" s="554"/>
      <c r="AD54" s="242"/>
    </row>
    <row r="55" spans="1:30">
      <c r="A55" s="242"/>
      <c r="B55" s="558">
        <v>39619</v>
      </c>
      <c r="C55" s="558"/>
      <c r="D55" s="247"/>
      <c r="E55" s="256">
        <v>0</v>
      </c>
      <c r="F55" s="557">
        <v>0</v>
      </c>
      <c r="G55" s="557"/>
      <c r="H55" s="256">
        <v>157</v>
      </c>
      <c r="I55" s="557">
        <v>24</v>
      </c>
      <c r="J55" s="557"/>
      <c r="K55" s="256">
        <v>0</v>
      </c>
      <c r="L55" s="257">
        <v>0</v>
      </c>
      <c r="M55" s="256">
        <v>314</v>
      </c>
      <c r="N55" s="257">
        <v>24</v>
      </c>
      <c r="O55" s="258">
        <v>471</v>
      </c>
      <c r="P55" s="250"/>
      <c r="Q55" s="256">
        <v>0</v>
      </c>
      <c r="R55" s="257">
        <v>0</v>
      </c>
      <c r="S55" s="256">
        <v>187</v>
      </c>
      <c r="T55" s="557">
        <v>24</v>
      </c>
      <c r="U55" s="557"/>
      <c r="V55" s="256">
        <v>187</v>
      </c>
      <c r="W55" s="250"/>
      <c r="X55" s="556">
        <v>658</v>
      </c>
      <c r="Y55" s="556"/>
      <c r="Z55" s="250"/>
      <c r="AA55" s="267">
        <v>6788500</v>
      </c>
      <c r="AB55" s="565">
        <v>0</v>
      </c>
      <c r="AC55" s="565"/>
      <c r="AD55" s="242"/>
    </row>
    <row r="56" spans="1:30">
      <c r="A56" s="242"/>
      <c r="B56" s="559"/>
      <c r="C56" s="559"/>
      <c r="D56" s="247"/>
      <c r="E56" s="250"/>
      <c r="F56" s="554"/>
      <c r="G56" s="554"/>
      <c r="H56" s="250"/>
      <c r="I56" s="554"/>
      <c r="J56" s="554"/>
      <c r="K56" s="250"/>
      <c r="L56" s="250"/>
      <c r="M56" s="250"/>
      <c r="N56" s="250"/>
      <c r="O56" s="250"/>
      <c r="P56" s="250"/>
      <c r="Q56" s="250"/>
      <c r="R56" s="250"/>
      <c r="S56" s="250"/>
      <c r="T56" s="554"/>
      <c r="U56" s="554"/>
      <c r="V56" s="250"/>
      <c r="W56" s="250"/>
      <c r="X56" s="554"/>
      <c r="Y56" s="554"/>
      <c r="Z56" s="250"/>
      <c r="AA56" s="250"/>
      <c r="AB56" s="554"/>
      <c r="AC56" s="554"/>
      <c r="AD56" s="242"/>
    </row>
    <row r="57" spans="1:30">
      <c r="A57" s="242"/>
      <c r="B57" s="563">
        <v>39620</v>
      </c>
      <c r="C57" s="563"/>
      <c r="D57" s="247"/>
      <c r="E57" s="252">
        <v>0</v>
      </c>
      <c r="F57" s="564">
        <v>0</v>
      </c>
      <c r="G57" s="564"/>
      <c r="H57" s="252">
        <v>181.2</v>
      </c>
      <c r="I57" s="564">
        <v>24</v>
      </c>
      <c r="J57" s="564"/>
      <c r="K57" s="252">
        <v>0</v>
      </c>
      <c r="L57" s="253">
        <v>0</v>
      </c>
      <c r="M57" s="252">
        <v>316</v>
      </c>
      <c r="N57" s="253">
        <v>24</v>
      </c>
      <c r="O57" s="254">
        <v>497.2</v>
      </c>
      <c r="P57" s="250"/>
      <c r="Q57" s="252">
        <v>0</v>
      </c>
      <c r="R57" s="253">
        <v>0</v>
      </c>
      <c r="S57" s="252">
        <v>104</v>
      </c>
      <c r="T57" s="564">
        <v>15</v>
      </c>
      <c r="U57" s="564"/>
      <c r="V57" s="252">
        <v>104</v>
      </c>
      <c r="W57" s="250"/>
      <c r="X57" s="561">
        <v>601.20000000000005</v>
      </c>
      <c r="Y57" s="561"/>
      <c r="Z57" s="250"/>
      <c r="AA57" s="266">
        <v>7024800</v>
      </c>
      <c r="AB57" s="566">
        <v>0</v>
      </c>
      <c r="AC57" s="566"/>
      <c r="AD57" s="242"/>
    </row>
    <row r="58" spans="1:30">
      <c r="A58" s="242"/>
      <c r="B58" s="559"/>
      <c r="C58" s="559"/>
      <c r="D58" s="247"/>
      <c r="E58" s="250"/>
      <c r="F58" s="554"/>
      <c r="G58" s="554"/>
      <c r="H58" s="250"/>
      <c r="I58" s="554"/>
      <c r="J58" s="554"/>
      <c r="K58" s="250"/>
      <c r="L58" s="250"/>
      <c r="M58" s="250"/>
      <c r="N58" s="250"/>
      <c r="O58" s="250"/>
      <c r="P58" s="250"/>
      <c r="Q58" s="250"/>
      <c r="R58" s="250"/>
      <c r="S58" s="250"/>
      <c r="T58" s="554"/>
      <c r="U58" s="554"/>
      <c r="V58" s="250"/>
      <c r="W58" s="250"/>
      <c r="X58" s="554"/>
      <c r="Y58" s="554"/>
      <c r="Z58" s="250"/>
      <c r="AA58" s="250"/>
      <c r="AB58" s="554"/>
      <c r="AC58" s="554"/>
      <c r="AD58" s="242"/>
    </row>
    <row r="59" spans="1:30">
      <c r="A59" s="242"/>
      <c r="B59" s="558">
        <v>39621</v>
      </c>
      <c r="C59" s="558"/>
      <c r="D59" s="247"/>
      <c r="E59" s="256">
        <v>0</v>
      </c>
      <c r="F59" s="557">
        <v>0</v>
      </c>
      <c r="G59" s="557"/>
      <c r="H59" s="256">
        <v>239</v>
      </c>
      <c r="I59" s="557">
        <v>24</v>
      </c>
      <c r="J59" s="557"/>
      <c r="K59" s="256">
        <v>0</v>
      </c>
      <c r="L59" s="257">
        <v>0</v>
      </c>
      <c r="M59" s="256">
        <v>357</v>
      </c>
      <c r="N59" s="257">
        <v>24</v>
      </c>
      <c r="O59" s="258">
        <v>596</v>
      </c>
      <c r="P59" s="250"/>
      <c r="Q59" s="256">
        <v>0</v>
      </c>
      <c r="R59" s="257">
        <v>0</v>
      </c>
      <c r="S59" s="256">
        <v>22</v>
      </c>
      <c r="T59" s="557">
        <v>3</v>
      </c>
      <c r="U59" s="557"/>
      <c r="V59" s="256">
        <v>22</v>
      </c>
      <c r="W59" s="250"/>
      <c r="X59" s="556">
        <v>618</v>
      </c>
      <c r="Y59" s="556"/>
      <c r="Z59" s="250"/>
      <c r="AA59" s="267">
        <v>7767700</v>
      </c>
      <c r="AB59" s="565">
        <v>0</v>
      </c>
      <c r="AC59" s="565"/>
      <c r="AD59" s="242"/>
    </row>
    <row r="60" spans="1:30">
      <c r="A60" s="242"/>
      <c r="B60" s="559"/>
      <c r="C60" s="559"/>
      <c r="D60" s="247"/>
      <c r="E60" s="250"/>
      <c r="F60" s="554"/>
      <c r="G60" s="554"/>
      <c r="H60" s="250"/>
      <c r="I60" s="554"/>
      <c r="J60" s="554"/>
      <c r="K60" s="250"/>
      <c r="L60" s="250"/>
      <c r="M60" s="250"/>
      <c r="N60" s="250"/>
      <c r="O60" s="250"/>
      <c r="P60" s="250"/>
      <c r="Q60" s="250"/>
      <c r="R60" s="250"/>
      <c r="S60" s="250"/>
      <c r="T60" s="554"/>
      <c r="U60" s="554"/>
      <c r="V60" s="250"/>
      <c r="W60" s="250"/>
      <c r="X60" s="554"/>
      <c r="Y60" s="554"/>
      <c r="Z60" s="250"/>
      <c r="AA60" s="250"/>
      <c r="AB60" s="554"/>
      <c r="AC60" s="554"/>
      <c r="AD60" s="242"/>
    </row>
    <row r="61" spans="1:30">
      <c r="A61" s="242"/>
      <c r="B61" s="563">
        <v>39622</v>
      </c>
      <c r="C61" s="563"/>
      <c r="D61" s="247"/>
      <c r="E61" s="252">
        <v>0</v>
      </c>
      <c r="F61" s="564">
        <v>0</v>
      </c>
      <c r="G61" s="564"/>
      <c r="H61" s="252">
        <v>155.80000000000001</v>
      </c>
      <c r="I61" s="564">
        <v>24</v>
      </c>
      <c r="J61" s="564"/>
      <c r="K61" s="252">
        <v>0</v>
      </c>
      <c r="L61" s="253">
        <v>0</v>
      </c>
      <c r="M61" s="252">
        <v>290</v>
      </c>
      <c r="N61" s="253">
        <v>24</v>
      </c>
      <c r="O61" s="254">
        <v>445.8</v>
      </c>
      <c r="P61" s="250"/>
      <c r="Q61" s="252">
        <v>0</v>
      </c>
      <c r="R61" s="253">
        <v>0</v>
      </c>
      <c r="S61" s="252">
        <v>188</v>
      </c>
      <c r="T61" s="564">
        <v>24</v>
      </c>
      <c r="U61" s="564"/>
      <c r="V61" s="252">
        <v>188</v>
      </c>
      <c r="W61" s="250"/>
      <c r="X61" s="561">
        <v>633.79999999999995</v>
      </c>
      <c r="Y61" s="561"/>
      <c r="Z61" s="250"/>
      <c r="AA61" s="266">
        <v>6632700</v>
      </c>
      <c r="AB61" s="566">
        <v>0</v>
      </c>
      <c r="AC61" s="566"/>
      <c r="AD61" s="242"/>
    </row>
    <row r="62" spans="1:30">
      <c r="A62" s="242"/>
      <c r="B62" s="559"/>
      <c r="C62" s="559"/>
      <c r="D62" s="247"/>
      <c r="E62" s="250"/>
      <c r="F62" s="554"/>
      <c r="G62" s="554"/>
      <c r="H62" s="250"/>
      <c r="I62" s="554"/>
      <c r="J62" s="554"/>
      <c r="K62" s="250"/>
      <c r="L62" s="250"/>
      <c r="M62" s="250"/>
      <c r="N62" s="250"/>
      <c r="O62" s="250"/>
      <c r="P62" s="250"/>
      <c r="Q62" s="250"/>
      <c r="R62" s="250"/>
      <c r="S62" s="250"/>
      <c r="T62" s="554"/>
      <c r="U62" s="554"/>
      <c r="V62" s="250"/>
      <c r="W62" s="250"/>
      <c r="X62" s="554"/>
      <c r="Y62" s="554"/>
      <c r="Z62" s="250"/>
      <c r="AA62" s="250"/>
      <c r="AB62" s="554"/>
      <c r="AC62" s="554"/>
      <c r="AD62" s="242"/>
    </row>
    <row r="63" spans="1:30">
      <c r="A63" s="242"/>
      <c r="B63" s="558">
        <v>39623</v>
      </c>
      <c r="C63" s="558"/>
      <c r="D63" s="247"/>
      <c r="E63" s="256">
        <v>0</v>
      </c>
      <c r="F63" s="557">
        <v>0</v>
      </c>
      <c r="G63" s="557"/>
      <c r="H63" s="256">
        <v>176.6</v>
      </c>
      <c r="I63" s="557">
        <v>24</v>
      </c>
      <c r="J63" s="557"/>
      <c r="K63" s="256">
        <v>0</v>
      </c>
      <c r="L63" s="257">
        <v>0</v>
      </c>
      <c r="M63" s="256">
        <v>301</v>
      </c>
      <c r="N63" s="257">
        <v>24</v>
      </c>
      <c r="O63" s="258">
        <v>477.6</v>
      </c>
      <c r="P63" s="250"/>
      <c r="Q63" s="256">
        <v>0</v>
      </c>
      <c r="R63" s="257">
        <v>0</v>
      </c>
      <c r="S63" s="256">
        <v>330</v>
      </c>
      <c r="T63" s="557">
        <v>24</v>
      </c>
      <c r="U63" s="557"/>
      <c r="V63" s="256">
        <v>330</v>
      </c>
      <c r="W63" s="250"/>
      <c r="X63" s="556">
        <v>807.6</v>
      </c>
      <c r="Y63" s="556"/>
      <c r="Z63" s="250"/>
      <c r="AA63" s="267">
        <v>6853100</v>
      </c>
      <c r="AB63" s="565">
        <v>0</v>
      </c>
      <c r="AC63" s="565"/>
      <c r="AD63" s="242"/>
    </row>
    <row r="64" spans="1:30">
      <c r="A64" s="242"/>
      <c r="B64" s="559"/>
      <c r="C64" s="559"/>
      <c r="D64" s="247"/>
      <c r="E64" s="250"/>
      <c r="F64" s="554"/>
      <c r="G64" s="554"/>
      <c r="H64" s="250"/>
      <c r="I64" s="554"/>
      <c r="J64" s="554"/>
      <c r="K64" s="250"/>
      <c r="L64" s="250"/>
      <c r="M64" s="250"/>
      <c r="N64" s="250"/>
      <c r="O64" s="250"/>
      <c r="P64" s="250"/>
      <c r="Q64" s="250"/>
      <c r="R64" s="250"/>
      <c r="S64" s="250"/>
      <c r="T64" s="554"/>
      <c r="U64" s="554"/>
      <c r="V64" s="250"/>
      <c r="W64" s="250"/>
      <c r="X64" s="554"/>
      <c r="Y64" s="554"/>
      <c r="Z64" s="250"/>
      <c r="AA64" s="250"/>
      <c r="AB64" s="554"/>
      <c r="AC64" s="554"/>
      <c r="AD64" s="242"/>
    </row>
    <row r="65" spans="1:30">
      <c r="A65" s="242"/>
      <c r="B65" s="563">
        <v>39624</v>
      </c>
      <c r="C65" s="563"/>
      <c r="D65" s="247"/>
      <c r="E65" s="252"/>
      <c r="F65" s="564"/>
      <c r="G65" s="564"/>
      <c r="H65" s="252">
        <v>192.6</v>
      </c>
      <c r="I65" s="564">
        <v>24</v>
      </c>
      <c r="J65" s="564"/>
      <c r="K65" s="252"/>
      <c r="L65" s="253"/>
      <c r="M65" s="252">
        <v>395</v>
      </c>
      <c r="N65" s="253">
        <v>24</v>
      </c>
      <c r="O65" s="254">
        <v>587.6</v>
      </c>
      <c r="P65" s="250"/>
      <c r="Q65" s="252">
        <v>86</v>
      </c>
      <c r="R65" s="253">
        <v>12</v>
      </c>
      <c r="S65" s="252"/>
      <c r="T65" s="564"/>
      <c r="U65" s="564"/>
      <c r="V65" s="252">
        <v>86</v>
      </c>
      <c r="W65" s="250"/>
      <c r="X65" s="561">
        <v>673.6</v>
      </c>
      <c r="Y65" s="561"/>
      <c r="Z65" s="250"/>
      <c r="AA65" s="266">
        <v>7626400</v>
      </c>
      <c r="AB65" s="566"/>
      <c r="AC65" s="566"/>
      <c r="AD65" s="242"/>
    </row>
    <row r="66" spans="1:30">
      <c r="A66" s="242"/>
      <c r="B66" s="559"/>
      <c r="C66" s="559"/>
      <c r="D66" s="247"/>
      <c r="E66" s="250"/>
      <c r="F66" s="554"/>
      <c r="G66" s="554"/>
      <c r="H66" s="250"/>
      <c r="I66" s="554"/>
      <c r="J66" s="554"/>
      <c r="K66" s="250"/>
      <c r="L66" s="250"/>
      <c r="M66" s="250"/>
      <c r="N66" s="250"/>
      <c r="O66" s="250"/>
      <c r="P66" s="250"/>
      <c r="Q66" s="250"/>
      <c r="R66" s="250"/>
      <c r="S66" s="250"/>
      <c r="T66" s="554"/>
      <c r="U66" s="554"/>
      <c r="V66" s="250"/>
      <c r="W66" s="250"/>
      <c r="X66" s="554"/>
      <c r="Y66" s="554"/>
      <c r="Z66" s="250"/>
      <c r="AA66" s="250"/>
      <c r="AB66" s="554"/>
      <c r="AC66" s="554"/>
      <c r="AD66" s="242"/>
    </row>
    <row r="67" spans="1:30">
      <c r="A67" s="242"/>
      <c r="B67" s="558">
        <v>39625</v>
      </c>
      <c r="C67" s="558"/>
      <c r="D67" s="247"/>
      <c r="E67" s="256"/>
      <c r="F67" s="557"/>
      <c r="G67" s="557"/>
      <c r="H67" s="256">
        <v>150</v>
      </c>
      <c r="I67" s="557">
        <v>24</v>
      </c>
      <c r="J67" s="557"/>
      <c r="K67" s="256"/>
      <c r="L67" s="257"/>
      <c r="M67" s="256">
        <v>345</v>
      </c>
      <c r="N67" s="257">
        <v>24</v>
      </c>
      <c r="O67" s="258">
        <v>495</v>
      </c>
      <c r="P67" s="250"/>
      <c r="Q67" s="256">
        <v>203</v>
      </c>
      <c r="R67" s="257">
        <v>24</v>
      </c>
      <c r="S67" s="256"/>
      <c r="T67" s="557"/>
      <c r="U67" s="557"/>
      <c r="V67" s="256">
        <v>203</v>
      </c>
      <c r="W67" s="250"/>
      <c r="X67" s="556">
        <v>698</v>
      </c>
      <c r="Y67" s="556"/>
      <c r="Z67" s="250"/>
      <c r="AA67" s="267">
        <v>7043100</v>
      </c>
      <c r="AB67" s="565"/>
      <c r="AC67" s="565"/>
      <c r="AD67" s="242"/>
    </row>
    <row r="68" spans="1:30">
      <c r="A68" s="242"/>
      <c r="B68" s="559"/>
      <c r="C68" s="559"/>
      <c r="D68" s="247"/>
      <c r="E68" s="250"/>
      <c r="F68" s="554"/>
      <c r="G68" s="554"/>
      <c r="H68" s="250"/>
      <c r="I68" s="554"/>
      <c r="J68" s="554"/>
      <c r="K68" s="250"/>
      <c r="L68" s="250"/>
      <c r="M68" s="250"/>
      <c r="N68" s="250"/>
      <c r="O68" s="250"/>
      <c r="P68" s="250"/>
      <c r="Q68" s="250"/>
      <c r="R68" s="250"/>
      <c r="S68" s="250"/>
      <c r="T68" s="554"/>
      <c r="U68" s="554"/>
      <c r="V68" s="250"/>
      <c r="W68" s="250"/>
      <c r="X68" s="554"/>
      <c r="Y68" s="554"/>
      <c r="Z68" s="250"/>
      <c r="AA68" s="250"/>
      <c r="AB68" s="554"/>
      <c r="AC68" s="554"/>
      <c r="AD68" s="242"/>
    </row>
    <row r="69" spans="1:30">
      <c r="A69" s="242"/>
      <c r="B69" s="563">
        <v>39626</v>
      </c>
      <c r="C69" s="563"/>
      <c r="D69" s="247"/>
      <c r="E69" s="252">
        <v>0</v>
      </c>
      <c r="F69" s="564">
        <v>0</v>
      </c>
      <c r="G69" s="564"/>
      <c r="H69" s="252">
        <v>146.1</v>
      </c>
      <c r="I69" s="564">
        <v>24</v>
      </c>
      <c r="J69" s="564"/>
      <c r="K69" s="252">
        <v>0</v>
      </c>
      <c r="L69" s="253">
        <v>0</v>
      </c>
      <c r="M69" s="252">
        <v>351</v>
      </c>
      <c r="N69" s="253">
        <v>24</v>
      </c>
      <c r="O69" s="254">
        <v>497.1</v>
      </c>
      <c r="P69" s="250"/>
      <c r="Q69" s="252">
        <v>199</v>
      </c>
      <c r="R69" s="253">
        <v>24</v>
      </c>
      <c r="S69" s="252">
        <v>0</v>
      </c>
      <c r="T69" s="564">
        <v>0</v>
      </c>
      <c r="U69" s="564"/>
      <c r="V69" s="252">
        <v>199</v>
      </c>
      <c r="W69" s="250"/>
      <c r="X69" s="561">
        <v>696.1</v>
      </c>
      <c r="Y69" s="561"/>
      <c r="Z69" s="250"/>
      <c r="AA69" s="266">
        <v>7001600</v>
      </c>
      <c r="AB69" s="566">
        <v>0</v>
      </c>
      <c r="AC69" s="566"/>
      <c r="AD69" s="242"/>
    </row>
    <row r="70" spans="1:30">
      <c r="A70" s="242"/>
      <c r="B70" s="559"/>
      <c r="C70" s="559"/>
      <c r="D70" s="247"/>
      <c r="E70" s="250"/>
      <c r="F70" s="554"/>
      <c r="G70" s="554"/>
      <c r="H70" s="250"/>
      <c r="I70" s="554"/>
      <c r="J70" s="554"/>
      <c r="K70" s="250"/>
      <c r="L70" s="250"/>
      <c r="M70" s="250"/>
      <c r="N70" s="250"/>
      <c r="O70" s="250"/>
      <c r="P70" s="250"/>
      <c r="Q70" s="250"/>
      <c r="R70" s="250"/>
      <c r="S70" s="250"/>
      <c r="T70" s="554"/>
      <c r="U70" s="554"/>
      <c r="V70" s="250"/>
      <c r="W70" s="250"/>
      <c r="X70" s="554"/>
      <c r="Y70" s="554"/>
      <c r="Z70" s="250"/>
      <c r="AA70" s="250"/>
      <c r="AB70" s="554"/>
      <c r="AC70" s="554"/>
      <c r="AD70" s="242"/>
    </row>
    <row r="71" spans="1:30">
      <c r="A71" s="242"/>
      <c r="B71" s="558">
        <v>39627</v>
      </c>
      <c r="C71" s="558"/>
      <c r="D71" s="247"/>
      <c r="E71" s="256">
        <v>0</v>
      </c>
      <c r="F71" s="557">
        <v>0</v>
      </c>
      <c r="G71" s="557"/>
      <c r="H71" s="256">
        <v>149.9</v>
      </c>
      <c r="I71" s="557">
        <v>24</v>
      </c>
      <c r="J71" s="557"/>
      <c r="K71" s="256">
        <v>0</v>
      </c>
      <c r="L71" s="257">
        <v>0</v>
      </c>
      <c r="M71" s="256">
        <v>289</v>
      </c>
      <c r="N71" s="257">
        <v>24</v>
      </c>
      <c r="O71" s="258">
        <v>438.9</v>
      </c>
      <c r="P71" s="250"/>
      <c r="Q71" s="256">
        <v>182</v>
      </c>
      <c r="R71" s="257">
        <v>24</v>
      </c>
      <c r="S71" s="256">
        <v>0</v>
      </c>
      <c r="T71" s="557">
        <v>0</v>
      </c>
      <c r="U71" s="557"/>
      <c r="V71" s="256">
        <v>182</v>
      </c>
      <c r="W71" s="250"/>
      <c r="X71" s="556">
        <v>620.9</v>
      </c>
      <c r="Y71" s="556"/>
      <c r="Z71" s="250"/>
      <c r="AA71" s="267">
        <v>6622100</v>
      </c>
      <c r="AB71" s="565">
        <v>0</v>
      </c>
      <c r="AC71" s="565"/>
      <c r="AD71" s="242"/>
    </row>
    <row r="72" spans="1:30">
      <c r="A72" s="242"/>
      <c r="B72" s="559"/>
      <c r="C72" s="559"/>
      <c r="D72" s="247"/>
      <c r="E72" s="250"/>
      <c r="F72" s="554"/>
      <c r="G72" s="554"/>
      <c r="H72" s="250"/>
      <c r="I72" s="554"/>
      <c r="J72" s="554"/>
      <c r="K72" s="250"/>
      <c r="L72" s="250"/>
      <c r="M72" s="250"/>
      <c r="N72" s="250"/>
      <c r="O72" s="250"/>
      <c r="P72" s="250"/>
      <c r="Q72" s="250"/>
      <c r="R72" s="250"/>
      <c r="S72" s="250"/>
      <c r="T72" s="554"/>
      <c r="U72" s="554"/>
      <c r="V72" s="250"/>
      <c r="W72" s="250"/>
      <c r="X72" s="554"/>
      <c r="Y72" s="554"/>
      <c r="Z72" s="250"/>
      <c r="AA72" s="250"/>
      <c r="AB72" s="554"/>
      <c r="AC72" s="554"/>
      <c r="AD72" s="242"/>
    </row>
    <row r="73" spans="1:30">
      <c r="A73" s="242"/>
      <c r="B73" s="563">
        <v>39628</v>
      </c>
      <c r="C73" s="563"/>
      <c r="D73" s="247"/>
      <c r="E73" s="252">
        <v>0</v>
      </c>
      <c r="F73" s="564">
        <v>0</v>
      </c>
      <c r="G73" s="564"/>
      <c r="H73" s="252">
        <v>150</v>
      </c>
      <c r="I73" s="564">
        <v>24</v>
      </c>
      <c r="J73" s="564"/>
      <c r="K73" s="252">
        <v>0</v>
      </c>
      <c r="L73" s="253">
        <v>0</v>
      </c>
      <c r="M73" s="252">
        <v>222</v>
      </c>
      <c r="N73" s="253">
        <v>24</v>
      </c>
      <c r="O73" s="254">
        <v>372</v>
      </c>
      <c r="P73" s="250"/>
      <c r="Q73" s="252">
        <v>159</v>
      </c>
      <c r="R73" s="253">
        <v>24</v>
      </c>
      <c r="S73" s="252">
        <v>0</v>
      </c>
      <c r="T73" s="564">
        <v>0</v>
      </c>
      <c r="U73" s="564"/>
      <c r="V73" s="252">
        <v>159</v>
      </c>
      <c r="W73" s="250"/>
      <c r="X73" s="561">
        <v>531</v>
      </c>
      <c r="Y73" s="561"/>
      <c r="Z73" s="250"/>
      <c r="AA73" s="266">
        <v>6088200</v>
      </c>
      <c r="AB73" s="566">
        <v>0</v>
      </c>
      <c r="AC73" s="566"/>
      <c r="AD73" s="242"/>
    </row>
    <row r="74" spans="1:30">
      <c r="A74" s="242"/>
      <c r="B74" s="559"/>
      <c r="C74" s="559"/>
      <c r="D74" s="247"/>
      <c r="E74" s="250"/>
      <c r="F74" s="554"/>
      <c r="G74" s="554"/>
      <c r="H74" s="250"/>
      <c r="I74" s="554"/>
      <c r="J74" s="554"/>
      <c r="K74" s="250"/>
      <c r="L74" s="250"/>
      <c r="M74" s="250"/>
      <c r="N74" s="250"/>
      <c r="O74" s="250"/>
      <c r="P74" s="250"/>
      <c r="Q74" s="250"/>
      <c r="R74" s="250"/>
      <c r="S74" s="250"/>
      <c r="T74" s="554"/>
      <c r="U74" s="554"/>
      <c r="V74" s="250"/>
      <c r="W74" s="250"/>
      <c r="X74" s="554"/>
      <c r="Y74" s="554"/>
      <c r="Z74" s="250"/>
      <c r="AA74" s="250"/>
      <c r="AB74" s="554"/>
      <c r="AC74" s="554"/>
      <c r="AD74" s="242"/>
    </row>
    <row r="75" spans="1:30">
      <c r="A75" s="242"/>
      <c r="B75" s="558">
        <v>39629</v>
      </c>
      <c r="C75" s="558"/>
      <c r="D75" s="247"/>
      <c r="E75" s="256">
        <v>0</v>
      </c>
      <c r="F75" s="557">
        <v>0</v>
      </c>
      <c r="G75" s="557"/>
      <c r="H75" s="256">
        <v>140.4</v>
      </c>
      <c r="I75" s="557">
        <v>24</v>
      </c>
      <c r="J75" s="557"/>
      <c r="K75" s="256">
        <v>0</v>
      </c>
      <c r="L75" s="257">
        <v>0</v>
      </c>
      <c r="M75" s="256">
        <v>229</v>
      </c>
      <c r="N75" s="257">
        <v>24</v>
      </c>
      <c r="O75" s="258">
        <v>369.4</v>
      </c>
      <c r="P75" s="250"/>
      <c r="Q75" s="256">
        <v>185</v>
      </c>
      <c r="R75" s="257">
        <v>24</v>
      </c>
      <c r="S75" s="256">
        <v>0</v>
      </c>
      <c r="T75" s="557">
        <v>0</v>
      </c>
      <c r="U75" s="557"/>
      <c r="V75" s="256">
        <v>185</v>
      </c>
      <c r="W75" s="250"/>
      <c r="X75" s="556">
        <v>554.4</v>
      </c>
      <c r="Y75" s="556"/>
      <c r="Z75" s="250"/>
      <c r="AA75" s="267">
        <v>6063100</v>
      </c>
      <c r="AB75" s="565">
        <v>0</v>
      </c>
      <c r="AC75" s="565"/>
      <c r="AD75" s="242"/>
    </row>
    <row r="76" spans="1:30">
      <c r="A76" s="242"/>
      <c r="B76" s="559"/>
      <c r="C76" s="559"/>
      <c r="D76" s="247"/>
      <c r="E76" s="250"/>
      <c r="F76" s="554"/>
      <c r="G76" s="554"/>
      <c r="H76" s="250"/>
      <c r="I76" s="554"/>
      <c r="J76" s="554"/>
      <c r="K76" s="250"/>
      <c r="L76" s="250"/>
      <c r="M76" s="250"/>
      <c r="N76" s="250"/>
      <c r="O76" s="250"/>
      <c r="P76" s="250"/>
      <c r="Q76" s="250"/>
      <c r="R76" s="250"/>
      <c r="S76" s="250"/>
      <c r="T76" s="554"/>
      <c r="U76" s="554"/>
      <c r="V76" s="250"/>
      <c r="W76" s="250"/>
      <c r="X76" s="554"/>
      <c r="Y76" s="554"/>
      <c r="Z76" s="250"/>
      <c r="AA76" s="250"/>
      <c r="AB76" s="554"/>
      <c r="AC76" s="554"/>
      <c r="AD76" s="242"/>
    </row>
    <row r="77" spans="1:30">
      <c r="A77" s="242"/>
      <c r="B77" s="563">
        <v>39630</v>
      </c>
      <c r="C77" s="563"/>
      <c r="D77" s="247"/>
      <c r="E77" s="252">
        <v>17.2</v>
      </c>
      <c r="F77" s="564">
        <v>6</v>
      </c>
      <c r="G77" s="564"/>
      <c r="H77" s="252">
        <v>131.30000000000001</v>
      </c>
      <c r="I77" s="564">
        <v>24</v>
      </c>
      <c r="J77" s="564"/>
      <c r="K77" s="252">
        <v>0</v>
      </c>
      <c r="L77" s="253">
        <v>0</v>
      </c>
      <c r="M77" s="252">
        <v>237</v>
      </c>
      <c r="N77" s="253">
        <v>24</v>
      </c>
      <c r="O77" s="254">
        <v>385.5</v>
      </c>
      <c r="P77" s="250"/>
      <c r="Q77" s="252">
        <v>228</v>
      </c>
      <c r="R77" s="253">
        <v>24</v>
      </c>
      <c r="S77" s="252">
        <v>0</v>
      </c>
      <c r="T77" s="564">
        <v>0</v>
      </c>
      <c r="U77" s="564"/>
      <c r="V77" s="252">
        <v>228</v>
      </c>
      <c r="W77" s="250"/>
      <c r="X77" s="561">
        <v>613.5</v>
      </c>
      <c r="Y77" s="561"/>
      <c r="Z77" s="250"/>
      <c r="AA77" s="266">
        <v>6620300</v>
      </c>
      <c r="AB77" s="566">
        <v>1635</v>
      </c>
      <c r="AC77" s="566"/>
      <c r="AD77" s="242"/>
    </row>
    <row r="78" spans="1:30">
      <c r="A78" s="242"/>
      <c r="B78" s="559"/>
      <c r="C78" s="559"/>
      <c r="D78" s="247"/>
      <c r="E78" s="250"/>
      <c r="F78" s="554"/>
      <c r="G78" s="554"/>
      <c r="H78" s="250"/>
      <c r="I78" s="554"/>
      <c r="J78" s="554"/>
      <c r="K78" s="250"/>
      <c r="L78" s="250"/>
      <c r="M78" s="250"/>
      <c r="N78" s="250"/>
      <c r="O78" s="250"/>
      <c r="P78" s="250"/>
      <c r="Q78" s="250"/>
      <c r="R78" s="250"/>
      <c r="S78" s="250"/>
      <c r="T78" s="554"/>
      <c r="U78" s="554"/>
      <c r="V78" s="250"/>
      <c r="W78" s="250"/>
      <c r="X78" s="554"/>
      <c r="Y78" s="554"/>
      <c r="Z78" s="250"/>
      <c r="AA78" s="250"/>
      <c r="AB78" s="554"/>
      <c r="AC78" s="554"/>
      <c r="AD78" s="242"/>
    </row>
    <row r="79" spans="1:30">
      <c r="A79" s="242"/>
      <c r="B79" s="558">
        <v>39631</v>
      </c>
      <c r="C79" s="558"/>
      <c r="D79" s="247"/>
      <c r="E79" s="256"/>
      <c r="F79" s="557"/>
      <c r="G79" s="557"/>
      <c r="H79" s="256">
        <v>158.30000000000001</v>
      </c>
      <c r="I79" s="557">
        <v>24</v>
      </c>
      <c r="J79" s="557"/>
      <c r="K79" s="256"/>
      <c r="L79" s="257"/>
      <c r="M79" s="256">
        <v>312</v>
      </c>
      <c r="N79" s="257">
        <v>24</v>
      </c>
      <c r="O79" s="258">
        <v>470.3</v>
      </c>
      <c r="P79" s="250"/>
      <c r="Q79" s="256">
        <v>54</v>
      </c>
      <c r="R79" s="257">
        <v>8</v>
      </c>
      <c r="S79" s="256"/>
      <c r="T79" s="557"/>
      <c r="U79" s="557"/>
      <c r="V79" s="256">
        <v>54</v>
      </c>
      <c r="W79" s="250"/>
      <c r="X79" s="556">
        <v>524.29999999999995</v>
      </c>
      <c r="Y79" s="556"/>
      <c r="Z79" s="250"/>
      <c r="AA79" s="267">
        <v>6775900</v>
      </c>
      <c r="AB79" s="565"/>
      <c r="AC79" s="565"/>
      <c r="AD79" s="242"/>
    </row>
    <row r="80" spans="1:30">
      <c r="A80" s="242"/>
      <c r="B80" s="559"/>
      <c r="C80" s="559"/>
      <c r="D80" s="247"/>
      <c r="E80" s="250"/>
      <c r="F80" s="554"/>
      <c r="G80" s="554"/>
      <c r="H80" s="250"/>
      <c r="I80" s="554"/>
      <c r="J80" s="554"/>
      <c r="K80" s="250"/>
      <c r="L80" s="250"/>
      <c r="M80" s="250"/>
      <c r="N80" s="250"/>
      <c r="O80" s="250"/>
      <c r="P80" s="250"/>
      <c r="Q80" s="250"/>
      <c r="R80" s="250"/>
      <c r="S80" s="250"/>
      <c r="T80" s="554"/>
      <c r="U80" s="554"/>
      <c r="V80" s="250"/>
      <c r="W80" s="250"/>
      <c r="X80" s="554"/>
      <c r="Y80" s="554"/>
      <c r="Z80" s="250"/>
      <c r="AA80" s="250"/>
      <c r="AB80" s="554"/>
      <c r="AC80" s="554"/>
      <c r="AD80" s="242"/>
    </row>
    <row r="81" spans="1:30">
      <c r="A81" s="242"/>
      <c r="B81" s="563">
        <v>39632</v>
      </c>
      <c r="C81" s="563"/>
      <c r="D81" s="247"/>
      <c r="E81" s="252"/>
      <c r="F81" s="564">
        <v>15</v>
      </c>
      <c r="G81" s="564"/>
      <c r="H81" s="252">
        <v>214.9</v>
      </c>
      <c r="I81" s="564">
        <v>24</v>
      </c>
      <c r="J81" s="564"/>
      <c r="K81" s="252"/>
      <c r="L81" s="253"/>
      <c r="M81" s="252">
        <v>403</v>
      </c>
      <c r="N81" s="253">
        <v>24</v>
      </c>
      <c r="O81" s="254">
        <v>617.9</v>
      </c>
      <c r="P81" s="250"/>
      <c r="Q81" s="252"/>
      <c r="R81" s="253"/>
      <c r="S81" s="252"/>
      <c r="T81" s="564"/>
      <c r="U81" s="564"/>
      <c r="V81" s="252"/>
      <c r="W81" s="250"/>
      <c r="X81" s="561">
        <v>617.9</v>
      </c>
      <c r="Y81" s="561"/>
      <c r="Z81" s="250"/>
      <c r="AA81" s="266">
        <v>9272300</v>
      </c>
      <c r="AB81" s="566"/>
      <c r="AC81" s="566"/>
      <c r="AD81" s="242"/>
    </row>
    <row r="82" spans="1:30">
      <c r="A82" s="242"/>
      <c r="B82" s="559"/>
      <c r="C82" s="559"/>
      <c r="D82" s="247"/>
      <c r="E82" s="250"/>
      <c r="F82" s="554"/>
      <c r="G82" s="554"/>
      <c r="H82" s="250"/>
      <c r="I82" s="554"/>
      <c r="J82" s="554"/>
      <c r="K82" s="250"/>
      <c r="L82" s="250"/>
      <c r="M82" s="250"/>
      <c r="N82" s="250"/>
      <c r="O82" s="250"/>
      <c r="P82" s="250"/>
      <c r="Q82" s="250"/>
      <c r="R82" s="250"/>
      <c r="S82" s="250"/>
      <c r="T82" s="554"/>
      <c r="U82" s="554"/>
      <c r="V82" s="250"/>
      <c r="W82" s="250"/>
      <c r="X82" s="554"/>
      <c r="Y82" s="554"/>
      <c r="Z82" s="250"/>
      <c r="AA82" s="250"/>
      <c r="AB82" s="554"/>
      <c r="AC82" s="554"/>
      <c r="AD82" s="242"/>
    </row>
    <row r="83" spans="1:30">
      <c r="A83" s="242"/>
      <c r="B83" s="558">
        <v>39633</v>
      </c>
      <c r="C83" s="558"/>
      <c r="D83" s="247"/>
      <c r="E83" s="256">
        <v>0</v>
      </c>
      <c r="F83" s="557">
        <v>24</v>
      </c>
      <c r="G83" s="557"/>
      <c r="H83" s="256">
        <v>210.7</v>
      </c>
      <c r="I83" s="557">
        <v>24</v>
      </c>
      <c r="J83" s="557"/>
      <c r="K83" s="256">
        <v>0</v>
      </c>
      <c r="L83" s="257">
        <v>0</v>
      </c>
      <c r="M83" s="256">
        <v>385</v>
      </c>
      <c r="N83" s="257">
        <v>24</v>
      </c>
      <c r="O83" s="258">
        <v>595.70000000000005</v>
      </c>
      <c r="P83" s="250"/>
      <c r="Q83" s="256">
        <v>0</v>
      </c>
      <c r="R83" s="257">
        <v>0</v>
      </c>
      <c r="S83" s="256">
        <v>0</v>
      </c>
      <c r="T83" s="557">
        <v>0</v>
      </c>
      <c r="U83" s="557"/>
      <c r="V83" s="256">
        <v>0</v>
      </c>
      <c r="W83" s="250"/>
      <c r="X83" s="556">
        <v>595.70000000000005</v>
      </c>
      <c r="Y83" s="556"/>
      <c r="Z83" s="250"/>
      <c r="AA83" s="267">
        <v>9776900</v>
      </c>
      <c r="AB83" s="565">
        <v>0</v>
      </c>
      <c r="AC83" s="565"/>
      <c r="AD83" s="242"/>
    </row>
    <row r="84" spans="1:30">
      <c r="A84" s="242"/>
      <c r="B84" s="559"/>
      <c r="C84" s="559"/>
      <c r="D84" s="247"/>
      <c r="E84" s="250"/>
      <c r="F84" s="554"/>
      <c r="G84" s="554"/>
      <c r="H84" s="250"/>
      <c r="I84" s="554"/>
      <c r="J84" s="554"/>
      <c r="K84" s="250"/>
      <c r="L84" s="250"/>
      <c r="M84" s="250"/>
      <c r="N84" s="250"/>
      <c r="O84" s="250"/>
      <c r="P84" s="250"/>
      <c r="Q84" s="250"/>
      <c r="R84" s="250"/>
      <c r="S84" s="250"/>
      <c r="T84" s="554"/>
      <c r="U84" s="554"/>
      <c r="V84" s="250"/>
      <c r="W84" s="250"/>
      <c r="X84" s="554"/>
      <c r="Y84" s="554"/>
      <c r="Z84" s="250"/>
      <c r="AA84" s="250"/>
      <c r="AB84" s="554"/>
      <c r="AC84" s="554"/>
      <c r="AD84" s="242"/>
    </row>
    <row r="85" spans="1:30">
      <c r="A85" s="242"/>
      <c r="B85" s="563">
        <v>39634</v>
      </c>
      <c r="C85" s="563"/>
      <c r="D85" s="247"/>
      <c r="E85" s="252">
        <v>0</v>
      </c>
      <c r="F85" s="564">
        <v>0</v>
      </c>
      <c r="G85" s="564"/>
      <c r="H85" s="252">
        <v>214.4</v>
      </c>
      <c r="I85" s="564">
        <v>24</v>
      </c>
      <c r="J85" s="564"/>
      <c r="K85" s="252">
        <v>0</v>
      </c>
      <c r="L85" s="253">
        <v>0</v>
      </c>
      <c r="M85" s="252">
        <v>379</v>
      </c>
      <c r="N85" s="253">
        <v>24</v>
      </c>
      <c r="O85" s="254">
        <v>593.4</v>
      </c>
      <c r="P85" s="250"/>
      <c r="Q85" s="252">
        <v>0</v>
      </c>
      <c r="R85" s="253">
        <v>0</v>
      </c>
      <c r="S85" s="252">
        <v>0</v>
      </c>
      <c r="T85" s="564">
        <v>0</v>
      </c>
      <c r="U85" s="564"/>
      <c r="V85" s="252">
        <v>0</v>
      </c>
      <c r="W85" s="250"/>
      <c r="X85" s="561">
        <v>593.4</v>
      </c>
      <c r="Y85" s="561"/>
      <c r="Z85" s="250"/>
      <c r="AA85" s="266">
        <v>9824600</v>
      </c>
      <c r="AB85" s="566">
        <v>0</v>
      </c>
      <c r="AC85" s="566"/>
      <c r="AD85" s="242"/>
    </row>
    <row r="86" spans="1:30">
      <c r="A86" s="242"/>
      <c r="B86" s="559"/>
      <c r="C86" s="559"/>
      <c r="D86" s="247"/>
      <c r="E86" s="250"/>
      <c r="F86" s="554"/>
      <c r="G86" s="554"/>
      <c r="H86" s="250"/>
      <c r="I86" s="554"/>
      <c r="J86" s="554"/>
      <c r="K86" s="250"/>
      <c r="L86" s="250"/>
      <c r="M86" s="250"/>
      <c r="N86" s="250"/>
      <c r="O86" s="250"/>
      <c r="P86" s="250"/>
      <c r="Q86" s="250"/>
      <c r="R86" s="250"/>
      <c r="S86" s="250"/>
      <c r="T86" s="554"/>
      <c r="U86" s="554"/>
      <c r="V86" s="250"/>
      <c r="W86" s="250"/>
      <c r="X86" s="554"/>
      <c r="Y86" s="554"/>
      <c r="Z86" s="250"/>
      <c r="AA86" s="250"/>
      <c r="AB86" s="554"/>
      <c r="AC86" s="554"/>
      <c r="AD86" s="242"/>
    </row>
    <row r="87" spans="1:30">
      <c r="A87" s="242"/>
      <c r="B87" s="558">
        <v>39635</v>
      </c>
      <c r="C87" s="558"/>
      <c r="D87" s="247"/>
      <c r="E87" s="256">
        <v>0</v>
      </c>
      <c r="F87" s="557">
        <v>12</v>
      </c>
      <c r="G87" s="557"/>
      <c r="H87" s="256">
        <v>182</v>
      </c>
      <c r="I87" s="557">
        <v>24</v>
      </c>
      <c r="J87" s="557"/>
      <c r="K87" s="256">
        <v>0</v>
      </c>
      <c r="L87" s="257">
        <v>0</v>
      </c>
      <c r="M87" s="256">
        <v>342</v>
      </c>
      <c r="N87" s="257">
        <v>24</v>
      </c>
      <c r="O87" s="258">
        <v>524</v>
      </c>
      <c r="P87" s="250"/>
      <c r="Q87" s="256">
        <v>137</v>
      </c>
      <c r="R87" s="257">
        <v>11</v>
      </c>
      <c r="S87" s="256">
        <v>0</v>
      </c>
      <c r="T87" s="557">
        <v>0</v>
      </c>
      <c r="U87" s="557"/>
      <c r="V87" s="256">
        <v>137</v>
      </c>
      <c r="W87" s="250"/>
      <c r="X87" s="556">
        <v>661</v>
      </c>
      <c r="Y87" s="556"/>
      <c r="Z87" s="250"/>
      <c r="AA87" s="267">
        <v>8237000</v>
      </c>
      <c r="AB87" s="565">
        <v>0</v>
      </c>
      <c r="AC87" s="565"/>
      <c r="AD87" s="242"/>
    </row>
    <row r="88" spans="1:30">
      <c r="A88" s="242"/>
      <c r="B88" s="559"/>
      <c r="C88" s="559"/>
      <c r="D88" s="247"/>
      <c r="E88" s="250"/>
      <c r="F88" s="554"/>
      <c r="G88" s="554"/>
      <c r="H88" s="250"/>
      <c r="I88" s="554"/>
      <c r="J88" s="554"/>
      <c r="K88" s="250"/>
      <c r="L88" s="250"/>
      <c r="M88" s="250"/>
      <c r="N88" s="250"/>
      <c r="O88" s="250"/>
      <c r="P88" s="250"/>
      <c r="Q88" s="250"/>
      <c r="R88" s="250"/>
      <c r="S88" s="250"/>
      <c r="T88" s="554"/>
      <c r="U88" s="554"/>
      <c r="V88" s="250"/>
      <c r="W88" s="250"/>
      <c r="X88" s="554"/>
      <c r="Y88" s="554"/>
      <c r="Z88" s="250"/>
      <c r="AA88" s="250"/>
      <c r="AB88" s="554"/>
      <c r="AC88" s="554"/>
      <c r="AD88" s="242"/>
    </row>
    <row r="89" spans="1:30">
      <c r="A89" s="242"/>
      <c r="B89" s="563">
        <v>39636</v>
      </c>
      <c r="C89" s="563"/>
      <c r="D89" s="247"/>
      <c r="E89" s="252">
        <v>0</v>
      </c>
      <c r="F89" s="564">
        <v>0</v>
      </c>
      <c r="G89" s="564"/>
      <c r="H89" s="252">
        <v>145</v>
      </c>
      <c r="I89" s="564">
        <v>24</v>
      </c>
      <c r="J89" s="564"/>
      <c r="K89" s="252">
        <v>0</v>
      </c>
      <c r="L89" s="253">
        <v>0</v>
      </c>
      <c r="M89" s="252">
        <v>309</v>
      </c>
      <c r="N89" s="253">
        <v>24</v>
      </c>
      <c r="O89" s="254">
        <v>454</v>
      </c>
      <c r="P89" s="250"/>
      <c r="Q89" s="252">
        <v>183</v>
      </c>
      <c r="R89" s="253">
        <v>24</v>
      </c>
      <c r="S89" s="252">
        <v>0</v>
      </c>
      <c r="T89" s="564">
        <v>0</v>
      </c>
      <c r="U89" s="564"/>
      <c r="V89" s="252">
        <v>183</v>
      </c>
      <c r="W89" s="250"/>
      <c r="X89" s="561">
        <v>637</v>
      </c>
      <c r="Y89" s="561"/>
      <c r="Z89" s="250"/>
      <c r="AA89" s="266">
        <v>6651700</v>
      </c>
      <c r="AB89" s="566">
        <v>0</v>
      </c>
      <c r="AC89" s="566"/>
      <c r="AD89" s="242"/>
    </row>
    <row r="90" spans="1:30">
      <c r="A90" s="242"/>
      <c r="B90" s="559"/>
      <c r="C90" s="559"/>
      <c r="D90" s="247"/>
      <c r="E90" s="250"/>
      <c r="F90" s="554"/>
      <c r="G90" s="554"/>
      <c r="H90" s="250"/>
      <c r="I90" s="554"/>
      <c r="J90" s="554"/>
      <c r="K90" s="250"/>
      <c r="L90" s="250"/>
      <c r="M90" s="250"/>
      <c r="N90" s="250"/>
      <c r="O90" s="250"/>
      <c r="P90" s="250"/>
      <c r="Q90" s="250"/>
      <c r="R90" s="250"/>
      <c r="S90" s="250"/>
      <c r="T90" s="554"/>
      <c r="U90" s="554"/>
      <c r="V90" s="250"/>
      <c r="W90" s="250"/>
      <c r="X90" s="554"/>
      <c r="Y90" s="554"/>
      <c r="Z90" s="250"/>
      <c r="AA90" s="250"/>
      <c r="AB90" s="554"/>
      <c r="AC90" s="554"/>
      <c r="AD90" s="242"/>
    </row>
    <row r="91" spans="1:30">
      <c r="A91" s="242"/>
      <c r="B91" s="558">
        <v>39637</v>
      </c>
      <c r="C91" s="558"/>
      <c r="D91" s="247"/>
      <c r="E91" s="256"/>
      <c r="F91" s="557"/>
      <c r="G91" s="557"/>
      <c r="H91" s="256">
        <v>156.19999999999999</v>
      </c>
      <c r="I91" s="557">
        <v>24</v>
      </c>
      <c r="J91" s="557"/>
      <c r="K91" s="256"/>
      <c r="L91" s="257"/>
      <c r="M91" s="256">
        <v>327</v>
      </c>
      <c r="N91" s="257">
        <v>24</v>
      </c>
      <c r="O91" s="258">
        <v>483.2</v>
      </c>
      <c r="P91" s="250"/>
      <c r="Q91" s="256">
        <v>217</v>
      </c>
      <c r="R91" s="257">
        <v>24</v>
      </c>
      <c r="S91" s="256"/>
      <c r="T91" s="557"/>
      <c r="U91" s="557"/>
      <c r="V91" s="256">
        <v>217</v>
      </c>
      <c r="W91" s="250"/>
      <c r="X91" s="556">
        <v>700.2</v>
      </c>
      <c r="Y91" s="556"/>
      <c r="Z91" s="250"/>
      <c r="AA91" s="267">
        <v>6898900</v>
      </c>
      <c r="AB91" s="565"/>
      <c r="AC91" s="565"/>
      <c r="AD91" s="242"/>
    </row>
    <row r="92" spans="1:30">
      <c r="A92" s="242"/>
      <c r="B92" s="559"/>
      <c r="C92" s="559"/>
      <c r="D92" s="247"/>
      <c r="E92" s="250"/>
      <c r="F92" s="554"/>
      <c r="G92" s="554"/>
      <c r="H92" s="250"/>
      <c r="I92" s="554"/>
      <c r="J92" s="554"/>
      <c r="K92" s="250"/>
      <c r="L92" s="250"/>
      <c r="M92" s="250"/>
      <c r="N92" s="250"/>
      <c r="O92" s="250"/>
      <c r="P92" s="250"/>
      <c r="Q92" s="250"/>
      <c r="R92" s="250"/>
      <c r="S92" s="250"/>
      <c r="T92" s="554"/>
      <c r="U92" s="554"/>
      <c r="V92" s="250"/>
      <c r="W92" s="250"/>
      <c r="X92" s="554"/>
      <c r="Y92" s="554"/>
      <c r="Z92" s="250"/>
      <c r="AA92" s="250"/>
      <c r="AB92" s="554"/>
      <c r="AC92" s="554"/>
      <c r="AD92" s="242"/>
    </row>
    <row r="93" spans="1:30">
      <c r="A93" s="242"/>
      <c r="B93" s="563">
        <v>39638</v>
      </c>
      <c r="C93" s="563"/>
      <c r="D93" s="247"/>
      <c r="E93" s="252"/>
      <c r="F93" s="564"/>
      <c r="G93" s="564"/>
      <c r="H93" s="252">
        <v>159.5</v>
      </c>
      <c r="I93" s="564">
        <v>24</v>
      </c>
      <c r="J93" s="564"/>
      <c r="K93" s="252"/>
      <c r="L93" s="253"/>
      <c r="M93" s="252">
        <v>320</v>
      </c>
      <c r="N93" s="253">
        <v>24</v>
      </c>
      <c r="O93" s="254">
        <v>479.5</v>
      </c>
      <c r="P93" s="250"/>
      <c r="Q93" s="252">
        <v>200</v>
      </c>
      <c r="R93" s="253">
        <v>24</v>
      </c>
      <c r="S93" s="252"/>
      <c r="T93" s="564"/>
      <c r="U93" s="564"/>
      <c r="V93" s="252">
        <v>200</v>
      </c>
      <c r="W93" s="250"/>
      <c r="X93" s="561">
        <v>679.5</v>
      </c>
      <c r="Y93" s="561"/>
      <c r="Z93" s="250"/>
      <c r="AA93" s="266">
        <v>6808700</v>
      </c>
      <c r="AB93" s="566"/>
      <c r="AC93" s="566"/>
      <c r="AD93" s="242"/>
    </row>
    <row r="94" spans="1:30">
      <c r="A94" s="242"/>
      <c r="B94" s="559"/>
      <c r="C94" s="559"/>
      <c r="D94" s="247"/>
      <c r="E94" s="250"/>
      <c r="F94" s="554"/>
      <c r="G94" s="554"/>
      <c r="H94" s="250"/>
      <c r="I94" s="554"/>
      <c r="J94" s="554"/>
      <c r="K94" s="250"/>
      <c r="L94" s="250"/>
      <c r="M94" s="250"/>
      <c r="N94" s="250"/>
      <c r="O94" s="250"/>
      <c r="P94" s="250"/>
      <c r="Q94" s="250"/>
      <c r="R94" s="250"/>
      <c r="S94" s="250"/>
      <c r="T94" s="554"/>
      <c r="U94" s="554"/>
      <c r="V94" s="250"/>
      <c r="W94" s="250"/>
      <c r="X94" s="554"/>
      <c r="Y94" s="554"/>
      <c r="Z94" s="250"/>
      <c r="AA94" s="250"/>
      <c r="AB94" s="554"/>
      <c r="AC94" s="554"/>
      <c r="AD94" s="242"/>
    </row>
    <row r="95" spans="1:30">
      <c r="A95" s="242"/>
      <c r="B95" s="558">
        <v>39639</v>
      </c>
      <c r="C95" s="558"/>
      <c r="D95" s="247"/>
      <c r="E95" s="256">
        <v>0</v>
      </c>
      <c r="F95" s="557">
        <v>0</v>
      </c>
      <c r="G95" s="557"/>
      <c r="H95" s="256">
        <v>163.5</v>
      </c>
      <c r="I95" s="557">
        <v>24</v>
      </c>
      <c r="J95" s="557"/>
      <c r="K95" s="256">
        <v>0</v>
      </c>
      <c r="L95" s="257">
        <v>0</v>
      </c>
      <c r="M95" s="256">
        <v>298</v>
      </c>
      <c r="N95" s="257">
        <v>24</v>
      </c>
      <c r="O95" s="258">
        <v>461.5</v>
      </c>
      <c r="P95" s="250"/>
      <c r="Q95" s="256">
        <v>189</v>
      </c>
      <c r="R95" s="257">
        <v>24</v>
      </c>
      <c r="S95" s="256">
        <v>0</v>
      </c>
      <c r="T95" s="557">
        <v>0</v>
      </c>
      <c r="U95" s="557"/>
      <c r="V95" s="256">
        <v>189</v>
      </c>
      <c r="W95" s="250"/>
      <c r="X95" s="556">
        <v>650.5</v>
      </c>
      <c r="Y95" s="556"/>
      <c r="Z95" s="250"/>
      <c r="AA95" s="267">
        <v>6766500</v>
      </c>
      <c r="AB95" s="565">
        <v>0</v>
      </c>
      <c r="AC95" s="565"/>
      <c r="AD95" s="242"/>
    </row>
    <row r="96" spans="1:30">
      <c r="A96" s="242"/>
      <c r="B96" s="559"/>
      <c r="C96" s="559"/>
      <c r="D96" s="247"/>
      <c r="E96" s="250"/>
      <c r="F96" s="554"/>
      <c r="G96" s="554"/>
      <c r="H96" s="250"/>
      <c r="I96" s="554"/>
      <c r="J96" s="554"/>
      <c r="K96" s="250"/>
      <c r="L96" s="250"/>
      <c r="M96" s="250"/>
      <c r="N96" s="250"/>
      <c r="O96" s="250"/>
      <c r="P96" s="250"/>
      <c r="Q96" s="250"/>
      <c r="R96" s="250"/>
      <c r="S96" s="250"/>
      <c r="T96" s="554"/>
      <c r="U96" s="554"/>
      <c r="V96" s="250"/>
      <c r="W96" s="250"/>
      <c r="X96" s="554"/>
      <c r="Y96" s="554"/>
      <c r="Z96" s="250"/>
      <c r="AA96" s="250"/>
      <c r="AB96" s="554"/>
      <c r="AC96" s="554"/>
      <c r="AD96" s="242"/>
    </row>
    <row r="97" spans="1:30">
      <c r="A97" s="242"/>
      <c r="B97" s="563">
        <v>39640</v>
      </c>
      <c r="C97" s="563"/>
      <c r="D97" s="247"/>
      <c r="E97" s="252">
        <v>0</v>
      </c>
      <c r="F97" s="564">
        <v>0</v>
      </c>
      <c r="G97" s="564"/>
      <c r="H97" s="252">
        <v>145.30000000000001</v>
      </c>
      <c r="I97" s="564">
        <v>24</v>
      </c>
      <c r="J97" s="564"/>
      <c r="K97" s="252">
        <v>0</v>
      </c>
      <c r="L97" s="253">
        <v>0</v>
      </c>
      <c r="M97" s="252">
        <v>333</v>
      </c>
      <c r="N97" s="253">
        <v>24</v>
      </c>
      <c r="O97" s="254">
        <v>478.3</v>
      </c>
      <c r="P97" s="250"/>
      <c r="Q97" s="252">
        <v>182</v>
      </c>
      <c r="R97" s="253">
        <v>24</v>
      </c>
      <c r="S97" s="252">
        <v>0</v>
      </c>
      <c r="T97" s="564">
        <v>0</v>
      </c>
      <c r="U97" s="564"/>
      <c r="V97" s="252">
        <v>182</v>
      </c>
      <c r="W97" s="250"/>
      <c r="X97" s="561">
        <v>660.3</v>
      </c>
      <c r="Y97" s="561"/>
      <c r="Z97" s="250"/>
      <c r="AA97" s="266">
        <v>6853200</v>
      </c>
      <c r="AB97" s="566">
        <v>0</v>
      </c>
      <c r="AC97" s="566"/>
      <c r="AD97" s="242"/>
    </row>
    <row r="98" spans="1:30">
      <c r="A98" s="242"/>
      <c r="B98" s="559"/>
      <c r="C98" s="559"/>
      <c r="D98" s="247"/>
      <c r="E98" s="250"/>
      <c r="F98" s="554"/>
      <c r="G98" s="554"/>
      <c r="H98" s="250"/>
      <c r="I98" s="554"/>
      <c r="J98" s="554"/>
      <c r="K98" s="250"/>
      <c r="L98" s="250"/>
      <c r="M98" s="250"/>
      <c r="N98" s="250"/>
      <c r="O98" s="250"/>
      <c r="P98" s="250"/>
      <c r="Q98" s="250"/>
      <c r="R98" s="250"/>
      <c r="S98" s="250"/>
      <c r="T98" s="554"/>
      <c r="U98" s="554"/>
      <c r="V98" s="250"/>
      <c r="W98" s="250"/>
      <c r="X98" s="554"/>
      <c r="Y98" s="554"/>
      <c r="Z98" s="250"/>
      <c r="AA98" s="250"/>
      <c r="AB98" s="554"/>
      <c r="AC98" s="554"/>
      <c r="AD98" s="242"/>
    </row>
    <row r="99" spans="1:30">
      <c r="A99" s="242"/>
      <c r="B99" s="558">
        <v>39641</v>
      </c>
      <c r="C99" s="558"/>
      <c r="D99" s="247"/>
      <c r="E99" s="256">
        <v>0</v>
      </c>
      <c r="F99" s="557">
        <v>0</v>
      </c>
      <c r="G99" s="557"/>
      <c r="H99" s="256">
        <v>150</v>
      </c>
      <c r="I99" s="557">
        <v>24</v>
      </c>
      <c r="J99" s="557"/>
      <c r="K99" s="256">
        <v>0</v>
      </c>
      <c r="L99" s="257">
        <v>0</v>
      </c>
      <c r="M99" s="256">
        <v>275</v>
      </c>
      <c r="N99" s="257">
        <v>24</v>
      </c>
      <c r="O99" s="258">
        <v>425</v>
      </c>
      <c r="P99" s="250"/>
      <c r="Q99" s="256">
        <v>177</v>
      </c>
      <c r="R99" s="257">
        <v>24</v>
      </c>
      <c r="S99" s="256">
        <v>0</v>
      </c>
      <c r="T99" s="557">
        <v>0</v>
      </c>
      <c r="U99" s="557"/>
      <c r="V99" s="256">
        <v>177</v>
      </c>
      <c r="W99" s="250"/>
      <c r="X99" s="556">
        <v>602</v>
      </c>
      <c r="Y99" s="556"/>
      <c r="Z99" s="250"/>
      <c r="AA99" s="267">
        <v>6641000</v>
      </c>
      <c r="AB99" s="565">
        <v>0</v>
      </c>
      <c r="AC99" s="565"/>
      <c r="AD99" s="242"/>
    </row>
    <row r="100" spans="1:30">
      <c r="A100" s="242"/>
      <c r="B100" s="559"/>
      <c r="C100" s="559"/>
      <c r="D100" s="247"/>
      <c r="E100" s="250"/>
      <c r="F100" s="554"/>
      <c r="G100" s="554"/>
      <c r="H100" s="250"/>
      <c r="I100" s="554"/>
      <c r="J100" s="554"/>
      <c r="K100" s="250"/>
      <c r="L100" s="250"/>
      <c r="M100" s="250"/>
      <c r="N100" s="250"/>
      <c r="O100" s="250"/>
      <c r="P100" s="250"/>
      <c r="Q100" s="250"/>
      <c r="R100" s="250"/>
      <c r="S100" s="250"/>
      <c r="T100" s="554"/>
      <c r="U100" s="554"/>
      <c r="V100" s="250"/>
      <c r="W100" s="250"/>
      <c r="X100" s="554"/>
      <c r="Y100" s="554"/>
      <c r="Z100" s="250"/>
      <c r="AA100" s="250"/>
      <c r="AB100" s="554"/>
      <c r="AC100" s="554"/>
      <c r="AD100" s="242"/>
    </row>
    <row r="101" spans="1:30">
      <c r="A101" s="242"/>
      <c r="B101" s="563">
        <v>39642</v>
      </c>
      <c r="C101" s="563"/>
      <c r="D101" s="247"/>
      <c r="E101" s="252">
        <v>0</v>
      </c>
      <c r="F101" s="564">
        <v>0</v>
      </c>
      <c r="G101" s="564"/>
      <c r="H101" s="252">
        <v>151</v>
      </c>
      <c r="I101" s="564">
        <v>24</v>
      </c>
      <c r="J101" s="564"/>
      <c r="K101" s="252">
        <v>0</v>
      </c>
      <c r="L101" s="253">
        <v>0</v>
      </c>
      <c r="M101" s="252">
        <v>260</v>
      </c>
      <c r="N101" s="253">
        <v>24</v>
      </c>
      <c r="O101" s="254">
        <v>411</v>
      </c>
      <c r="P101" s="250"/>
      <c r="Q101" s="252">
        <v>172</v>
      </c>
      <c r="R101" s="253">
        <v>24</v>
      </c>
      <c r="S101" s="252">
        <v>0</v>
      </c>
      <c r="T101" s="564">
        <v>0</v>
      </c>
      <c r="U101" s="564"/>
      <c r="V101" s="252">
        <v>172</v>
      </c>
      <c r="W101" s="250"/>
      <c r="X101" s="561">
        <v>583</v>
      </c>
      <c r="Y101" s="561"/>
      <c r="Z101" s="250"/>
      <c r="AA101" s="266">
        <v>6356400</v>
      </c>
      <c r="AB101" s="566">
        <v>0</v>
      </c>
      <c r="AC101" s="566"/>
      <c r="AD101" s="242"/>
    </row>
    <row r="102" spans="1:30">
      <c r="A102" s="242"/>
      <c r="B102" s="559"/>
      <c r="C102" s="559"/>
      <c r="D102" s="247"/>
      <c r="E102" s="250"/>
      <c r="F102" s="554"/>
      <c r="G102" s="554"/>
      <c r="H102" s="250"/>
      <c r="I102" s="554"/>
      <c r="J102" s="554"/>
      <c r="K102" s="250"/>
      <c r="L102" s="250"/>
      <c r="M102" s="250"/>
      <c r="N102" s="250"/>
      <c r="O102" s="250"/>
      <c r="P102" s="250"/>
      <c r="Q102" s="250"/>
      <c r="R102" s="250"/>
      <c r="S102" s="250"/>
      <c r="T102" s="554"/>
      <c r="U102" s="554"/>
      <c r="V102" s="250"/>
      <c r="W102" s="250"/>
      <c r="X102" s="554"/>
      <c r="Y102" s="554"/>
      <c r="Z102" s="250"/>
      <c r="AA102" s="250"/>
      <c r="AB102" s="554"/>
      <c r="AC102" s="554"/>
      <c r="AD102" s="242"/>
    </row>
    <row r="103" spans="1:30">
      <c r="A103" s="242"/>
      <c r="B103" s="558">
        <v>39643</v>
      </c>
      <c r="C103" s="558"/>
      <c r="D103" s="247"/>
      <c r="E103" s="256">
        <v>0</v>
      </c>
      <c r="F103" s="557">
        <v>0</v>
      </c>
      <c r="G103" s="557"/>
      <c r="H103" s="256">
        <v>151.5</v>
      </c>
      <c r="I103" s="557">
        <v>24</v>
      </c>
      <c r="J103" s="557"/>
      <c r="K103" s="256">
        <v>0</v>
      </c>
      <c r="L103" s="257">
        <v>0</v>
      </c>
      <c r="M103" s="256">
        <v>274</v>
      </c>
      <c r="N103" s="257">
        <v>24</v>
      </c>
      <c r="O103" s="258">
        <v>425.5</v>
      </c>
      <c r="P103" s="250"/>
      <c r="Q103" s="256">
        <v>160</v>
      </c>
      <c r="R103" s="257">
        <v>24</v>
      </c>
      <c r="S103" s="256">
        <v>0</v>
      </c>
      <c r="T103" s="557">
        <v>0</v>
      </c>
      <c r="U103" s="557"/>
      <c r="V103" s="256">
        <v>160</v>
      </c>
      <c r="W103" s="250"/>
      <c r="X103" s="556">
        <v>585.5</v>
      </c>
      <c r="Y103" s="556"/>
      <c r="Z103" s="250"/>
      <c r="AA103" s="267">
        <v>6429100</v>
      </c>
      <c r="AB103" s="565">
        <v>0</v>
      </c>
      <c r="AC103" s="565"/>
      <c r="AD103" s="242"/>
    </row>
    <row r="104" spans="1:30">
      <c r="A104" s="242"/>
      <c r="B104" s="559"/>
      <c r="C104" s="559"/>
      <c r="D104" s="247"/>
      <c r="E104" s="250"/>
      <c r="F104" s="554"/>
      <c r="G104" s="554"/>
      <c r="H104" s="250"/>
      <c r="I104" s="554"/>
      <c r="J104" s="554"/>
      <c r="K104" s="250"/>
      <c r="L104" s="250"/>
      <c r="M104" s="250"/>
      <c r="N104" s="250"/>
      <c r="O104" s="250"/>
      <c r="P104" s="250"/>
      <c r="Q104" s="250"/>
      <c r="R104" s="250"/>
      <c r="S104" s="250"/>
      <c r="T104" s="554"/>
      <c r="U104" s="554"/>
      <c r="V104" s="250"/>
      <c r="W104" s="250"/>
      <c r="X104" s="554"/>
      <c r="Y104" s="554"/>
      <c r="Z104" s="250"/>
      <c r="AA104" s="250"/>
      <c r="AB104" s="554"/>
      <c r="AC104" s="554"/>
      <c r="AD104" s="242"/>
    </row>
    <row r="105" spans="1:30">
      <c r="A105" s="242"/>
      <c r="B105" s="563">
        <v>39644</v>
      </c>
      <c r="C105" s="563"/>
      <c r="D105" s="247"/>
      <c r="E105" s="252">
        <v>0</v>
      </c>
      <c r="F105" s="564">
        <v>2</v>
      </c>
      <c r="G105" s="564"/>
      <c r="H105" s="252">
        <v>148</v>
      </c>
      <c r="I105" s="564">
        <v>24</v>
      </c>
      <c r="J105" s="564"/>
      <c r="K105" s="252">
        <v>0</v>
      </c>
      <c r="L105" s="253">
        <v>0</v>
      </c>
      <c r="M105" s="252">
        <v>294</v>
      </c>
      <c r="N105" s="253">
        <v>24</v>
      </c>
      <c r="O105" s="254">
        <v>442</v>
      </c>
      <c r="P105" s="250"/>
      <c r="Q105" s="252">
        <v>163</v>
      </c>
      <c r="R105" s="253">
        <v>24</v>
      </c>
      <c r="S105" s="252">
        <v>0</v>
      </c>
      <c r="T105" s="564">
        <v>0</v>
      </c>
      <c r="U105" s="564"/>
      <c r="V105" s="252">
        <v>163</v>
      </c>
      <c r="W105" s="250"/>
      <c r="X105" s="561">
        <v>605</v>
      </c>
      <c r="Y105" s="561"/>
      <c r="Z105" s="250"/>
      <c r="AA105" s="266">
        <v>6758448</v>
      </c>
      <c r="AB105" s="566">
        <v>4572</v>
      </c>
      <c r="AC105" s="566"/>
      <c r="AD105" s="242"/>
    </row>
    <row r="106" spans="1:30">
      <c r="A106" s="242"/>
      <c r="B106" s="559"/>
      <c r="C106" s="559"/>
      <c r="D106" s="247"/>
      <c r="E106" s="250"/>
      <c r="F106" s="554"/>
      <c r="G106" s="554"/>
      <c r="H106" s="250"/>
      <c r="I106" s="554"/>
      <c r="J106" s="554"/>
      <c r="K106" s="250"/>
      <c r="L106" s="250"/>
      <c r="M106" s="250"/>
      <c r="N106" s="250"/>
      <c r="O106" s="250"/>
      <c r="P106" s="250"/>
      <c r="Q106" s="250"/>
      <c r="R106" s="250"/>
      <c r="S106" s="250"/>
      <c r="T106" s="554"/>
      <c r="U106" s="554"/>
      <c r="V106" s="250"/>
      <c r="W106" s="250"/>
      <c r="X106" s="554"/>
      <c r="Y106" s="554"/>
      <c r="Z106" s="250"/>
      <c r="AA106" s="250"/>
      <c r="AB106" s="554"/>
      <c r="AC106" s="554"/>
      <c r="AD106" s="242"/>
    </row>
    <row r="107" spans="1:30">
      <c r="A107" s="242"/>
      <c r="B107" s="558">
        <v>39645</v>
      </c>
      <c r="C107" s="558"/>
      <c r="D107" s="247"/>
      <c r="E107" s="256">
        <v>0</v>
      </c>
      <c r="F107" s="557">
        <v>0</v>
      </c>
      <c r="G107" s="557"/>
      <c r="H107" s="256">
        <v>157.19999999999999</v>
      </c>
      <c r="I107" s="557">
        <v>24</v>
      </c>
      <c r="J107" s="557"/>
      <c r="K107" s="256">
        <v>0</v>
      </c>
      <c r="L107" s="257">
        <v>0</v>
      </c>
      <c r="M107" s="256">
        <v>311</v>
      </c>
      <c r="N107" s="257">
        <v>24</v>
      </c>
      <c r="O107" s="258">
        <v>468.2</v>
      </c>
      <c r="P107" s="250"/>
      <c r="Q107" s="256">
        <v>165</v>
      </c>
      <c r="R107" s="257">
        <v>24</v>
      </c>
      <c r="S107" s="256">
        <v>0</v>
      </c>
      <c r="T107" s="557">
        <v>0</v>
      </c>
      <c r="U107" s="557"/>
      <c r="V107" s="256">
        <v>165</v>
      </c>
      <c r="W107" s="250"/>
      <c r="X107" s="556">
        <v>633.20000000000005</v>
      </c>
      <c r="Y107" s="556"/>
      <c r="Z107" s="250"/>
      <c r="AA107" s="267">
        <v>6755000</v>
      </c>
      <c r="AB107" s="565">
        <v>0</v>
      </c>
      <c r="AC107" s="565"/>
      <c r="AD107" s="242"/>
    </row>
    <row r="108" spans="1:30">
      <c r="A108" s="242"/>
      <c r="B108" s="559"/>
      <c r="C108" s="559"/>
      <c r="D108" s="247"/>
      <c r="E108" s="250"/>
      <c r="F108" s="554"/>
      <c r="G108" s="554"/>
      <c r="H108" s="250"/>
      <c r="I108" s="554"/>
      <c r="J108" s="554"/>
      <c r="K108" s="250"/>
      <c r="L108" s="250"/>
      <c r="M108" s="250"/>
      <c r="N108" s="250"/>
      <c r="O108" s="250"/>
      <c r="P108" s="250"/>
      <c r="Q108" s="250"/>
      <c r="R108" s="250"/>
      <c r="S108" s="250"/>
      <c r="T108" s="554"/>
      <c r="U108" s="554"/>
      <c r="V108" s="250"/>
      <c r="W108" s="250"/>
      <c r="X108" s="554"/>
      <c r="Y108" s="554"/>
      <c r="Z108" s="250"/>
      <c r="AA108" s="250"/>
      <c r="AB108" s="554"/>
      <c r="AC108" s="554"/>
      <c r="AD108" s="242"/>
    </row>
    <row r="109" spans="1:30">
      <c r="A109" s="242"/>
      <c r="B109" s="563">
        <v>39646</v>
      </c>
      <c r="C109" s="563"/>
      <c r="D109" s="247"/>
      <c r="E109" s="252">
        <v>0</v>
      </c>
      <c r="F109" s="564">
        <v>0</v>
      </c>
      <c r="G109" s="564"/>
      <c r="H109" s="252">
        <v>160.19999999999999</v>
      </c>
      <c r="I109" s="564">
        <v>24</v>
      </c>
      <c r="J109" s="564"/>
      <c r="K109" s="252">
        <v>0</v>
      </c>
      <c r="L109" s="253">
        <v>0</v>
      </c>
      <c r="M109" s="252">
        <v>268</v>
      </c>
      <c r="N109" s="253">
        <v>24</v>
      </c>
      <c r="O109" s="254">
        <v>428.2</v>
      </c>
      <c r="P109" s="250"/>
      <c r="Q109" s="252">
        <v>190</v>
      </c>
      <c r="R109" s="253">
        <v>24</v>
      </c>
      <c r="S109" s="252">
        <v>0</v>
      </c>
      <c r="T109" s="564">
        <v>0</v>
      </c>
      <c r="U109" s="564"/>
      <c r="V109" s="252">
        <v>190</v>
      </c>
      <c r="W109" s="250"/>
      <c r="X109" s="561">
        <v>618.20000000000005</v>
      </c>
      <c r="Y109" s="561"/>
      <c r="Z109" s="250"/>
      <c r="AA109" s="266">
        <v>6475900</v>
      </c>
      <c r="AB109" s="566">
        <v>0</v>
      </c>
      <c r="AC109" s="566"/>
      <c r="AD109" s="242"/>
    </row>
    <row r="110" spans="1:30">
      <c r="A110" s="242"/>
      <c r="B110" s="559"/>
      <c r="C110" s="559"/>
      <c r="D110" s="247"/>
      <c r="E110" s="250"/>
      <c r="F110" s="554"/>
      <c r="G110" s="554"/>
      <c r="H110" s="250"/>
      <c r="I110" s="554"/>
      <c r="J110" s="554"/>
      <c r="K110" s="250"/>
      <c r="L110" s="250"/>
      <c r="M110" s="250"/>
      <c r="N110" s="250"/>
      <c r="O110" s="250"/>
      <c r="P110" s="250"/>
      <c r="Q110" s="250"/>
      <c r="R110" s="250"/>
      <c r="S110" s="250"/>
      <c r="T110" s="554"/>
      <c r="U110" s="554"/>
      <c r="V110" s="250"/>
      <c r="W110" s="250"/>
      <c r="X110" s="554"/>
      <c r="Y110" s="554"/>
      <c r="Z110" s="250"/>
      <c r="AA110" s="250"/>
      <c r="AB110" s="554"/>
      <c r="AC110" s="554"/>
      <c r="AD110" s="242"/>
    </row>
    <row r="111" spans="1:30">
      <c r="A111" s="242"/>
      <c r="B111" s="558">
        <v>39647</v>
      </c>
      <c r="C111" s="558"/>
      <c r="D111" s="247"/>
      <c r="E111" s="256">
        <v>0</v>
      </c>
      <c r="F111" s="557">
        <v>0</v>
      </c>
      <c r="G111" s="557"/>
      <c r="H111" s="256">
        <v>160.1</v>
      </c>
      <c r="I111" s="557">
        <v>24</v>
      </c>
      <c r="J111" s="557"/>
      <c r="K111" s="256">
        <v>0</v>
      </c>
      <c r="L111" s="257">
        <v>0</v>
      </c>
      <c r="M111" s="256">
        <v>271</v>
      </c>
      <c r="N111" s="257">
        <v>24</v>
      </c>
      <c r="O111" s="258">
        <v>431.1</v>
      </c>
      <c r="P111" s="250"/>
      <c r="Q111" s="256">
        <v>164</v>
      </c>
      <c r="R111" s="257">
        <v>24</v>
      </c>
      <c r="S111" s="256">
        <v>0</v>
      </c>
      <c r="T111" s="557">
        <v>0</v>
      </c>
      <c r="U111" s="557"/>
      <c r="V111" s="256">
        <v>164</v>
      </c>
      <c r="W111" s="250"/>
      <c r="X111" s="556">
        <v>595.1</v>
      </c>
      <c r="Y111" s="556"/>
      <c r="Z111" s="250"/>
      <c r="AA111" s="267">
        <v>6501300</v>
      </c>
      <c r="AB111" s="565">
        <v>0</v>
      </c>
      <c r="AC111" s="565"/>
      <c r="AD111" s="242"/>
    </row>
    <row r="112" spans="1:30">
      <c r="A112" s="242"/>
      <c r="B112" s="559"/>
      <c r="C112" s="559"/>
      <c r="D112" s="247"/>
      <c r="E112" s="250"/>
      <c r="F112" s="554"/>
      <c r="G112" s="554"/>
      <c r="H112" s="250"/>
      <c r="I112" s="554"/>
      <c r="J112" s="554"/>
      <c r="K112" s="250"/>
      <c r="L112" s="250"/>
      <c r="M112" s="250"/>
      <c r="N112" s="250"/>
      <c r="O112" s="250"/>
      <c r="P112" s="250"/>
      <c r="Q112" s="250"/>
      <c r="R112" s="250"/>
      <c r="S112" s="250"/>
      <c r="T112" s="554"/>
      <c r="U112" s="554"/>
      <c r="V112" s="250"/>
      <c r="W112" s="250"/>
      <c r="X112" s="554"/>
      <c r="Y112" s="554"/>
      <c r="Z112" s="250"/>
      <c r="AA112" s="250"/>
      <c r="AB112" s="554"/>
      <c r="AC112" s="554"/>
      <c r="AD112" s="242"/>
    </row>
    <row r="113" spans="1:30">
      <c r="A113" s="242"/>
      <c r="B113" s="563">
        <v>39648</v>
      </c>
      <c r="C113" s="563"/>
      <c r="D113" s="247"/>
      <c r="E113" s="252">
        <v>0</v>
      </c>
      <c r="F113" s="564">
        <v>0</v>
      </c>
      <c r="G113" s="564"/>
      <c r="H113" s="252">
        <v>148.5</v>
      </c>
      <c r="I113" s="564">
        <v>24</v>
      </c>
      <c r="J113" s="564"/>
      <c r="K113" s="252">
        <v>0</v>
      </c>
      <c r="L113" s="253">
        <v>0</v>
      </c>
      <c r="M113" s="252">
        <v>246</v>
      </c>
      <c r="N113" s="253">
        <v>24</v>
      </c>
      <c r="O113" s="254">
        <v>394.5</v>
      </c>
      <c r="P113" s="250"/>
      <c r="Q113" s="252">
        <v>155</v>
      </c>
      <c r="R113" s="253">
        <v>24</v>
      </c>
      <c r="S113" s="252">
        <v>0</v>
      </c>
      <c r="T113" s="564">
        <v>0</v>
      </c>
      <c r="U113" s="564"/>
      <c r="V113" s="252">
        <v>155</v>
      </c>
      <c r="W113" s="250"/>
      <c r="X113" s="561">
        <v>549.5</v>
      </c>
      <c r="Y113" s="561"/>
      <c r="Z113" s="250"/>
      <c r="AA113" s="266">
        <v>6225600</v>
      </c>
      <c r="AB113" s="566">
        <v>0</v>
      </c>
      <c r="AC113" s="566"/>
      <c r="AD113" s="242"/>
    </row>
    <row r="114" spans="1:30">
      <c r="A114" s="242"/>
      <c r="B114" s="559"/>
      <c r="C114" s="559"/>
      <c r="D114" s="247"/>
      <c r="E114" s="250"/>
      <c r="F114" s="554"/>
      <c r="G114" s="554"/>
      <c r="H114" s="250"/>
      <c r="I114" s="554"/>
      <c r="J114" s="554"/>
      <c r="K114" s="250"/>
      <c r="L114" s="250"/>
      <c r="M114" s="250"/>
      <c r="N114" s="250"/>
      <c r="O114" s="250"/>
      <c r="P114" s="250"/>
      <c r="Q114" s="250"/>
      <c r="R114" s="250"/>
      <c r="S114" s="250"/>
      <c r="T114" s="554"/>
      <c r="U114" s="554"/>
      <c r="V114" s="250"/>
      <c r="W114" s="250"/>
      <c r="X114" s="554"/>
      <c r="Y114" s="554"/>
      <c r="Z114" s="250"/>
      <c r="AA114" s="250"/>
      <c r="AB114" s="554"/>
      <c r="AC114" s="554"/>
      <c r="AD114" s="242"/>
    </row>
    <row r="115" spans="1:30">
      <c r="A115" s="242"/>
      <c r="B115" s="558">
        <v>39649</v>
      </c>
      <c r="C115" s="558"/>
      <c r="D115" s="247"/>
      <c r="E115" s="256">
        <v>0</v>
      </c>
      <c r="F115" s="557">
        <v>0</v>
      </c>
      <c r="G115" s="557"/>
      <c r="H115" s="256">
        <v>152.9</v>
      </c>
      <c r="I115" s="557">
        <v>24</v>
      </c>
      <c r="J115" s="557"/>
      <c r="K115" s="256">
        <v>0</v>
      </c>
      <c r="L115" s="257">
        <v>0</v>
      </c>
      <c r="M115" s="256">
        <v>275</v>
      </c>
      <c r="N115" s="257">
        <v>24</v>
      </c>
      <c r="O115" s="258">
        <v>427.9</v>
      </c>
      <c r="P115" s="250"/>
      <c r="Q115" s="256">
        <v>189</v>
      </c>
      <c r="R115" s="257">
        <v>24</v>
      </c>
      <c r="S115" s="256">
        <v>0</v>
      </c>
      <c r="T115" s="557">
        <v>0</v>
      </c>
      <c r="U115" s="557"/>
      <c r="V115" s="256">
        <v>189</v>
      </c>
      <c r="W115" s="250"/>
      <c r="X115" s="556">
        <v>616.9</v>
      </c>
      <c r="Y115" s="556"/>
      <c r="Z115" s="250"/>
      <c r="AA115" s="267">
        <v>6422800</v>
      </c>
      <c r="AB115" s="565">
        <v>0</v>
      </c>
      <c r="AC115" s="565"/>
      <c r="AD115" s="242"/>
    </row>
    <row r="116" spans="1:30">
      <c r="A116" s="242"/>
      <c r="B116" s="559"/>
      <c r="C116" s="559"/>
      <c r="D116" s="247"/>
      <c r="E116" s="250"/>
      <c r="F116" s="554"/>
      <c r="G116" s="554"/>
      <c r="H116" s="250"/>
      <c r="I116" s="554"/>
      <c r="J116" s="554"/>
      <c r="K116" s="250"/>
      <c r="L116" s="250"/>
      <c r="M116" s="250"/>
      <c r="N116" s="250"/>
      <c r="O116" s="250"/>
      <c r="P116" s="250"/>
      <c r="Q116" s="250"/>
      <c r="R116" s="250"/>
      <c r="S116" s="250"/>
      <c r="T116" s="554"/>
      <c r="U116" s="554"/>
      <c r="V116" s="250"/>
      <c r="W116" s="250"/>
      <c r="X116" s="554"/>
      <c r="Y116" s="554"/>
      <c r="Z116" s="250"/>
      <c r="AA116" s="250"/>
      <c r="AB116" s="554"/>
      <c r="AC116" s="554"/>
      <c r="AD116" s="242"/>
    </row>
    <row r="117" spans="1:30">
      <c r="A117" s="242"/>
      <c r="B117" s="563">
        <v>39650</v>
      </c>
      <c r="C117" s="563"/>
      <c r="D117" s="247"/>
      <c r="E117" s="252">
        <v>121.5</v>
      </c>
      <c r="F117" s="564">
        <v>19</v>
      </c>
      <c r="G117" s="564"/>
      <c r="H117" s="252">
        <v>32.1</v>
      </c>
      <c r="I117" s="564">
        <v>5</v>
      </c>
      <c r="J117" s="564"/>
      <c r="K117" s="252">
        <v>0</v>
      </c>
      <c r="L117" s="253">
        <v>0</v>
      </c>
      <c r="M117" s="252">
        <v>291</v>
      </c>
      <c r="N117" s="253">
        <v>24</v>
      </c>
      <c r="O117" s="254">
        <v>444.6</v>
      </c>
      <c r="P117" s="250"/>
      <c r="Q117" s="252">
        <v>186</v>
      </c>
      <c r="R117" s="253">
        <v>24</v>
      </c>
      <c r="S117" s="252">
        <v>0</v>
      </c>
      <c r="T117" s="564">
        <v>0</v>
      </c>
      <c r="U117" s="564"/>
      <c r="V117" s="252">
        <v>186</v>
      </c>
      <c r="W117" s="250"/>
      <c r="X117" s="561">
        <v>630.6</v>
      </c>
      <c r="Y117" s="561"/>
      <c r="Z117" s="250"/>
      <c r="AA117" s="266">
        <v>6707800</v>
      </c>
      <c r="AB117" s="566">
        <v>0</v>
      </c>
      <c r="AC117" s="566"/>
      <c r="AD117" s="242"/>
    </row>
    <row r="118" spans="1:30">
      <c r="A118" s="242"/>
      <c r="B118" s="559"/>
      <c r="C118" s="559"/>
      <c r="D118" s="247"/>
      <c r="E118" s="250"/>
      <c r="F118" s="554"/>
      <c r="G118" s="554"/>
      <c r="H118" s="250"/>
      <c r="I118" s="554"/>
      <c r="J118" s="554"/>
      <c r="K118" s="250"/>
      <c r="L118" s="250"/>
      <c r="M118" s="250"/>
      <c r="N118" s="250"/>
      <c r="O118" s="250"/>
      <c r="P118" s="250"/>
      <c r="Q118" s="250"/>
      <c r="R118" s="250"/>
      <c r="S118" s="250"/>
      <c r="T118" s="554"/>
      <c r="U118" s="554"/>
      <c r="V118" s="250"/>
      <c r="W118" s="250"/>
      <c r="X118" s="554"/>
      <c r="Y118" s="554"/>
      <c r="Z118" s="250"/>
      <c r="AA118" s="250"/>
      <c r="AB118" s="554"/>
      <c r="AC118" s="554"/>
      <c r="AD118" s="242"/>
    </row>
    <row r="119" spans="1:30">
      <c r="A119" s="242"/>
      <c r="B119" s="558">
        <v>39651</v>
      </c>
      <c r="C119" s="558"/>
      <c r="D119" s="247"/>
      <c r="E119" s="256">
        <v>148</v>
      </c>
      <c r="F119" s="557">
        <v>24</v>
      </c>
      <c r="G119" s="557"/>
      <c r="H119" s="256">
        <v>0</v>
      </c>
      <c r="I119" s="557">
        <v>4</v>
      </c>
      <c r="J119" s="557"/>
      <c r="K119" s="256">
        <v>0</v>
      </c>
      <c r="L119" s="257">
        <v>0</v>
      </c>
      <c r="M119" s="256">
        <v>344</v>
      </c>
      <c r="N119" s="257">
        <v>24</v>
      </c>
      <c r="O119" s="258">
        <v>492</v>
      </c>
      <c r="P119" s="250"/>
      <c r="Q119" s="256">
        <v>164</v>
      </c>
      <c r="R119" s="257">
        <v>24</v>
      </c>
      <c r="S119" s="256">
        <v>0</v>
      </c>
      <c r="T119" s="557">
        <v>0</v>
      </c>
      <c r="U119" s="557"/>
      <c r="V119" s="256">
        <v>164</v>
      </c>
      <c r="W119" s="250"/>
      <c r="X119" s="556">
        <v>656</v>
      </c>
      <c r="Y119" s="556"/>
      <c r="Z119" s="250"/>
      <c r="AA119" s="267">
        <v>7328000</v>
      </c>
      <c r="AB119" s="565">
        <v>856</v>
      </c>
      <c r="AC119" s="565"/>
      <c r="AD119" s="242"/>
    </row>
    <row r="120" spans="1:30">
      <c r="A120" s="242"/>
      <c r="B120" s="559"/>
      <c r="C120" s="559"/>
      <c r="D120" s="247"/>
      <c r="E120" s="250"/>
      <c r="F120" s="554"/>
      <c r="G120" s="554"/>
      <c r="H120" s="250"/>
      <c r="I120" s="554"/>
      <c r="J120" s="554"/>
      <c r="K120" s="250"/>
      <c r="L120" s="250"/>
      <c r="M120" s="250"/>
      <c r="N120" s="250"/>
      <c r="O120" s="250"/>
      <c r="P120" s="250"/>
      <c r="Q120" s="250"/>
      <c r="R120" s="250"/>
      <c r="S120" s="250"/>
      <c r="T120" s="554"/>
      <c r="U120" s="554"/>
      <c r="V120" s="250"/>
      <c r="W120" s="250"/>
      <c r="X120" s="554"/>
      <c r="Y120" s="554"/>
      <c r="Z120" s="250"/>
      <c r="AA120" s="250"/>
      <c r="AB120" s="554"/>
      <c r="AC120" s="554"/>
      <c r="AD120" s="242"/>
    </row>
    <row r="121" spans="1:30">
      <c r="A121" s="242"/>
      <c r="B121" s="563">
        <v>39652</v>
      </c>
      <c r="C121" s="563"/>
      <c r="D121" s="247"/>
      <c r="E121" s="252">
        <v>114.5</v>
      </c>
      <c r="F121" s="564">
        <v>21</v>
      </c>
      <c r="G121" s="564"/>
      <c r="H121" s="252">
        <v>68.400000000000006</v>
      </c>
      <c r="I121" s="564">
        <v>9</v>
      </c>
      <c r="J121" s="564"/>
      <c r="K121" s="252">
        <v>0</v>
      </c>
      <c r="L121" s="253">
        <v>0</v>
      </c>
      <c r="M121" s="252">
        <v>297</v>
      </c>
      <c r="N121" s="253">
        <v>24</v>
      </c>
      <c r="O121" s="254">
        <v>479.9</v>
      </c>
      <c r="P121" s="250"/>
      <c r="Q121" s="252">
        <v>94</v>
      </c>
      <c r="R121" s="253">
        <v>14</v>
      </c>
      <c r="S121" s="252">
        <v>41</v>
      </c>
      <c r="T121" s="564">
        <v>6</v>
      </c>
      <c r="U121" s="564"/>
      <c r="V121" s="252">
        <v>135</v>
      </c>
      <c r="W121" s="250"/>
      <c r="X121" s="561">
        <v>614.9</v>
      </c>
      <c r="Y121" s="561"/>
      <c r="Z121" s="250"/>
      <c r="AA121" s="266">
        <v>7215600</v>
      </c>
      <c r="AB121" s="566">
        <v>9711</v>
      </c>
      <c r="AC121" s="566"/>
      <c r="AD121" s="242"/>
    </row>
    <row r="122" spans="1:30">
      <c r="A122" s="242"/>
      <c r="B122" s="559"/>
      <c r="C122" s="559"/>
      <c r="D122" s="247"/>
      <c r="E122" s="250"/>
      <c r="F122" s="554"/>
      <c r="G122" s="554"/>
      <c r="H122" s="250"/>
      <c r="I122" s="554"/>
      <c r="J122" s="554"/>
      <c r="K122" s="250"/>
      <c r="L122" s="250"/>
      <c r="M122" s="250"/>
      <c r="N122" s="250"/>
      <c r="O122" s="250"/>
      <c r="P122" s="250"/>
      <c r="Q122" s="250"/>
      <c r="R122" s="250"/>
      <c r="S122" s="250"/>
      <c r="T122" s="554"/>
      <c r="U122" s="554"/>
      <c r="V122" s="250"/>
      <c r="W122" s="250"/>
      <c r="X122" s="554"/>
      <c r="Y122" s="554"/>
      <c r="Z122" s="250"/>
      <c r="AA122" s="250"/>
      <c r="AB122" s="554"/>
      <c r="AC122" s="554"/>
      <c r="AD122" s="242"/>
    </row>
    <row r="123" spans="1:30">
      <c r="A123" s="242"/>
      <c r="B123" s="558">
        <v>39653</v>
      </c>
      <c r="C123" s="558"/>
      <c r="D123" s="247"/>
      <c r="E123" s="256">
        <v>0</v>
      </c>
      <c r="F123" s="557">
        <v>0</v>
      </c>
      <c r="G123" s="557"/>
      <c r="H123" s="256">
        <v>181.1</v>
      </c>
      <c r="I123" s="557">
        <v>24</v>
      </c>
      <c r="J123" s="557"/>
      <c r="K123" s="256">
        <v>0</v>
      </c>
      <c r="L123" s="257">
        <v>0</v>
      </c>
      <c r="M123" s="256">
        <v>314</v>
      </c>
      <c r="N123" s="257">
        <v>24</v>
      </c>
      <c r="O123" s="258">
        <v>495.1</v>
      </c>
      <c r="P123" s="250"/>
      <c r="Q123" s="256">
        <v>0</v>
      </c>
      <c r="R123" s="257">
        <v>0</v>
      </c>
      <c r="S123" s="256">
        <v>188</v>
      </c>
      <c r="T123" s="557">
        <v>24</v>
      </c>
      <c r="U123" s="557"/>
      <c r="V123" s="256">
        <v>188</v>
      </c>
      <c r="W123" s="250"/>
      <c r="X123" s="556">
        <v>683.1</v>
      </c>
      <c r="Y123" s="556"/>
      <c r="Z123" s="250"/>
      <c r="AA123" s="267">
        <v>6979100</v>
      </c>
      <c r="AB123" s="565">
        <v>0</v>
      </c>
      <c r="AC123" s="565"/>
      <c r="AD123" s="242"/>
    </row>
    <row r="124" spans="1:30">
      <c r="A124" s="242"/>
      <c r="B124" s="559"/>
      <c r="C124" s="559"/>
      <c r="D124" s="247"/>
      <c r="E124" s="250"/>
      <c r="F124" s="554"/>
      <c r="G124" s="554"/>
      <c r="H124" s="250"/>
      <c r="I124" s="554"/>
      <c r="J124" s="554"/>
      <c r="K124" s="250"/>
      <c r="L124" s="250"/>
      <c r="M124" s="250"/>
      <c r="N124" s="250"/>
      <c r="O124" s="250"/>
      <c r="P124" s="250"/>
      <c r="Q124" s="250"/>
      <c r="R124" s="250"/>
      <c r="S124" s="250"/>
      <c r="T124" s="554"/>
      <c r="U124" s="554"/>
      <c r="V124" s="250"/>
      <c r="W124" s="250"/>
      <c r="X124" s="554"/>
      <c r="Y124" s="554"/>
      <c r="Z124" s="250"/>
      <c r="AA124" s="250"/>
      <c r="AB124" s="554"/>
      <c r="AC124" s="554"/>
      <c r="AD124" s="242"/>
    </row>
    <row r="125" spans="1:30">
      <c r="A125" s="242"/>
      <c r="B125" s="563">
        <v>39654</v>
      </c>
      <c r="C125" s="563"/>
      <c r="D125" s="247"/>
      <c r="E125" s="252">
        <v>0</v>
      </c>
      <c r="F125" s="564">
        <v>0</v>
      </c>
      <c r="G125" s="564"/>
      <c r="H125" s="252">
        <v>138</v>
      </c>
      <c r="I125" s="564">
        <v>24</v>
      </c>
      <c r="J125" s="564"/>
      <c r="K125" s="252">
        <v>0</v>
      </c>
      <c r="L125" s="253">
        <v>0</v>
      </c>
      <c r="M125" s="252">
        <v>289</v>
      </c>
      <c r="N125" s="253">
        <v>24</v>
      </c>
      <c r="O125" s="254">
        <v>427</v>
      </c>
      <c r="P125" s="250"/>
      <c r="Q125" s="252">
        <v>0</v>
      </c>
      <c r="R125" s="253">
        <v>0</v>
      </c>
      <c r="S125" s="252">
        <v>160</v>
      </c>
      <c r="T125" s="564">
        <v>24</v>
      </c>
      <c r="U125" s="564"/>
      <c r="V125" s="252">
        <v>160</v>
      </c>
      <c r="W125" s="250"/>
      <c r="X125" s="561">
        <v>587</v>
      </c>
      <c r="Y125" s="561"/>
      <c r="Z125" s="250"/>
      <c r="AA125" s="266">
        <v>6482400</v>
      </c>
      <c r="AB125" s="566">
        <v>0</v>
      </c>
      <c r="AC125" s="566"/>
      <c r="AD125" s="242"/>
    </row>
    <row r="126" spans="1:30">
      <c r="A126" s="242"/>
      <c r="B126" s="559"/>
      <c r="C126" s="559"/>
      <c r="D126" s="247"/>
      <c r="E126" s="250"/>
      <c r="F126" s="554"/>
      <c r="G126" s="554"/>
      <c r="H126" s="250"/>
      <c r="I126" s="554"/>
      <c r="J126" s="554"/>
      <c r="K126" s="250"/>
      <c r="L126" s="250"/>
      <c r="M126" s="250"/>
      <c r="N126" s="250"/>
      <c r="O126" s="250"/>
      <c r="P126" s="250"/>
      <c r="Q126" s="250"/>
      <c r="R126" s="250"/>
      <c r="S126" s="250"/>
      <c r="T126" s="554"/>
      <c r="U126" s="554"/>
      <c r="V126" s="250"/>
      <c r="W126" s="250"/>
      <c r="X126" s="554"/>
      <c r="Y126" s="554"/>
      <c r="Z126" s="250"/>
      <c r="AA126" s="250"/>
      <c r="AB126" s="554"/>
      <c r="AC126" s="554"/>
      <c r="AD126" s="242"/>
    </row>
    <row r="127" spans="1:30">
      <c r="A127" s="242"/>
      <c r="B127" s="558">
        <v>39655</v>
      </c>
      <c r="C127" s="558"/>
      <c r="D127" s="247"/>
      <c r="E127" s="256">
        <v>62.8</v>
      </c>
      <c r="F127" s="557">
        <v>9</v>
      </c>
      <c r="G127" s="557"/>
      <c r="H127" s="256">
        <v>182</v>
      </c>
      <c r="I127" s="557">
        <v>24</v>
      </c>
      <c r="J127" s="557"/>
      <c r="K127" s="256">
        <v>0</v>
      </c>
      <c r="L127" s="257">
        <v>0</v>
      </c>
      <c r="M127" s="256">
        <v>184</v>
      </c>
      <c r="N127" s="257">
        <v>15</v>
      </c>
      <c r="O127" s="258">
        <v>428.8</v>
      </c>
      <c r="P127" s="250"/>
      <c r="Q127" s="256">
        <v>0</v>
      </c>
      <c r="R127" s="257">
        <v>0</v>
      </c>
      <c r="S127" s="256">
        <v>176</v>
      </c>
      <c r="T127" s="557">
        <v>24</v>
      </c>
      <c r="U127" s="557"/>
      <c r="V127" s="256">
        <v>176</v>
      </c>
      <c r="W127" s="250"/>
      <c r="X127" s="556">
        <v>604.79999999999995</v>
      </c>
      <c r="Y127" s="556"/>
      <c r="Z127" s="250"/>
      <c r="AA127" s="267">
        <v>6598300</v>
      </c>
      <c r="AB127" s="565">
        <v>377</v>
      </c>
      <c r="AC127" s="565"/>
      <c r="AD127" s="242"/>
    </row>
    <row r="128" spans="1:30">
      <c r="A128" s="242"/>
      <c r="B128" s="559"/>
      <c r="C128" s="559"/>
      <c r="D128" s="247"/>
      <c r="E128" s="250"/>
      <c r="F128" s="554"/>
      <c r="G128" s="554"/>
      <c r="H128" s="250"/>
      <c r="I128" s="554"/>
      <c r="J128" s="554"/>
      <c r="K128" s="250"/>
      <c r="L128" s="250"/>
      <c r="M128" s="250"/>
      <c r="N128" s="250"/>
      <c r="O128" s="250"/>
      <c r="P128" s="250"/>
      <c r="Q128" s="250"/>
      <c r="R128" s="250"/>
      <c r="S128" s="250"/>
      <c r="T128" s="554"/>
      <c r="U128" s="554"/>
      <c r="V128" s="250"/>
      <c r="W128" s="250"/>
      <c r="X128" s="554"/>
      <c r="Y128" s="554"/>
      <c r="Z128" s="250"/>
      <c r="AA128" s="250"/>
      <c r="AB128" s="554"/>
      <c r="AC128" s="554"/>
      <c r="AD128" s="242"/>
    </row>
    <row r="129" spans="1:30">
      <c r="A129" s="242"/>
      <c r="B129" s="563">
        <v>39656</v>
      </c>
      <c r="C129" s="563"/>
      <c r="D129" s="247"/>
      <c r="E129" s="252">
        <v>189</v>
      </c>
      <c r="F129" s="564">
        <v>24</v>
      </c>
      <c r="G129" s="564"/>
      <c r="H129" s="252">
        <v>235.2</v>
      </c>
      <c r="I129" s="564">
        <v>24</v>
      </c>
      <c r="J129" s="564"/>
      <c r="K129" s="252">
        <v>0</v>
      </c>
      <c r="L129" s="253">
        <v>0</v>
      </c>
      <c r="M129" s="252">
        <v>0</v>
      </c>
      <c r="N129" s="253">
        <v>0</v>
      </c>
      <c r="O129" s="254">
        <v>424.2</v>
      </c>
      <c r="P129" s="250"/>
      <c r="Q129" s="252">
        <v>0</v>
      </c>
      <c r="R129" s="253">
        <v>0</v>
      </c>
      <c r="S129" s="252">
        <v>161</v>
      </c>
      <c r="T129" s="564">
        <v>24</v>
      </c>
      <c r="U129" s="564"/>
      <c r="V129" s="252">
        <v>161</v>
      </c>
      <c r="W129" s="250"/>
      <c r="X129" s="561">
        <v>585.20000000000005</v>
      </c>
      <c r="Y129" s="561"/>
      <c r="Z129" s="250"/>
      <c r="AA129" s="266">
        <v>6724100</v>
      </c>
      <c r="AB129" s="566">
        <v>0</v>
      </c>
      <c r="AC129" s="566"/>
      <c r="AD129" s="242"/>
    </row>
    <row r="130" spans="1:30">
      <c r="A130" s="242"/>
      <c r="B130" s="559"/>
      <c r="C130" s="559"/>
      <c r="D130" s="247"/>
      <c r="E130" s="250"/>
      <c r="F130" s="554"/>
      <c r="G130" s="554"/>
      <c r="H130" s="250"/>
      <c r="I130" s="554"/>
      <c r="J130" s="554"/>
      <c r="K130" s="250"/>
      <c r="L130" s="250"/>
      <c r="M130" s="250"/>
      <c r="N130" s="250"/>
      <c r="O130" s="250"/>
      <c r="P130" s="250"/>
      <c r="Q130" s="250"/>
      <c r="R130" s="250"/>
      <c r="S130" s="250"/>
      <c r="T130" s="554"/>
      <c r="U130" s="554"/>
      <c r="V130" s="250"/>
      <c r="W130" s="250"/>
      <c r="X130" s="554"/>
      <c r="Y130" s="554"/>
      <c r="Z130" s="250"/>
      <c r="AA130" s="250"/>
      <c r="AB130" s="554"/>
      <c r="AC130" s="554"/>
      <c r="AD130" s="242"/>
    </row>
    <row r="131" spans="1:30">
      <c r="A131" s="242"/>
      <c r="B131" s="558">
        <v>39657</v>
      </c>
      <c r="C131" s="558"/>
      <c r="D131" s="247"/>
      <c r="E131" s="256">
        <v>187.2</v>
      </c>
      <c r="F131" s="557">
        <v>24</v>
      </c>
      <c r="G131" s="557"/>
      <c r="H131" s="256">
        <v>234.6</v>
      </c>
      <c r="I131" s="557">
        <v>24</v>
      </c>
      <c r="J131" s="557"/>
      <c r="K131" s="256">
        <v>0</v>
      </c>
      <c r="L131" s="257">
        <v>0</v>
      </c>
      <c r="M131" s="256">
        <v>0</v>
      </c>
      <c r="N131" s="257">
        <v>0</v>
      </c>
      <c r="O131" s="258">
        <v>421.8</v>
      </c>
      <c r="P131" s="250"/>
      <c r="Q131" s="256">
        <v>0</v>
      </c>
      <c r="R131" s="257">
        <v>0</v>
      </c>
      <c r="S131" s="256">
        <v>207</v>
      </c>
      <c r="T131" s="557">
        <v>24</v>
      </c>
      <c r="U131" s="557"/>
      <c r="V131" s="256">
        <v>207</v>
      </c>
      <c r="W131" s="250"/>
      <c r="X131" s="556">
        <v>628.79999999999995</v>
      </c>
      <c r="Y131" s="556"/>
      <c r="Z131" s="250"/>
      <c r="AA131" s="267">
        <v>6695400</v>
      </c>
      <c r="AB131" s="565">
        <v>0</v>
      </c>
      <c r="AC131" s="565"/>
      <c r="AD131" s="242"/>
    </row>
    <row r="132" spans="1:30">
      <c r="A132" s="242"/>
      <c r="B132" s="559"/>
      <c r="C132" s="559"/>
      <c r="D132" s="247"/>
      <c r="E132" s="250"/>
      <c r="F132" s="554"/>
      <c r="G132" s="554"/>
      <c r="H132" s="250"/>
      <c r="I132" s="554"/>
      <c r="J132" s="554"/>
      <c r="K132" s="250"/>
      <c r="L132" s="250"/>
      <c r="M132" s="250"/>
      <c r="N132" s="250"/>
      <c r="O132" s="250"/>
      <c r="P132" s="250"/>
      <c r="Q132" s="250"/>
      <c r="R132" s="250"/>
      <c r="S132" s="250"/>
      <c r="T132" s="554"/>
      <c r="U132" s="554"/>
      <c r="V132" s="250"/>
      <c r="W132" s="250"/>
      <c r="X132" s="554"/>
      <c r="Y132" s="554"/>
      <c r="Z132" s="250"/>
      <c r="AA132" s="250"/>
      <c r="AB132" s="554"/>
      <c r="AC132" s="554"/>
      <c r="AD132" s="242"/>
    </row>
    <row r="133" spans="1:30">
      <c r="A133" s="242"/>
      <c r="B133" s="563">
        <v>39658</v>
      </c>
      <c r="C133" s="563"/>
      <c r="D133" s="247"/>
      <c r="E133" s="252">
        <v>181.3</v>
      </c>
      <c r="F133" s="564">
        <v>24</v>
      </c>
      <c r="G133" s="564"/>
      <c r="H133" s="252">
        <v>249.7</v>
      </c>
      <c r="I133" s="564">
        <v>24</v>
      </c>
      <c r="J133" s="564"/>
      <c r="K133" s="252">
        <v>0</v>
      </c>
      <c r="L133" s="253">
        <v>0</v>
      </c>
      <c r="M133" s="252">
        <v>0</v>
      </c>
      <c r="N133" s="253">
        <v>0</v>
      </c>
      <c r="O133" s="254">
        <v>431</v>
      </c>
      <c r="P133" s="250"/>
      <c r="Q133" s="252">
        <v>0</v>
      </c>
      <c r="R133" s="253">
        <v>0</v>
      </c>
      <c r="S133" s="252">
        <v>178</v>
      </c>
      <c r="T133" s="564">
        <v>24</v>
      </c>
      <c r="U133" s="564"/>
      <c r="V133" s="252">
        <v>178</v>
      </c>
      <c r="W133" s="250"/>
      <c r="X133" s="561">
        <v>609</v>
      </c>
      <c r="Y133" s="561"/>
      <c r="Z133" s="250"/>
      <c r="AA133" s="266">
        <v>6741700</v>
      </c>
      <c r="AB133" s="566">
        <v>0</v>
      </c>
      <c r="AC133" s="566"/>
      <c r="AD133" s="242"/>
    </row>
    <row r="134" spans="1:30">
      <c r="A134" s="242"/>
      <c r="B134" s="559"/>
      <c r="C134" s="559"/>
      <c r="D134" s="247"/>
      <c r="E134" s="250"/>
      <c r="F134" s="554"/>
      <c r="G134" s="554"/>
      <c r="H134" s="250"/>
      <c r="I134" s="554"/>
      <c r="J134" s="554"/>
      <c r="K134" s="250"/>
      <c r="L134" s="250"/>
      <c r="M134" s="250"/>
      <c r="N134" s="250"/>
      <c r="O134" s="250"/>
      <c r="P134" s="250"/>
      <c r="Q134" s="250"/>
      <c r="R134" s="250"/>
      <c r="S134" s="250"/>
      <c r="T134" s="554"/>
      <c r="U134" s="554"/>
      <c r="V134" s="250"/>
      <c r="W134" s="250"/>
      <c r="X134" s="554"/>
      <c r="Y134" s="554"/>
      <c r="Z134" s="250"/>
      <c r="AA134" s="250"/>
      <c r="AB134" s="554"/>
      <c r="AC134" s="554"/>
      <c r="AD134" s="242"/>
    </row>
    <row r="135" spans="1:30">
      <c r="A135" s="242"/>
      <c r="B135" s="558">
        <v>39659</v>
      </c>
      <c r="C135" s="558"/>
      <c r="D135" s="247"/>
      <c r="E135" s="256">
        <v>190.8</v>
      </c>
      <c r="F135" s="557">
        <v>24</v>
      </c>
      <c r="G135" s="557"/>
      <c r="H135" s="256">
        <v>280.8</v>
      </c>
      <c r="I135" s="557">
        <v>24</v>
      </c>
      <c r="J135" s="557"/>
      <c r="K135" s="256">
        <v>0</v>
      </c>
      <c r="L135" s="257">
        <v>0</v>
      </c>
      <c r="M135" s="256">
        <v>0</v>
      </c>
      <c r="N135" s="257">
        <v>4</v>
      </c>
      <c r="O135" s="258">
        <v>471.6</v>
      </c>
      <c r="P135" s="250"/>
      <c r="Q135" s="256">
        <v>0</v>
      </c>
      <c r="R135" s="257">
        <v>0</v>
      </c>
      <c r="S135" s="256">
        <v>238</v>
      </c>
      <c r="T135" s="557">
        <v>24</v>
      </c>
      <c r="U135" s="557"/>
      <c r="V135" s="256">
        <v>238</v>
      </c>
      <c r="W135" s="250"/>
      <c r="X135" s="556">
        <v>709.6</v>
      </c>
      <c r="Y135" s="556"/>
      <c r="Z135" s="250"/>
      <c r="AA135" s="267">
        <v>7475700</v>
      </c>
      <c r="AB135" s="565">
        <v>233</v>
      </c>
      <c r="AC135" s="565"/>
      <c r="AD135" s="242"/>
    </row>
    <row r="136" spans="1:30">
      <c r="A136" s="242"/>
      <c r="B136" s="559"/>
      <c r="C136" s="559"/>
      <c r="D136" s="247"/>
      <c r="E136" s="250"/>
      <c r="F136" s="554"/>
      <c r="G136" s="554"/>
      <c r="H136" s="250"/>
      <c r="I136" s="554"/>
      <c r="J136" s="554"/>
      <c r="K136" s="250"/>
      <c r="L136" s="250"/>
      <c r="M136" s="250"/>
      <c r="N136" s="250"/>
      <c r="O136" s="250"/>
      <c r="P136" s="250"/>
      <c r="Q136" s="250"/>
      <c r="R136" s="250"/>
      <c r="S136" s="250"/>
      <c r="T136" s="554"/>
      <c r="U136" s="554"/>
      <c r="V136" s="250"/>
      <c r="W136" s="250"/>
      <c r="X136" s="554"/>
      <c r="Y136" s="554"/>
      <c r="Z136" s="250"/>
      <c r="AA136" s="250"/>
      <c r="AB136" s="554"/>
      <c r="AC136" s="554"/>
      <c r="AD136" s="242"/>
    </row>
    <row r="137" spans="1:30">
      <c r="A137" s="242"/>
      <c r="B137" s="563">
        <v>39660</v>
      </c>
      <c r="C137" s="563"/>
      <c r="D137" s="247"/>
      <c r="E137" s="252">
        <v>92.2</v>
      </c>
      <c r="F137" s="564">
        <v>24</v>
      </c>
      <c r="G137" s="564"/>
      <c r="H137" s="252">
        <v>233.1</v>
      </c>
      <c r="I137" s="564">
        <v>24</v>
      </c>
      <c r="J137" s="564"/>
      <c r="K137" s="252">
        <v>0</v>
      </c>
      <c r="L137" s="253">
        <v>0</v>
      </c>
      <c r="M137" s="252">
        <v>97</v>
      </c>
      <c r="N137" s="253">
        <v>24</v>
      </c>
      <c r="O137" s="254">
        <v>422.3</v>
      </c>
      <c r="P137" s="250"/>
      <c r="Q137" s="252">
        <v>0</v>
      </c>
      <c r="R137" s="253">
        <v>0</v>
      </c>
      <c r="S137" s="252">
        <v>279</v>
      </c>
      <c r="T137" s="564">
        <v>24</v>
      </c>
      <c r="U137" s="564"/>
      <c r="V137" s="252">
        <v>279</v>
      </c>
      <c r="W137" s="250"/>
      <c r="X137" s="561">
        <v>701.3</v>
      </c>
      <c r="Y137" s="561"/>
      <c r="Z137" s="250"/>
      <c r="AA137" s="266">
        <v>8571600</v>
      </c>
      <c r="AB137" s="566">
        <v>0</v>
      </c>
      <c r="AC137" s="566"/>
      <c r="AD137" s="242"/>
    </row>
    <row r="138" spans="1:30">
      <c r="A138" s="242"/>
      <c r="B138" s="559"/>
      <c r="C138" s="559"/>
      <c r="D138" s="247"/>
      <c r="E138" s="250"/>
      <c r="F138" s="554"/>
      <c r="G138" s="554"/>
      <c r="H138" s="250"/>
      <c r="I138" s="554"/>
      <c r="J138" s="554"/>
      <c r="K138" s="250"/>
      <c r="L138" s="250"/>
      <c r="M138" s="250"/>
      <c r="N138" s="250"/>
      <c r="O138" s="250"/>
      <c r="P138" s="250"/>
      <c r="Q138" s="250"/>
      <c r="R138" s="250"/>
      <c r="S138" s="250"/>
      <c r="T138" s="554"/>
      <c r="U138" s="554"/>
      <c r="V138" s="250"/>
      <c r="W138" s="250"/>
      <c r="X138" s="554"/>
      <c r="Y138" s="554"/>
      <c r="Z138" s="250"/>
      <c r="AA138" s="250"/>
      <c r="AB138" s="554"/>
      <c r="AC138" s="554"/>
      <c r="AD138" s="242"/>
    </row>
    <row r="139" spans="1:30">
      <c r="A139" s="242"/>
      <c r="B139" s="558">
        <v>39661</v>
      </c>
      <c r="C139" s="558"/>
      <c r="D139" s="247"/>
      <c r="E139" s="256">
        <v>0</v>
      </c>
      <c r="F139" s="557">
        <v>10</v>
      </c>
      <c r="G139" s="557"/>
      <c r="H139" s="256">
        <v>139.1</v>
      </c>
      <c r="I139" s="557">
        <v>24</v>
      </c>
      <c r="J139" s="557"/>
      <c r="K139" s="256">
        <v>0</v>
      </c>
      <c r="L139" s="257">
        <v>0</v>
      </c>
      <c r="M139" s="256">
        <v>264</v>
      </c>
      <c r="N139" s="257">
        <v>24</v>
      </c>
      <c r="O139" s="258">
        <v>403.1</v>
      </c>
      <c r="P139" s="250"/>
      <c r="Q139" s="256">
        <v>0</v>
      </c>
      <c r="R139" s="257">
        <v>0</v>
      </c>
      <c r="S139" s="256">
        <v>240</v>
      </c>
      <c r="T139" s="557">
        <v>24</v>
      </c>
      <c r="U139" s="557"/>
      <c r="V139" s="256">
        <v>240</v>
      </c>
      <c r="W139" s="250"/>
      <c r="X139" s="556">
        <v>643.1</v>
      </c>
      <c r="Y139" s="556"/>
      <c r="Z139" s="250"/>
      <c r="AA139" s="267">
        <v>7203200</v>
      </c>
      <c r="AB139" s="565">
        <v>0</v>
      </c>
      <c r="AC139" s="565"/>
      <c r="AD139" s="242"/>
    </row>
    <row r="140" spans="1:30">
      <c r="A140" s="242"/>
      <c r="B140" s="559"/>
      <c r="C140" s="559"/>
      <c r="D140" s="247"/>
      <c r="E140" s="250"/>
      <c r="F140" s="554"/>
      <c r="G140" s="554"/>
      <c r="H140" s="250"/>
      <c r="I140" s="554"/>
      <c r="J140" s="554"/>
      <c r="K140" s="250"/>
      <c r="L140" s="250"/>
      <c r="M140" s="250"/>
      <c r="N140" s="250"/>
      <c r="O140" s="250"/>
      <c r="P140" s="250"/>
      <c r="Q140" s="250"/>
      <c r="R140" s="250"/>
      <c r="S140" s="250"/>
      <c r="T140" s="554"/>
      <c r="U140" s="554"/>
      <c r="V140" s="250"/>
      <c r="W140" s="250"/>
      <c r="X140" s="554"/>
      <c r="Y140" s="554"/>
      <c r="Z140" s="250"/>
      <c r="AA140" s="250"/>
      <c r="AB140" s="554"/>
      <c r="AC140" s="554"/>
      <c r="AD140" s="242"/>
    </row>
    <row r="141" spans="1:30">
      <c r="A141" s="242"/>
      <c r="B141" s="563">
        <v>39662</v>
      </c>
      <c r="C141" s="563"/>
      <c r="D141" s="247"/>
      <c r="E141" s="252">
        <v>0</v>
      </c>
      <c r="F141" s="564">
        <v>0</v>
      </c>
      <c r="G141" s="564"/>
      <c r="H141" s="252">
        <v>95</v>
      </c>
      <c r="I141" s="564">
        <v>24</v>
      </c>
      <c r="J141" s="564"/>
      <c r="K141" s="252">
        <v>0</v>
      </c>
      <c r="L141" s="253">
        <v>0</v>
      </c>
      <c r="M141" s="252">
        <v>414</v>
      </c>
      <c r="N141" s="253">
        <v>24</v>
      </c>
      <c r="O141" s="254">
        <v>509</v>
      </c>
      <c r="P141" s="250"/>
      <c r="Q141" s="252">
        <v>0</v>
      </c>
      <c r="R141" s="253">
        <v>0</v>
      </c>
      <c r="S141" s="252">
        <v>167</v>
      </c>
      <c r="T141" s="564">
        <v>24</v>
      </c>
      <c r="U141" s="564"/>
      <c r="V141" s="252">
        <v>167</v>
      </c>
      <c r="W141" s="250"/>
      <c r="X141" s="561">
        <v>676</v>
      </c>
      <c r="Y141" s="561"/>
      <c r="Z141" s="250"/>
      <c r="AA141" s="266">
        <v>7146200</v>
      </c>
      <c r="AB141" s="566">
        <v>0</v>
      </c>
      <c r="AC141" s="566"/>
      <c r="AD141" s="242"/>
    </row>
    <row r="142" spans="1:30">
      <c r="A142" s="242"/>
      <c r="B142" s="559"/>
      <c r="C142" s="559"/>
      <c r="D142" s="247"/>
      <c r="E142" s="250"/>
      <c r="F142" s="554"/>
      <c r="G142" s="554"/>
      <c r="H142" s="250"/>
      <c r="I142" s="554"/>
      <c r="J142" s="554"/>
      <c r="K142" s="250"/>
      <c r="L142" s="250"/>
      <c r="M142" s="250"/>
      <c r="N142" s="250"/>
      <c r="O142" s="250"/>
      <c r="P142" s="250"/>
      <c r="Q142" s="250"/>
      <c r="R142" s="250"/>
      <c r="S142" s="250"/>
      <c r="T142" s="554"/>
      <c r="U142" s="554"/>
      <c r="V142" s="250"/>
      <c r="W142" s="250"/>
      <c r="X142" s="554"/>
      <c r="Y142" s="554"/>
      <c r="Z142" s="250"/>
      <c r="AA142" s="250"/>
      <c r="AB142" s="554"/>
      <c r="AC142" s="554"/>
      <c r="AD142" s="242"/>
    </row>
    <row r="143" spans="1:30">
      <c r="A143" s="242"/>
      <c r="B143" s="558">
        <v>39663</v>
      </c>
      <c r="C143" s="558"/>
      <c r="D143" s="247"/>
      <c r="E143" s="256">
        <v>0</v>
      </c>
      <c r="F143" s="557">
        <v>0</v>
      </c>
      <c r="G143" s="557"/>
      <c r="H143" s="256">
        <v>93.2</v>
      </c>
      <c r="I143" s="557">
        <v>24</v>
      </c>
      <c r="J143" s="557"/>
      <c r="K143" s="256">
        <v>0</v>
      </c>
      <c r="L143" s="257">
        <v>0</v>
      </c>
      <c r="M143" s="256">
        <v>447</v>
      </c>
      <c r="N143" s="257">
        <v>24</v>
      </c>
      <c r="O143" s="258">
        <v>540.20000000000005</v>
      </c>
      <c r="P143" s="250"/>
      <c r="Q143" s="256">
        <v>0</v>
      </c>
      <c r="R143" s="257">
        <v>0</v>
      </c>
      <c r="S143" s="256">
        <v>197</v>
      </c>
      <c r="T143" s="557">
        <v>24</v>
      </c>
      <c r="U143" s="557"/>
      <c r="V143" s="256">
        <v>197</v>
      </c>
      <c r="W143" s="250"/>
      <c r="X143" s="556">
        <v>737.2</v>
      </c>
      <c r="Y143" s="556"/>
      <c r="Z143" s="250"/>
      <c r="AA143" s="267">
        <v>7376300</v>
      </c>
      <c r="AB143" s="565">
        <v>0</v>
      </c>
      <c r="AC143" s="565"/>
      <c r="AD143" s="242"/>
    </row>
    <row r="144" spans="1:30">
      <c r="A144" s="242"/>
      <c r="B144" s="559"/>
      <c r="C144" s="559"/>
      <c r="D144" s="247"/>
      <c r="E144" s="250"/>
      <c r="F144" s="554"/>
      <c r="G144" s="554"/>
      <c r="H144" s="250"/>
      <c r="I144" s="554"/>
      <c r="J144" s="554"/>
      <c r="K144" s="250"/>
      <c r="L144" s="250"/>
      <c r="M144" s="250"/>
      <c r="N144" s="250"/>
      <c r="O144" s="250"/>
      <c r="P144" s="250"/>
      <c r="Q144" s="250"/>
      <c r="R144" s="250"/>
      <c r="S144" s="250"/>
      <c r="T144" s="554"/>
      <c r="U144" s="554"/>
      <c r="V144" s="250"/>
      <c r="W144" s="250"/>
      <c r="X144" s="554"/>
      <c r="Y144" s="554"/>
      <c r="Z144" s="250"/>
      <c r="AA144" s="250"/>
      <c r="AB144" s="554"/>
      <c r="AC144" s="554"/>
      <c r="AD144" s="242"/>
    </row>
    <row r="145" spans="1:30">
      <c r="A145" s="242"/>
      <c r="B145" s="563">
        <v>39664</v>
      </c>
      <c r="C145" s="563"/>
      <c r="D145" s="247"/>
      <c r="E145" s="252">
        <v>0</v>
      </c>
      <c r="F145" s="564">
        <v>0</v>
      </c>
      <c r="G145" s="564"/>
      <c r="H145" s="252">
        <v>97.9</v>
      </c>
      <c r="I145" s="564">
        <v>24</v>
      </c>
      <c r="J145" s="564"/>
      <c r="K145" s="252">
        <v>0</v>
      </c>
      <c r="L145" s="253">
        <v>0</v>
      </c>
      <c r="M145" s="252">
        <v>436</v>
      </c>
      <c r="N145" s="253">
        <v>24</v>
      </c>
      <c r="O145" s="254">
        <v>533.9</v>
      </c>
      <c r="P145" s="250"/>
      <c r="Q145" s="252">
        <v>0</v>
      </c>
      <c r="R145" s="253">
        <v>0</v>
      </c>
      <c r="S145" s="252">
        <v>209</v>
      </c>
      <c r="T145" s="564">
        <v>24</v>
      </c>
      <c r="U145" s="564"/>
      <c r="V145" s="252">
        <v>209</v>
      </c>
      <c r="W145" s="250"/>
      <c r="X145" s="561">
        <v>742.9</v>
      </c>
      <c r="Y145" s="561"/>
      <c r="Z145" s="250"/>
      <c r="AA145" s="266">
        <v>7364700</v>
      </c>
      <c r="AB145" s="566">
        <v>0</v>
      </c>
      <c r="AC145" s="566"/>
      <c r="AD145" s="242"/>
    </row>
    <row r="146" spans="1:30">
      <c r="A146" s="242"/>
      <c r="B146" s="559"/>
      <c r="C146" s="559"/>
      <c r="D146" s="247"/>
      <c r="E146" s="250"/>
      <c r="F146" s="554"/>
      <c r="G146" s="554"/>
      <c r="H146" s="250"/>
      <c r="I146" s="554"/>
      <c r="J146" s="554"/>
      <c r="K146" s="250"/>
      <c r="L146" s="250"/>
      <c r="M146" s="250"/>
      <c r="N146" s="250"/>
      <c r="O146" s="250"/>
      <c r="P146" s="250"/>
      <c r="Q146" s="250"/>
      <c r="R146" s="250"/>
      <c r="S146" s="250"/>
      <c r="T146" s="554"/>
      <c r="U146" s="554"/>
      <c r="V146" s="250"/>
      <c r="W146" s="250"/>
      <c r="X146" s="554"/>
      <c r="Y146" s="554"/>
      <c r="Z146" s="250"/>
      <c r="AA146" s="250"/>
      <c r="AB146" s="554"/>
      <c r="AC146" s="554"/>
      <c r="AD146" s="242"/>
    </row>
    <row r="147" spans="1:30">
      <c r="A147" s="242"/>
      <c r="B147" s="558">
        <v>39665</v>
      </c>
      <c r="C147" s="558"/>
      <c r="D147" s="247"/>
      <c r="E147" s="256">
        <v>0</v>
      </c>
      <c r="F147" s="557">
        <v>0</v>
      </c>
      <c r="G147" s="557"/>
      <c r="H147" s="256">
        <v>90.9</v>
      </c>
      <c r="I147" s="557">
        <v>24</v>
      </c>
      <c r="J147" s="557"/>
      <c r="K147" s="256">
        <v>0</v>
      </c>
      <c r="L147" s="257">
        <v>0</v>
      </c>
      <c r="M147" s="256">
        <v>424</v>
      </c>
      <c r="N147" s="257">
        <v>24</v>
      </c>
      <c r="O147" s="258">
        <v>514.9</v>
      </c>
      <c r="P147" s="250"/>
      <c r="Q147" s="256">
        <v>0</v>
      </c>
      <c r="R147" s="257">
        <v>0</v>
      </c>
      <c r="S147" s="256">
        <v>178</v>
      </c>
      <c r="T147" s="557">
        <v>24</v>
      </c>
      <c r="U147" s="557"/>
      <c r="V147" s="256">
        <v>178</v>
      </c>
      <c r="W147" s="250"/>
      <c r="X147" s="556">
        <v>692.9</v>
      </c>
      <c r="Y147" s="556"/>
      <c r="Z147" s="250"/>
      <c r="AA147" s="267">
        <v>7189900</v>
      </c>
      <c r="AB147" s="565">
        <v>0</v>
      </c>
      <c r="AC147" s="565"/>
      <c r="AD147" s="242"/>
    </row>
    <row r="148" spans="1:30">
      <c r="A148" s="242"/>
      <c r="B148" s="559"/>
      <c r="C148" s="559"/>
      <c r="D148" s="247"/>
      <c r="E148" s="250"/>
      <c r="F148" s="554"/>
      <c r="G148" s="554"/>
      <c r="H148" s="250"/>
      <c r="I148" s="554"/>
      <c r="J148" s="554"/>
      <c r="K148" s="250"/>
      <c r="L148" s="250"/>
      <c r="M148" s="250"/>
      <c r="N148" s="250"/>
      <c r="O148" s="250"/>
      <c r="P148" s="250"/>
      <c r="Q148" s="250"/>
      <c r="R148" s="250"/>
      <c r="S148" s="250"/>
      <c r="T148" s="554"/>
      <c r="U148" s="554"/>
      <c r="V148" s="250"/>
      <c r="W148" s="250"/>
      <c r="X148" s="554"/>
      <c r="Y148" s="554"/>
      <c r="Z148" s="250"/>
      <c r="AA148" s="250"/>
      <c r="AB148" s="554"/>
      <c r="AC148" s="554"/>
      <c r="AD148" s="242"/>
    </row>
    <row r="149" spans="1:30">
      <c r="A149" s="242"/>
      <c r="B149" s="563">
        <v>39666</v>
      </c>
      <c r="C149" s="563"/>
      <c r="D149" s="247"/>
      <c r="E149" s="252">
        <v>0</v>
      </c>
      <c r="F149" s="564">
        <v>0</v>
      </c>
      <c r="G149" s="564"/>
      <c r="H149" s="252">
        <v>92.9</v>
      </c>
      <c r="I149" s="564">
        <v>24</v>
      </c>
      <c r="J149" s="564"/>
      <c r="K149" s="252">
        <v>0</v>
      </c>
      <c r="L149" s="253">
        <v>0</v>
      </c>
      <c r="M149" s="252">
        <v>389</v>
      </c>
      <c r="N149" s="253">
        <v>24</v>
      </c>
      <c r="O149" s="254">
        <v>481.9</v>
      </c>
      <c r="P149" s="250"/>
      <c r="Q149" s="252">
        <v>0</v>
      </c>
      <c r="R149" s="253">
        <v>0</v>
      </c>
      <c r="S149" s="252">
        <v>163</v>
      </c>
      <c r="T149" s="564">
        <v>24</v>
      </c>
      <c r="U149" s="564"/>
      <c r="V149" s="252">
        <v>163</v>
      </c>
      <c r="W149" s="250"/>
      <c r="X149" s="561">
        <v>644.9</v>
      </c>
      <c r="Y149" s="561"/>
      <c r="Z149" s="250"/>
      <c r="AA149" s="266">
        <v>6913100</v>
      </c>
      <c r="AB149" s="566">
        <v>0</v>
      </c>
      <c r="AC149" s="566"/>
      <c r="AD149" s="242"/>
    </row>
    <row r="150" spans="1:30">
      <c r="A150" s="242"/>
      <c r="B150" s="559"/>
      <c r="C150" s="559"/>
      <c r="D150" s="247"/>
      <c r="E150" s="250"/>
      <c r="F150" s="554"/>
      <c r="G150" s="554"/>
      <c r="H150" s="250"/>
      <c r="I150" s="554"/>
      <c r="J150" s="554"/>
      <c r="K150" s="250"/>
      <c r="L150" s="250"/>
      <c r="M150" s="250"/>
      <c r="N150" s="250"/>
      <c r="O150" s="250"/>
      <c r="P150" s="250"/>
      <c r="Q150" s="250"/>
      <c r="R150" s="250"/>
      <c r="S150" s="250"/>
      <c r="T150" s="554"/>
      <c r="U150" s="554"/>
      <c r="V150" s="250"/>
      <c r="W150" s="250"/>
      <c r="X150" s="554"/>
      <c r="Y150" s="554"/>
      <c r="Z150" s="250"/>
      <c r="AA150" s="250"/>
      <c r="AB150" s="554"/>
      <c r="AC150" s="554"/>
      <c r="AD150" s="242"/>
    </row>
    <row r="151" spans="1:30">
      <c r="A151" s="242"/>
      <c r="B151" s="558">
        <v>39667</v>
      </c>
      <c r="C151" s="558"/>
      <c r="D151" s="247"/>
      <c r="E151" s="256">
        <v>0</v>
      </c>
      <c r="F151" s="557">
        <v>0</v>
      </c>
      <c r="G151" s="557"/>
      <c r="H151" s="256">
        <v>99.8</v>
      </c>
      <c r="I151" s="557">
        <v>24</v>
      </c>
      <c r="J151" s="557"/>
      <c r="K151" s="256">
        <v>0</v>
      </c>
      <c r="L151" s="257">
        <v>0</v>
      </c>
      <c r="M151" s="256">
        <v>328</v>
      </c>
      <c r="N151" s="257">
        <v>24</v>
      </c>
      <c r="O151" s="258">
        <v>427.8</v>
      </c>
      <c r="P151" s="250"/>
      <c r="Q151" s="256">
        <v>0</v>
      </c>
      <c r="R151" s="257">
        <v>0</v>
      </c>
      <c r="S151" s="256">
        <v>160</v>
      </c>
      <c r="T151" s="557">
        <v>24</v>
      </c>
      <c r="U151" s="557"/>
      <c r="V151" s="256">
        <v>160</v>
      </c>
      <c r="W151" s="250"/>
      <c r="X151" s="556">
        <v>587.79999999999995</v>
      </c>
      <c r="Y151" s="556"/>
      <c r="Z151" s="250"/>
      <c r="AA151" s="267">
        <v>6509900</v>
      </c>
      <c r="AB151" s="565">
        <v>0</v>
      </c>
      <c r="AC151" s="565"/>
      <c r="AD151" s="242"/>
    </row>
    <row r="152" spans="1:30">
      <c r="A152" s="242"/>
      <c r="B152" s="559"/>
      <c r="C152" s="559"/>
      <c r="D152" s="247"/>
      <c r="E152" s="250"/>
      <c r="F152" s="554"/>
      <c r="G152" s="554"/>
      <c r="H152" s="250"/>
      <c r="I152" s="554"/>
      <c r="J152" s="554"/>
      <c r="K152" s="250"/>
      <c r="L152" s="250"/>
      <c r="M152" s="250"/>
      <c r="N152" s="250"/>
      <c r="O152" s="250"/>
      <c r="P152" s="250"/>
      <c r="Q152" s="250"/>
      <c r="R152" s="250"/>
      <c r="S152" s="250"/>
      <c r="T152" s="554"/>
      <c r="U152" s="554"/>
      <c r="V152" s="250"/>
      <c r="W152" s="250"/>
      <c r="X152" s="554"/>
      <c r="Y152" s="554"/>
      <c r="Z152" s="250"/>
      <c r="AA152" s="250"/>
      <c r="AB152" s="554"/>
      <c r="AC152" s="554"/>
      <c r="AD152" s="242"/>
    </row>
    <row r="153" spans="1:30">
      <c r="A153" s="242"/>
      <c r="B153" s="563">
        <v>39668</v>
      </c>
      <c r="C153" s="563"/>
      <c r="D153" s="247"/>
      <c r="E153" s="252">
        <v>0</v>
      </c>
      <c r="F153" s="564">
        <v>0</v>
      </c>
      <c r="G153" s="564"/>
      <c r="H153" s="252">
        <v>116.8</v>
      </c>
      <c r="I153" s="564">
        <v>24</v>
      </c>
      <c r="J153" s="564"/>
      <c r="K153" s="252">
        <v>0</v>
      </c>
      <c r="L153" s="253">
        <v>0</v>
      </c>
      <c r="M153" s="252">
        <v>325</v>
      </c>
      <c r="N153" s="253">
        <v>24</v>
      </c>
      <c r="O153" s="254">
        <v>441.8</v>
      </c>
      <c r="P153" s="250"/>
      <c r="Q153" s="252">
        <v>0</v>
      </c>
      <c r="R153" s="253">
        <v>0</v>
      </c>
      <c r="S153" s="252">
        <v>137</v>
      </c>
      <c r="T153" s="564">
        <v>24</v>
      </c>
      <c r="U153" s="564"/>
      <c r="V153" s="252">
        <v>137</v>
      </c>
      <c r="W153" s="250"/>
      <c r="X153" s="561">
        <v>578.79999999999995</v>
      </c>
      <c r="Y153" s="561"/>
      <c r="Z153" s="250"/>
      <c r="AA153" s="266">
        <v>6672300</v>
      </c>
      <c r="AB153" s="566">
        <v>0</v>
      </c>
      <c r="AC153" s="566"/>
      <c r="AD153" s="242"/>
    </row>
    <row r="154" spans="1:30">
      <c r="A154" s="242"/>
      <c r="B154" s="559"/>
      <c r="C154" s="559"/>
      <c r="D154" s="247"/>
      <c r="E154" s="250"/>
      <c r="F154" s="554"/>
      <c r="G154" s="554"/>
      <c r="H154" s="250"/>
      <c r="I154" s="554"/>
      <c r="J154" s="554"/>
      <c r="K154" s="250"/>
      <c r="L154" s="250"/>
      <c r="M154" s="250"/>
      <c r="N154" s="250"/>
      <c r="O154" s="250"/>
      <c r="P154" s="250"/>
      <c r="Q154" s="250"/>
      <c r="R154" s="250"/>
      <c r="S154" s="250"/>
      <c r="T154" s="554"/>
      <c r="U154" s="554"/>
      <c r="V154" s="250"/>
      <c r="W154" s="250"/>
      <c r="X154" s="554"/>
      <c r="Y154" s="554"/>
      <c r="Z154" s="250"/>
      <c r="AA154" s="250"/>
      <c r="AB154" s="554"/>
      <c r="AC154" s="554"/>
      <c r="AD154" s="242"/>
    </row>
    <row r="155" spans="1:30">
      <c r="A155" s="242"/>
      <c r="B155" s="558">
        <v>39669</v>
      </c>
      <c r="C155" s="558"/>
      <c r="D155" s="247"/>
      <c r="E155" s="256">
        <v>42</v>
      </c>
      <c r="F155" s="557">
        <v>10</v>
      </c>
      <c r="G155" s="557"/>
      <c r="H155" s="256">
        <v>93.4</v>
      </c>
      <c r="I155" s="557">
        <v>24</v>
      </c>
      <c r="J155" s="557"/>
      <c r="K155" s="256">
        <v>0</v>
      </c>
      <c r="L155" s="257">
        <v>0</v>
      </c>
      <c r="M155" s="256">
        <v>347</v>
      </c>
      <c r="N155" s="257">
        <v>24</v>
      </c>
      <c r="O155" s="258">
        <v>482.4</v>
      </c>
      <c r="P155" s="250"/>
      <c r="Q155" s="256">
        <v>0</v>
      </c>
      <c r="R155" s="257">
        <v>0</v>
      </c>
      <c r="S155" s="256">
        <v>184</v>
      </c>
      <c r="T155" s="557">
        <v>24</v>
      </c>
      <c r="U155" s="557"/>
      <c r="V155" s="256">
        <v>184</v>
      </c>
      <c r="W155" s="250"/>
      <c r="X155" s="556">
        <v>666.4</v>
      </c>
      <c r="Y155" s="556"/>
      <c r="Z155" s="250"/>
      <c r="AA155" s="267">
        <v>7898700</v>
      </c>
      <c r="AB155" s="565">
        <v>280</v>
      </c>
      <c r="AC155" s="565"/>
      <c r="AD155" s="242"/>
    </row>
    <row r="156" spans="1:30">
      <c r="A156" s="242"/>
      <c r="B156" s="559"/>
      <c r="C156" s="559"/>
      <c r="D156" s="247"/>
      <c r="E156" s="250"/>
      <c r="F156" s="554"/>
      <c r="G156" s="554"/>
      <c r="H156" s="250"/>
      <c r="I156" s="554"/>
      <c r="J156" s="554"/>
      <c r="K156" s="250"/>
      <c r="L156" s="250"/>
      <c r="M156" s="250"/>
      <c r="N156" s="250"/>
      <c r="O156" s="250"/>
      <c r="P156" s="250"/>
      <c r="Q156" s="250"/>
      <c r="R156" s="250"/>
      <c r="S156" s="250"/>
      <c r="T156" s="554"/>
      <c r="U156" s="554"/>
      <c r="V156" s="250"/>
      <c r="W156" s="250"/>
      <c r="X156" s="554"/>
      <c r="Y156" s="554"/>
      <c r="Z156" s="250"/>
      <c r="AA156" s="250"/>
      <c r="AB156" s="554"/>
      <c r="AC156" s="554"/>
      <c r="AD156" s="242"/>
    </row>
    <row r="157" spans="1:30">
      <c r="A157" s="242"/>
      <c r="B157" s="563">
        <v>39670</v>
      </c>
      <c r="C157" s="563"/>
      <c r="D157" s="247"/>
      <c r="E157" s="252">
        <v>145.19999999999999</v>
      </c>
      <c r="F157" s="564">
        <v>24</v>
      </c>
      <c r="G157" s="564"/>
      <c r="H157" s="252">
        <v>0</v>
      </c>
      <c r="I157" s="564">
        <v>11</v>
      </c>
      <c r="J157" s="564"/>
      <c r="K157" s="252">
        <v>0</v>
      </c>
      <c r="L157" s="253">
        <v>0</v>
      </c>
      <c r="M157" s="252">
        <v>341</v>
      </c>
      <c r="N157" s="253">
        <v>24</v>
      </c>
      <c r="O157" s="254">
        <v>486.2</v>
      </c>
      <c r="P157" s="250"/>
      <c r="Q157" s="252">
        <v>0</v>
      </c>
      <c r="R157" s="253">
        <v>0</v>
      </c>
      <c r="S157" s="252">
        <v>198</v>
      </c>
      <c r="T157" s="564">
        <v>24</v>
      </c>
      <c r="U157" s="564"/>
      <c r="V157" s="252">
        <v>198</v>
      </c>
      <c r="W157" s="250"/>
      <c r="X157" s="561">
        <v>684.2</v>
      </c>
      <c r="Y157" s="561"/>
      <c r="Z157" s="250"/>
      <c r="AA157" s="266">
        <v>8010500</v>
      </c>
      <c r="AB157" s="566">
        <v>0</v>
      </c>
      <c r="AC157" s="566"/>
      <c r="AD157" s="242"/>
    </row>
    <row r="158" spans="1:30">
      <c r="A158" s="242"/>
      <c r="B158" s="559"/>
      <c r="C158" s="559"/>
      <c r="D158" s="247"/>
      <c r="E158" s="250"/>
      <c r="F158" s="554"/>
      <c r="G158" s="554"/>
      <c r="H158" s="250"/>
      <c r="I158" s="554"/>
      <c r="J158" s="554"/>
      <c r="K158" s="250"/>
      <c r="L158" s="250"/>
      <c r="M158" s="250"/>
      <c r="N158" s="250"/>
      <c r="O158" s="250"/>
      <c r="P158" s="250"/>
      <c r="Q158" s="250"/>
      <c r="R158" s="250"/>
      <c r="S158" s="250"/>
      <c r="T158" s="554"/>
      <c r="U158" s="554"/>
      <c r="V158" s="250"/>
      <c r="W158" s="250"/>
      <c r="X158" s="554"/>
      <c r="Y158" s="554"/>
      <c r="Z158" s="250"/>
      <c r="AA158" s="250"/>
      <c r="AB158" s="554"/>
      <c r="AC158" s="554"/>
      <c r="AD158" s="242"/>
    </row>
    <row r="159" spans="1:30">
      <c r="A159" s="242"/>
      <c r="B159" s="558">
        <v>39671</v>
      </c>
      <c r="C159" s="558"/>
      <c r="D159" s="247"/>
      <c r="E159" s="256">
        <v>134.19999999999999</v>
      </c>
      <c r="F159" s="557">
        <v>24</v>
      </c>
      <c r="G159" s="557"/>
      <c r="H159" s="256">
        <v>0</v>
      </c>
      <c r="I159" s="557">
        <v>0</v>
      </c>
      <c r="J159" s="557"/>
      <c r="K159" s="256">
        <v>0</v>
      </c>
      <c r="L159" s="257">
        <v>0</v>
      </c>
      <c r="M159" s="256">
        <v>302</v>
      </c>
      <c r="N159" s="257">
        <v>24</v>
      </c>
      <c r="O159" s="258">
        <v>436.2</v>
      </c>
      <c r="P159" s="250"/>
      <c r="Q159" s="256">
        <v>0</v>
      </c>
      <c r="R159" s="257">
        <v>0</v>
      </c>
      <c r="S159" s="256">
        <v>167</v>
      </c>
      <c r="T159" s="557">
        <v>24</v>
      </c>
      <c r="U159" s="557"/>
      <c r="V159" s="256">
        <v>167</v>
      </c>
      <c r="W159" s="250"/>
      <c r="X159" s="556">
        <v>603.20000000000005</v>
      </c>
      <c r="Y159" s="556"/>
      <c r="Z159" s="250"/>
      <c r="AA159" s="267">
        <v>6783100</v>
      </c>
      <c r="AB159" s="565">
        <v>0</v>
      </c>
      <c r="AC159" s="565"/>
      <c r="AD159" s="242"/>
    </row>
    <row r="160" spans="1:30">
      <c r="A160" s="242"/>
      <c r="B160" s="559"/>
      <c r="C160" s="559"/>
      <c r="D160" s="247"/>
      <c r="E160" s="250"/>
      <c r="F160" s="554"/>
      <c r="G160" s="554"/>
      <c r="H160" s="250"/>
      <c r="I160" s="554"/>
      <c r="J160" s="554"/>
      <c r="K160" s="250"/>
      <c r="L160" s="250"/>
      <c r="M160" s="250"/>
      <c r="N160" s="250"/>
      <c r="O160" s="250"/>
      <c r="P160" s="250"/>
      <c r="Q160" s="250"/>
      <c r="R160" s="250"/>
      <c r="S160" s="250"/>
      <c r="T160" s="554"/>
      <c r="U160" s="554"/>
      <c r="V160" s="250"/>
      <c r="W160" s="250"/>
      <c r="X160" s="554"/>
      <c r="Y160" s="554"/>
      <c r="Z160" s="250"/>
      <c r="AA160" s="250"/>
      <c r="AB160" s="554"/>
      <c r="AC160" s="554"/>
      <c r="AD160" s="242"/>
    </row>
    <row r="161" spans="1:30">
      <c r="A161" s="242"/>
      <c r="B161" s="563">
        <v>39672</v>
      </c>
      <c r="C161" s="563"/>
      <c r="D161" s="247"/>
      <c r="E161" s="252">
        <v>130.1</v>
      </c>
      <c r="F161" s="564">
        <v>24</v>
      </c>
      <c r="G161" s="564"/>
      <c r="H161" s="252">
        <v>0</v>
      </c>
      <c r="I161" s="564">
        <v>0</v>
      </c>
      <c r="J161" s="564"/>
      <c r="K161" s="252">
        <v>0</v>
      </c>
      <c r="L161" s="253">
        <v>0</v>
      </c>
      <c r="M161" s="252">
        <v>310</v>
      </c>
      <c r="N161" s="253">
        <v>24</v>
      </c>
      <c r="O161" s="254">
        <v>440.1</v>
      </c>
      <c r="P161" s="250"/>
      <c r="Q161" s="252">
        <v>0</v>
      </c>
      <c r="R161" s="253">
        <v>0</v>
      </c>
      <c r="S161" s="252">
        <v>180</v>
      </c>
      <c r="T161" s="564">
        <v>24</v>
      </c>
      <c r="U161" s="564"/>
      <c r="V161" s="252">
        <v>180</v>
      </c>
      <c r="W161" s="250"/>
      <c r="X161" s="561">
        <v>620.1</v>
      </c>
      <c r="Y161" s="561"/>
      <c r="Z161" s="250"/>
      <c r="AA161" s="266">
        <v>6757600</v>
      </c>
      <c r="AB161" s="566">
        <v>0</v>
      </c>
      <c r="AC161" s="566"/>
      <c r="AD161" s="242"/>
    </row>
    <row r="162" spans="1:30">
      <c r="A162" s="242"/>
      <c r="B162" s="559"/>
      <c r="C162" s="559"/>
      <c r="D162" s="247"/>
      <c r="E162" s="250"/>
      <c r="F162" s="554"/>
      <c r="G162" s="554"/>
      <c r="H162" s="250"/>
      <c r="I162" s="554"/>
      <c r="J162" s="554"/>
      <c r="K162" s="250"/>
      <c r="L162" s="250"/>
      <c r="M162" s="250"/>
      <c r="N162" s="250"/>
      <c r="O162" s="250"/>
      <c r="P162" s="250"/>
      <c r="Q162" s="250"/>
      <c r="R162" s="250"/>
      <c r="S162" s="250"/>
      <c r="T162" s="554"/>
      <c r="U162" s="554"/>
      <c r="V162" s="250"/>
      <c r="W162" s="250"/>
      <c r="X162" s="554"/>
      <c r="Y162" s="554"/>
      <c r="Z162" s="250"/>
      <c r="AA162" s="250"/>
      <c r="AB162" s="554"/>
      <c r="AC162" s="554"/>
      <c r="AD162" s="242"/>
    </row>
    <row r="163" spans="1:30">
      <c r="A163" s="242"/>
      <c r="B163" s="558">
        <v>39673</v>
      </c>
      <c r="C163" s="558"/>
      <c r="D163" s="247"/>
      <c r="E163" s="256">
        <v>108.2</v>
      </c>
      <c r="F163" s="557">
        <v>24</v>
      </c>
      <c r="G163" s="557"/>
      <c r="H163" s="256">
        <v>0</v>
      </c>
      <c r="I163" s="557">
        <v>0</v>
      </c>
      <c r="J163" s="557"/>
      <c r="K163" s="256">
        <v>0</v>
      </c>
      <c r="L163" s="257">
        <v>0</v>
      </c>
      <c r="M163" s="256">
        <v>298</v>
      </c>
      <c r="N163" s="257">
        <v>24</v>
      </c>
      <c r="O163" s="258">
        <v>406.2</v>
      </c>
      <c r="P163" s="250"/>
      <c r="Q163" s="256">
        <v>134</v>
      </c>
      <c r="R163" s="257">
        <v>17</v>
      </c>
      <c r="S163" s="256">
        <v>50</v>
      </c>
      <c r="T163" s="557">
        <v>6</v>
      </c>
      <c r="U163" s="557"/>
      <c r="V163" s="256">
        <v>184</v>
      </c>
      <c r="W163" s="250"/>
      <c r="X163" s="556">
        <v>590.20000000000005</v>
      </c>
      <c r="Y163" s="556"/>
      <c r="Z163" s="250"/>
      <c r="AA163" s="267">
        <v>6447800</v>
      </c>
      <c r="AB163" s="565">
        <v>0</v>
      </c>
      <c r="AC163" s="565"/>
      <c r="AD163" s="242"/>
    </row>
    <row r="164" spans="1:30">
      <c r="A164" s="242"/>
      <c r="B164" s="559"/>
      <c r="C164" s="559"/>
      <c r="D164" s="247"/>
      <c r="E164" s="250"/>
      <c r="F164" s="554"/>
      <c r="G164" s="554"/>
      <c r="H164" s="250"/>
      <c r="I164" s="554"/>
      <c r="J164" s="554"/>
      <c r="K164" s="250"/>
      <c r="L164" s="250"/>
      <c r="M164" s="250"/>
      <c r="N164" s="250"/>
      <c r="O164" s="250"/>
      <c r="P164" s="250"/>
      <c r="Q164" s="250"/>
      <c r="R164" s="250"/>
      <c r="S164" s="250"/>
      <c r="T164" s="554"/>
      <c r="U164" s="554"/>
      <c r="V164" s="250"/>
      <c r="W164" s="250"/>
      <c r="X164" s="554"/>
      <c r="Y164" s="554"/>
      <c r="Z164" s="250"/>
      <c r="AA164" s="250"/>
      <c r="AB164" s="554"/>
      <c r="AC164" s="554"/>
      <c r="AD164" s="242"/>
    </row>
    <row r="165" spans="1:30">
      <c r="A165" s="242"/>
      <c r="B165" s="563">
        <v>39674</v>
      </c>
      <c r="C165" s="563"/>
      <c r="D165" s="247"/>
      <c r="E165" s="252">
        <v>131.80000000000001</v>
      </c>
      <c r="F165" s="564">
        <v>24</v>
      </c>
      <c r="G165" s="564"/>
      <c r="H165" s="252">
        <v>0</v>
      </c>
      <c r="I165" s="564">
        <v>0</v>
      </c>
      <c r="J165" s="564"/>
      <c r="K165" s="252">
        <v>0</v>
      </c>
      <c r="L165" s="253">
        <v>0</v>
      </c>
      <c r="M165" s="252">
        <v>266</v>
      </c>
      <c r="N165" s="253">
        <v>24</v>
      </c>
      <c r="O165" s="254">
        <v>397.8</v>
      </c>
      <c r="P165" s="250"/>
      <c r="Q165" s="252">
        <v>186</v>
      </c>
      <c r="R165" s="253">
        <v>24</v>
      </c>
      <c r="S165" s="252">
        <v>0</v>
      </c>
      <c r="T165" s="564">
        <v>0</v>
      </c>
      <c r="U165" s="564"/>
      <c r="V165" s="252">
        <v>186</v>
      </c>
      <c r="W165" s="250"/>
      <c r="X165" s="561">
        <v>583.79999999999995</v>
      </c>
      <c r="Y165" s="561"/>
      <c r="Z165" s="250"/>
      <c r="AA165" s="266">
        <v>6434100</v>
      </c>
      <c r="AB165" s="566">
        <v>0</v>
      </c>
      <c r="AC165" s="566"/>
      <c r="AD165" s="242"/>
    </row>
    <row r="166" spans="1:30">
      <c r="A166" s="242"/>
      <c r="B166" s="559"/>
      <c r="C166" s="559"/>
      <c r="D166" s="247"/>
      <c r="E166" s="250"/>
      <c r="F166" s="554"/>
      <c r="G166" s="554"/>
      <c r="H166" s="250"/>
      <c r="I166" s="554"/>
      <c r="J166" s="554"/>
      <c r="K166" s="250"/>
      <c r="L166" s="250"/>
      <c r="M166" s="250"/>
      <c r="N166" s="250"/>
      <c r="O166" s="250"/>
      <c r="P166" s="250"/>
      <c r="Q166" s="250"/>
      <c r="R166" s="250"/>
      <c r="S166" s="250"/>
      <c r="T166" s="554"/>
      <c r="U166" s="554"/>
      <c r="V166" s="250"/>
      <c r="W166" s="250"/>
      <c r="X166" s="554"/>
      <c r="Y166" s="554"/>
      <c r="Z166" s="250"/>
      <c r="AA166" s="250"/>
      <c r="AB166" s="554"/>
      <c r="AC166" s="554"/>
      <c r="AD166" s="242"/>
    </row>
    <row r="167" spans="1:30">
      <c r="A167" s="242"/>
      <c r="B167" s="558">
        <v>39675</v>
      </c>
      <c r="C167" s="558"/>
      <c r="D167" s="247"/>
      <c r="E167" s="256">
        <v>125.3</v>
      </c>
      <c r="F167" s="557">
        <v>24</v>
      </c>
      <c r="G167" s="557"/>
      <c r="H167" s="256">
        <v>0</v>
      </c>
      <c r="I167" s="557">
        <v>0</v>
      </c>
      <c r="J167" s="557"/>
      <c r="K167" s="256">
        <v>0</v>
      </c>
      <c r="L167" s="257">
        <v>0</v>
      </c>
      <c r="M167" s="256">
        <v>287</v>
      </c>
      <c r="N167" s="257">
        <v>24</v>
      </c>
      <c r="O167" s="258">
        <v>412.3</v>
      </c>
      <c r="P167" s="250"/>
      <c r="Q167" s="256">
        <v>113</v>
      </c>
      <c r="R167" s="257">
        <v>21</v>
      </c>
      <c r="S167" s="256">
        <v>0</v>
      </c>
      <c r="T167" s="557">
        <v>0</v>
      </c>
      <c r="U167" s="557"/>
      <c r="V167" s="256">
        <v>113</v>
      </c>
      <c r="W167" s="250"/>
      <c r="X167" s="556">
        <v>525.29999999999995</v>
      </c>
      <c r="Y167" s="556"/>
      <c r="Z167" s="250"/>
      <c r="AA167" s="267">
        <v>6596600</v>
      </c>
      <c r="AB167" s="565">
        <v>0</v>
      </c>
      <c r="AC167" s="565"/>
      <c r="AD167" s="242"/>
    </row>
    <row r="168" spans="1:30">
      <c r="A168" s="242"/>
      <c r="B168" s="559"/>
      <c r="C168" s="559"/>
      <c r="D168" s="247"/>
      <c r="E168" s="250"/>
      <c r="F168" s="554"/>
      <c r="G168" s="554"/>
      <c r="H168" s="250"/>
      <c r="I168" s="554"/>
      <c r="J168" s="554"/>
      <c r="K168" s="250"/>
      <c r="L168" s="250"/>
      <c r="M168" s="250"/>
      <c r="N168" s="250"/>
      <c r="O168" s="250"/>
      <c r="P168" s="250"/>
      <c r="Q168" s="250"/>
      <c r="R168" s="250"/>
      <c r="S168" s="250"/>
      <c r="T168" s="554"/>
      <c r="U168" s="554"/>
      <c r="V168" s="250"/>
      <c r="W168" s="250"/>
      <c r="X168" s="554"/>
      <c r="Y168" s="554"/>
      <c r="Z168" s="250"/>
      <c r="AA168" s="250"/>
      <c r="AB168" s="554"/>
      <c r="AC168" s="554"/>
      <c r="AD168" s="242"/>
    </row>
    <row r="169" spans="1:30">
      <c r="A169" s="242"/>
      <c r="B169" s="563">
        <v>39676</v>
      </c>
      <c r="C169" s="563"/>
      <c r="D169" s="247"/>
      <c r="E169" s="252">
        <v>204.7</v>
      </c>
      <c r="F169" s="564">
        <v>24</v>
      </c>
      <c r="G169" s="564"/>
      <c r="H169" s="252"/>
      <c r="I169" s="564"/>
      <c r="J169" s="564"/>
      <c r="K169" s="252"/>
      <c r="L169" s="253"/>
      <c r="M169" s="252">
        <v>437</v>
      </c>
      <c r="N169" s="253">
        <v>24</v>
      </c>
      <c r="O169" s="254">
        <v>641.70000000000005</v>
      </c>
      <c r="P169" s="250"/>
      <c r="Q169" s="252"/>
      <c r="R169" s="253"/>
      <c r="S169" s="252"/>
      <c r="T169" s="564"/>
      <c r="U169" s="564"/>
      <c r="V169" s="252"/>
      <c r="W169" s="250"/>
      <c r="X169" s="561">
        <v>641.70000000000005</v>
      </c>
      <c r="Y169" s="561"/>
      <c r="Z169" s="250"/>
      <c r="AA169" s="266">
        <v>8294400</v>
      </c>
      <c r="AB169" s="566"/>
      <c r="AC169" s="566"/>
      <c r="AD169" s="242"/>
    </row>
    <row r="170" spans="1:30">
      <c r="A170" s="242"/>
      <c r="B170" s="559"/>
      <c r="C170" s="559"/>
      <c r="D170" s="247"/>
      <c r="E170" s="250"/>
      <c r="F170" s="554"/>
      <c r="G170" s="554"/>
      <c r="H170" s="250"/>
      <c r="I170" s="554"/>
      <c r="J170" s="554"/>
      <c r="K170" s="250"/>
      <c r="L170" s="250"/>
      <c r="M170" s="250"/>
      <c r="N170" s="250"/>
      <c r="O170" s="250"/>
      <c r="P170" s="250"/>
      <c r="Q170" s="250"/>
      <c r="R170" s="250"/>
      <c r="S170" s="250"/>
      <c r="T170" s="554"/>
      <c r="U170" s="554"/>
      <c r="V170" s="250"/>
      <c r="W170" s="250"/>
      <c r="X170" s="554"/>
      <c r="Y170" s="554"/>
      <c r="Z170" s="250"/>
      <c r="AA170" s="250"/>
      <c r="AB170" s="554"/>
      <c r="AC170" s="554"/>
      <c r="AD170" s="242"/>
    </row>
    <row r="171" spans="1:30">
      <c r="A171" s="242"/>
      <c r="B171" s="558">
        <v>39677</v>
      </c>
      <c r="C171" s="558"/>
      <c r="D171" s="247"/>
      <c r="E171" s="256">
        <v>149.69999999999999</v>
      </c>
      <c r="F171" s="557">
        <v>24</v>
      </c>
      <c r="G171" s="557"/>
      <c r="H171" s="256">
        <v>0</v>
      </c>
      <c r="I171" s="557">
        <v>0</v>
      </c>
      <c r="J171" s="557"/>
      <c r="K171" s="256">
        <v>0</v>
      </c>
      <c r="L171" s="257">
        <v>0</v>
      </c>
      <c r="M171" s="256">
        <v>343</v>
      </c>
      <c r="N171" s="257">
        <v>24</v>
      </c>
      <c r="O171" s="258">
        <v>492.7</v>
      </c>
      <c r="P171" s="250"/>
      <c r="Q171" s="256">
        <v>115</v>
      </c>
      <c r="R171" s="257">
        <v>14</v>
      </c>
      <c r="S171" s="256">
        <v>0</v>
      </c>
      <c r="T171" s="557">
        <v>0</v>
      </c>
      <c r="U171" s="557"/>
      <c r="V171" s="256">
        <v>115</v>
      </c>
      <c r="W171" s="250"/>
      <c r="X171" s="556">
        <v>607.70000000000005</v>
      </c>
      <c r="Y171" s="556"/>
      <c r="Z171" s="250"/>
      <c r="AA171" s="267">
        <v>7170500</v>
      </c>
      <c r="AB171" s="565">
        <v>0</v>
      </c>
      <c r="AC171" s="565"/>
      <c r="AD171" s="242"/>
    </row>
    <row r="172" spans="1:30">
      <c r="A172" s="242"/>
      <c r="B172" s="559"/>
      <c r="C172" s="559"/>
      <c r="D172" s="247"/>
      <c r="E172" s="250"/>
      <c r="F172" s="554"/>
      <c r="G172" s="554"/>
      <c r="H172" s="250"/>
      <c r="I172" s="554"/>
      <c r="J172" s="554"/>
      <c r="K172" s="250"/>
      <c r="L172" s="250"/>
      <c r="M172" s="250"/>
      <c r="N172" s="250"/>
      <c r="O172" s="250"/>
      <c r="P172" s="250"/>
      <c r="Q172" s="250"/>
      <c r="R172" s="250"/>
      <c r="S172" s="250"/>
      <c r="T172" s="554"/>
      <c r="U172" s="554"/>
      <c r="V172" s="250"/>
      <c r="W172" s="250"/>
      <c r="X172" s="554"/>
      <c r="Y172" s="554"/>
      <c r="Z172" s="250"/>
      <c r="AA172" s="250"/>
      <c r="AB172" s="554"/>
      <c r="AC172" s="554"/>
      <c r="AD172" s="242"/>
    </row>
    <row r="173" spans="1:30">
      <c r="A173" s="242"/>
      <c r="B173" s="563">
        <v>39678</v>
      </c>
      <c r="C173" s="563"/>
      <c r="D173" s="247"/>
      <c r="E173" s="252">
        <v>131.80000000000001</v>
      </c>
      <c r="F173" s="564">
        <v>24</v>
      </c>
      <c r="G173" s="564"/>
      <c r="H173" s="252">
        <v>0</v>
      </c>
      <c r="I173" s="564">
        <v>0</v>
      </c>
      <c r="J173" s="564"/>
      <c r="K173" s="252">
        <v>0</v>
      </c>
      <c r="L173" s="253">
        <v>0</v>
      </c>
      <c r="M173" s="252">
        <v>330</v>
      </c>
      <c r="N173" s="253">
        <v>24</v>
      </c>
      <c r="O173" s="254">
        <v>461.8</v>
      </c>
      <c r="P173" s="250"/>
      <c r="Q173" s="252">
        <v>180</v>
      </c>
      <c r="R173" s="253">
        <v>24</v>
      </c>
      <c r="S173" s="252">
        <v>0</v>
      </c>
      <c r="T173" s="564">
        <v>0</v>
      </c>
      <c r="U173" s="564"/>
      <c r="V173" s="252">
        <v>180</v>
      </c>
      <c r="W173" s="250"/>
      <c r="X173" s="561">
        <v>641.79999999999995</v>
      </c>
      <c r="Y173" s="561"/>
      <c r="Z173" s="250"/>
      <c r="AA173" s="266">
        <v>6901100</v>
      </c>
      <c r="AB173" s="566">
        <v>0</v>
      </c>
      <c r="AC173" s="566"/>
      <c r="AD173" s="242"/>
    </row>
    <row r="174" spans="1:30">
      <c r="A174" s="242"/>
      <c r="B174" s="559"/>
      <c r="C174" s="559"/>
      <c r="D174" s="247"/>
      <c r="E174" s="250"/>
      <c r="F174" s="554"/>
      <c r="G174" s="554"/>
      <c r="H174" s="250"/>
      <c r="I174" s="554"/>
      <c r="J174" s="554"/>
      <c r="K174" s="250"/>
      <c r="L174" s="250"/>
      <c r="M174" s="250"/>
      <c r="N174" s="250"/>
      <c r="O174" s="250"/>
      <c r="P174" s="250"/>
      <c r="Q174" s="250"/>
      <c r="R174" s="250"/>
      <c r="S174" s="250"/>
      <c r="T174" s="554"/>
      <c r="U174" s="554"/>
      <c r="V174" s="250"/>
      <c r="W174" s="250"/>
      <c r="X174" s="554"/>
      <c r="Y174" s="554"/>
      <c r="Z174" s="250"/>
      <c r="AA174" s="250"/>
      <c r="AB174" s="554"/>
      <c r="AC174" s="554"/>
      <c r="AD174" s="242"/>
    </row>
    <row r="175" spans="1:30">
      <c r="A175" s="242"/>
      <c r="B175" s="558">
        <v>39679</v>
      </c>
      <c r="C175" s="558"/>
      <c r="D175" s="247"/>
      <c r="E175" s="256">
        <v>170.5</v>
      </c>
      <c r="F175" s="557">
        <v>24</v>
      </c>
      <c r="G175" s="557"/>
      <c r="H175" s="256"/>
      <c r="I175" s="557"/>
      <c r="J175" s="557"/>
      <c r="K175" s="256"/>
      <c r="L175" s="257"/>
      <c r="M175" s="256">
        <v>273</v>
      </c>
      <c r="N175" s="257">
        <v>24</v>
      </c>
      <c r="O175" s="258">
        <v>443.5</v>
      </c>
      <c r="P175" s="250"/>
      <c r="Q175" s="256">
        <v>192</v>
      </c>
      <c r="R175" s="257">
        <v>24</v>
      </c>
      <c r="S175" s="256"/>
      <c r="T175" s="557"/>
      <c r="U175" s="557"/>
      <c r="V175" s="256">
        <v>192</v>
      </c>
      <c r="W175" s="250"/>
      <c r="X175" s="556">
        <v>635.5</v>
      </c>
      <c r="Y175" s="556"/>
      <c r="Z175" s="250"/>
      <c r="AA175" s="267">
        <v>6733500</v>
      </c>
      <c r="AB175" s="565"/>
      <c r="AC175" s="565"/>
      <c r="AD175" s="242"/>
    </row>
    <row r="176" spans="1:30">
      <c r="A176" s="242"/>
      <c r="B176" s="559"/>
      <c r="C176" s="559"/>
      <c r="D176" s="247"/>
      <c r="E176" s="250"/>
      <c r="F176" s="554"/>
      <c r="G176" s="554"/>
      <c r="H176" s="250"/>
      <c r="I176" s="554"/>
      <c r="J176" s="554"/>
      <c r="K176" s="250"/>
      <c r="L176" s="250"/>
      <c r="M176" s="250"/>
      <c r="N176" s="250"/>
      <c r="O176" s="250"/>
      <c r="P176" s="250"/>
      <c r="Q176" s="250"/>
      <c r="R176" s="250"/>
      <c r="S176" s="250"/>
      <c r="T176" s="554"/>
      <c r="U176" s="554"/>
      <c r="V176" s="250"/>
      <c r="W176" s="250"/>
      <c r="X176" s="554"/>
      <c r="Y176" s="554"/>
      <c r="Z176" s="250"/>
      <c r="AA176" s="250"/>
      <c r="AB176" s="554"/>
      <c r="AC176" s="554"/>
      <c r="AD176" s="242"/>
    </row>
    <row r="177" spans="1:30">
      <c r="A177" s="242"/>
      <c r="B177" s="563">
        <v>39680</v>
      </c>
      <c r="C177" s="563"/>
      <c r="D177" s="247"/>
      <c r="E177" s="252">
        <v>96.4</v>
      </c>
      <c r="F177" s="564">
        <v>23</v>
      </c>
      <c r="G177" s="564"/>
      <c r="H177" s="252">
        <v>31.1</v>
      </c>
      <c r="I177" s="564">
        <v>7</v>
      </c>
      <c r="J177" s="564"/>
      <c r="K177" s="252"/>
      <c r="L177" s="253"/>
      <c r="M177" s="252">
        <v>293</v>
      </c>
      <c r="N177" s="253">
        <v>24</v>
      </c>
      <c r="O177" s="254">
        <v>420.5</v>
      </c>
      <c r="P177" s="250"/>
      <c r="Q177" s="252">
        <v>182</v>
      </c>
      <c r="R177" s="253">
        <v>24</v>
      </c>
      <c r="S177" s="252"/>
      <c r="T177" s="564"/>
      <c r="U177" s="564"/>
      <c r="V177" s="252">
        <v>182</v>
      </c>
      <c r="W177" s="250"/>
      <c r="X177" s="561">
        <v>602.5</v>
      </c>
      <c r="Y177" s="561"/>
      <c r="Z177" s="250"/>
      <c r="AA177" s="266">
        <v>7118400</v>
      </c>
      <c r="AB177" s="566">
        <v>186</v>
      </c>
      <c r="AC177" s="566"/>
      <c r="AD177" s="242"/>
    </row>
    <row r="178" spans="1:30">
      <c r="A178" s="242"/>
      <c r="B178" s="559"/>
      <c r="C178" s="559"/>
      <c r="D178" s="247"/>
      <c r="E178" s="250"/>
      <c r="F178" s="554"/>
      <c r="G178" s="554"/>
      <c r="H178" s="250"/>
      <c r="I178" s="554"/>
      <c r="J178" s="554"/>
      <c r="K178" s="250"/>
      <c r="L178" s="250"/>
      <c r="M178" s="250"/>
      <c r="N178" s="250"/>
      <c r="O178" s="250"/>
      <c r="P178" s="250"/>
      <c r="Q178" s="250"/>
      <c r="R178" s="250"/>
      <c r="S178" s="250"/>
      <c r="T178" s="554"/>
      <c r="U178" s="554"/>
      <c r="V178" s="250"/>
      <c r="W178" s="250"/>
      <c r="X178" s="554"/>
      <c r="Y178" s="554"/>
      <c r="Z178" s="250"/>
      <c r="AA178" s="250"/>
      <c r="AB178" s="554"/>
      <c r="AC178" s="554"/>
      <c r="AD178" s="242"/>
    </row>
    <row r="179" spans="1:30">
      <c r="A179" s="242"/>
      <c r="B179" s="558">
        <v>39681</v>
      </c>
      <c r="C179" s="558"/>
      <c r="D179" s="247"/>
      <c r="E179" s="256">
        <v>0</v>
      </c>
      <c r="F179" s="557">
        <v>0</v>
      </c>
      <c r="G179" s="557"/>
      <c r="H179" s="256">
        <v>238.1</v>
      </c>
      <c r="I179" s="557">
        <v>24</v>
      </c>
      <c r="J179" s="557"/>
      <c r="K179" s="256">
        <v>0</v>
      </c>
      <c r="L179" s="257">
        <v>0</v>
      </c>
      <c r="M179" s="256">
        <v>242</v>
      </c>
      <c r="N179" s="257">
        <v>24</v>
      </c>
      <c r="O179" s="258">
        <v>480.1</v>
      </c>
      <c r="P179" s="250"/>
      <c r="Q179" s="256">
        <v>179</v>
      </c>
      <c r="R179" s="257">
        <v>24</v>
      </c>
      <c r="S179" s="256">
        <v>0</v>
      </c>
      <c r="T179" s="557">
        <v>0</v>
      </c>
      <c r="U179" s="557"/>
      <c r="V179" s="256">
        <v>179</v>
      </c>
      <c r="W179" s="250"/>
      <c r="X179" s="556">
        <v>659.1</v>
      </c>
      <c r="Y179" s="556"/>
      <c r="Z179" s="250"/>
      <c r="AA179" s="267">
        <v>6913500</v>
      </c>
      <c r="AB179" s="565">
        <v>0</v>
      </c>
      <c r="AC179" s="565"/>
      <c r="AD179" s="242"/>
    </row>
    <row r="180" spans="1:30">
      <c r="A180" s="242"/>
      <c r="B180" s="559"/>
      <c r="C180" s="559"/>
      <c r="D180" s="247"/>
      <c r="E180" s="250"/>
      <c r="F180" s="554"/>
      <c r="G180" s="554"/>
      <c r="H180" s="250"/>
      <c r="I180" s="554"/>
      <c r="J180" s="554"/>
      <c r="K180" s="250"/>
      <c r="L180" s="250"/>
      <c r="M180" s="250"/>
      <c r="N180" s="250"/>
      <c r="O180" s="250"/>
      <c r="P180" s="250"/>
      <c r="Q180" s="250"/>
      <c r="R180" s="250"/>
      <c r="S180" s="250"/>
      <c r="T180" s="554"/>
      <c r="U180" s="554"/>
      <c r="V180" s="250"/>
      <c r="W180" s="250"/>
      <c r="X180" s="554"/>
      <c r="Y180" s="554"/>
      <c r="Z180" s="250"/>
      <c r="AA180" s="250"/>
      <c r="AB180" s="554"/>
      <c r="AC180" s="554"/>
      <c r="AD180" s="242"/>
    </row>
    <row r="181" spans="1:30">
      <c r="A181" s="242"/>
      <c r="B181" s="563">
        <v>39682</v>
      </c>
      <c r="C181" s="563"/>
      <c r="D181" s="247"/>
      <c r="E181" s="252">
        <v>0</v>
      </c>
      <c r="F181" s="564">
        <v>0</v>
      </c>
      <c r="G181" s="564"/>
      <c r="H181" s="252">
        <v>205.9</v>
      </c>
      <c r="I181" s="564">
        <v>24</v>
      </c>
      <c r="J181" s="564"/>
      <c r="K181" s="252">
        <v>0</v>
      </c>
      <c r="L181" s="253">
        <v>0</v>
      </c>
      <c r="M181" s="252">
        <v>267</v>
      </c>
      <c r="N181" s="253">
        <v>24</v>
      </c>
      <c r="O181" s="254">
        <v>472.9</v>
      </c>
      <c r="P181" s="250"/>
      <c r="Q181" s="252">
        <v>185</v>
      </c>
      <c r="R181" s="253">
        <v>24</v>
      </c>
      <c r="S181" s="252">
        <v>0</v>
      </c>
      <c r="T181" s="564">
        <v>0</v>
      </c>
      <c r="U181" s="564"/>
      <c r="V181" s="252">
        <v>185</v>
      </c>
      <c r="W181" s="250"/>
      <c r="X181" s="561">
        <v>657.9</v>
      </c>
      <c r="Y181" s="561"/>
      <c r="Z181" s="250"/>
      <c r="AA181" s="266">
        <v>6934700</v>
      </c>
      <c r="AB181" s="566">
        <v>0</v>
      </c>
      <c r="AC181" s="566"/>
      <c r="AD181" s="242"/>
    </row>
    <row r="182" spans="1:30">
      <c r="A182" s="242"/>
      <c r="B182" s="559"/>
      <c r="C182" s="559"/>
      <c r="D182" s="247"/>
      <c r="E182" s="250"/>
      <c r="F182" s="554"/>
      <c r="G182" s="554"/>
      <c r="H182" s="250"/>
      <c r="I182" s="554"/>
      <c r="J182" s="554"/>
      <c r="K182" s="250"/>
      <c r="L182" s="250"/>
      <c r="M182" s="250"/>
      <c r="N182" s="250"/>
      <c r="O182" s="250"/>
      <c r="P182" s="250"/>
      <c r="Q182" s="250"/>
      <c r="R182" s="250"/>
      <c r="S182" s="250"/>
      <c r="T182" s="554"/>
      <c r="U182" s="554"/>
      <c r="V182" s="250"/>
      <c r="W182" s="250"/>
      <c r="X182" s="554"/>
      <c r="Y182" s="554"/>
      <c r="Z182" s="250"/>
      <c r="AA182" s="250"/>
      <c r="AB182" s="554"/>
      <c r="AC182" s="554"/>
      <c r="AD182" s="242"/>
    </row>
    <row r="183" spans="1:30">
      <c r="A183" s="242"/>
      <c r="B183" s="558">
        <v>39683</v>
      </c>
      <c r="C183" s="558"/>
      <c r="D183" s="247"/>
      <c r="E183" s="256">
        <v>0</v>
      </c>
      <c r="F183" s="557">
        <v>0</v>
      </c>
      <c r="G183" s="557"/>
      <c r="H183" s="256">
        <v>179.5</v>
      </c>
      <c r="I183" s="557">
        <v>24</v>
      </c>
      <c r="J183" s="557"/>
      <c r="K183" s="256">
        <v>0</v>
      </c>
      <c r="L183" s="257">
        <v>0</v>
      </c>
      <c r="M183" s="256">
        <v>270</v>
      </c>
      <c r="N183" s="257">
        <v>0</v>
      </c>
      <c r="O183" s="258">
        <v>449.5</v>
      </c>
      <c r="P183" s="250"/>
      <c r="Q183" s="256">
        <v>172</v>
      </c>
      <c r="R183" s="257">
        <v>24</v>
      </c>
      <c r="S183" s="256">
        <v>0</v>
      </c>
      <c r="T183" s="557">
        <v>0</v>
      </c>
      <c r="U183" s="557"/>
      <c r="V183" s="256">
        <v>172</v>
      </c>
      <c r="W183" s="250"/>
      <c r="X183" s="556">
        <v>621.5</v>
      </c>
      <c r="Y183" s="556"/>
      <c r="Z183" s="250"/>
      <c r="AA183" s="267">
        <v>6662800</v>
      </c>
      <c r="AB183" s="565">
        <v>0</v>
      </c>
      <c r="AC183" s="565"/>
      <c r="AD183" s="242"/>
    </row>
    <row r="184" spans="1:30">
      <c r="A184" s="242"/>
      <c r="B184" s="559"/>
      <c r="C184" s="559"/>
      <c r="D184" s="247"/>
      <c r="E184" s="250"/>
      <c r="F184" s="554"/>
      <c r="G184" s="554"/>
      <c r="H184" s="250"/>
      <c r="I184" s="554"/>
      <c r="J184" s="554"/>
      <c r="K184" s="250"/>
      <c r="L184" s="250"/>
      <c r="M184" s="250"/>
      <c r="N184" s="250"/>
      <c r="O184" s="250"/>
      <c r="P184" s="250"/>
      <c r="Q184" s="250"/>
      <c r="R184" s="250"/>
      <c r="S184" s="250"/>
      <c r="T184" s="554"/>
      <c r="U184" s="554"/>
      <c r="V184" s="250"/>
      <c r="W184" s="250"/>
      <c r="X184" s="554"/>
      <c r="Y184" s="554"/>
      <c r="Z184" s="250"/>
      <c r="AA184" s="250"/>
      <c r="AB184" s="554"/>
      <c r="AC184" s="554"/>
      <c r="AD184" s="242"/>
    </row>
    <row r="185" spans="1:30">
      <c r="A185" s="242"/>
      <c r="B185" s="563">
        <v>39684</v>
      </c>
      <c r="C185" s="563"/>
      <c r="D185" s="247"/>
      <c r="E185" s="252">
        <v>0</v>
      </c>
      <c r="F185" s="564">
        <v>3</v>
      </c>
      <c r="G185" s="564"/>
      <c r="H185" s="252">
        <v>186.1</v>
      </c>
      <c r="I185" s="564">
        <v>24</v>
      </c>
      <c r="J185" s="564"/>
      <c r="K185" s="252">
        <v>0</v>
      </c>
      <c r="L185" s="253">
        <v>0</v>
      </c>
      <c r="M185" s="252">
        <v>289</v>
      </c>
      <c r="N185" s="253">
        <v>24</v>
      </c>
      <c r="O185" s="254">
        <v>475.1</v>
      </c>
      <c r="P185" s="250"/>
      <c r="Q185" s="252">
        <v>179</v>
      </c>
      <c r="R185" s="253">
        <v>24</v>
      </c>
      <c r="S185" s="252">
        <v>0</v>
      </c>
      <c r="T185" s="564">
        <v>0</v>
      </c>
      <c r="U185" s="564"/>
      <c r="V185" s="252">
        <v>179</v>
      </c>
      <c r="W185" s="250"/>
      <c r="X185" s="561">
        <v>654.1</v>
      </c>
      <c r="Y185" s="561"/>
      <c r="Z185" s="250"/>
      <c r="AA185" s="266">
        <v>7029100</v>
      </c>
      <c r="AB185" s="566">
        <v>3745</v>
      </c>
      <c r="AC185" s="566"/>
      <c r="AD185" s="242"/>
    </row>
    <row r="186" spans="1:30">
      <c r="A186" s="242"/>
      <c r="B186" s="559"/>
      <c r="C186" s="559"/>
      <c r="D186" s="247"/>
      <c r="E186" s="250"/>
      <c r="F186" s="554"/>
      <c r="G186" s="554"/>
      <c r="H186" s="250"/>
      <c r="I186" s="554"/>
      <c r="J186" s="554"/>
      <c r="K186" s="250"/>
      <c r="L186" s="250"/>
      <c r="M186" s="250"/>
      <c r="N186" s="250"/>
      <c r="O186" s="250"/>
      <c r="P186" s="250"/>
      <c r="Q186" s="250"/>
      <c r="R186" s="250"/>
      <c r="S186" s="250"/>
      <c r="T186" s="554"/>
      <c r="U186" s="554"/>
      <c r="V186" s="250"/>
      <c r="W186" s="250"/>
      <c r="X186" s="554"/>
      <c r="Y186" s="554"/>
      <c r="Z186" s="250"/>
      <c r="AA186" s="250"/>
      <c r="AB186" s="554"/>
      <c r="AC186" s="554"/>
      <c r="AD186" s="242"/>
    </row>
    <row r="187" spans="1:30">
      <c r="A187" s="242"/>
      <c r="B187" s="558">
        <v>39685</v>
      </c>
      <c r="C187" s="558"/>
      <c r="D187" s="247"/>
      <c r="E187" s="256">
        <v>0</v>
      </c>
      <c r="F187" s="557">
        <v>0</v>
      </c>
      <c r="G187" s="557"/>
      <c r="H187" s="256">
        <v>183.3</v>
      </c>
      <c r="I187" s="557">
        <v>24</v>
      </c>
      <c r="J187" s="557"/>
      <c r="K187" s="256">
        <v>0</v>
      </c>
      <c r="L187" s="257">
        <v>0</v>
      </c>
      <c r="M187" s="256">
        <v>289</v>
      </c>
      <c r="N187" s="257">
        <v>24</v>
      </c>
      <c r="O187" s="258">
        <v>472.3</v>
      </c>
      <c r="P187" s="250"/>
      <c r="Q187" s="256">
        <v>181</v>
      </c>
      <c r="R187" s="257">
        <v>24</v>
      </c>
      <c r="S187" s="256">
        <v>0</v>
      </c>
      <c r="T187" s="557">
        <v>0</v>
      </c>
      <c r="U187" s="557"/>
      <c r="V187" s="256">
        <v>181</v>
      </c>
      <c r="W187" s="250"/>
      <c r="X187" s="556">
        <v>653.29999999999995</v>
      </c>
      <c r="Y187" s="556"/>
      <c r="Z187" s="250"/>
      <c r="AA187" s="267">
        <v>6855900</v>
      </c>
      <c r="AB187" s="565">
        <v>0</v>
      </c>
      <c r="AC187" s="565"/>
      <c r="AD187" s="242"/>
    </row>
    <row r="188" spans="1:30">
      <c r="A188" s="242"/>
      <c r="B188" s="559"/>
      <c r="C188" s="559"/>
      <c r="D188" s="247"/>
      <c r="E188" s="250"/>
      <c r="F188" s="554"/>
      <c r="G188" s="554"/>
      <c r="H188" s="250"/>
      <c r="I188" s="554"/>
      <c r="J188" s="554"/>
      <c r="K188" s="250"/>
      <c r="L188" s="250"/>
      <c r="M188" s="250"/>
      <c r="N188" s="250"/>
      <c r="O188" s="250"/>
      <c r="P188" s="250"/>
      <c r="Q188" s="250"/>
      <c r="R188" s="250"/>
      <c r="S188" s="250"/>
      <c r="T188" s="554"/>
      <c r="U188" s="554"/>
      <c r="V188" s="250"/>
      <c r="W188" s="250"/>
      <c r="X188" s="554"/>
      <c r="Y188" s="554"/>
      <c r="Z188" s="250"/>
      <c r="AA188" s="250"/>
      <c r="AB188" s="554"/>
      <c r="AC188" s="554"/>
      <c r="AD188" s="242"/>
    </row>
    <row r="189" spans="1:30">
      <c r="A189" s="242"/>
      <c r="B189" s="563">
        <v>39686</v>
      </c>
      <c r="C189" s="563"/>
      <c r="D189" s="247"/>
      <c r="E189" s="252">
        <v>36.6</v>
      </c>
      <c r="F189" s="564">
        <v>13</v>
      </c>
      <c r="G189" s="564"/>
      <c r="H189" s="252">
        <v>193.1</v>
      </c>
      <c r="I189" s="564">
        <v>24</v>
      </c>
      <c r="J189" s="564"/>
      <c r="K189" s="252"/>
      <c r="L189" s="253"/>
      <c r="M189" s="252">
        <v>256</v>
      </c>
      <c r="N189" s="253">
        <v>24</v>
      </c>
      <c r="O189" s="254">
        <v>485.7</v>
      </c>
      <c r="P189" s="250"/>
      <c r="Q189" s="252">
        <v>187</v>
      </c>
      <c r="R189" s="253">
        <v>24</v>
      </c>
      <c r="S189" s="252"/>
      <c r="T189" s="564"/>
      <c r="U189" s="564"/>
      <c r="V189" s="252">
        <v>187</v>
      </c>
      <c r="W189" s="250"/>
      <c r="X189" s="561">
        <v>672.7</v>
      </c>
      <c r="Y189" s="561"/>
      <c r="Z189" s="250"/>
      <c r="AA189" s="266">
        <v>7814800</v>
      </c>
      <c r="AB189" s="566"/>
      <c r="AC189" s="566"/>
      <c r="AD189" s="242"/>
    </row>
    <row r="190" spans="1:30">
      <c r="A190" s="242"/>
      <c r="B190" s="559"/>
      <c r="C190" s="559"/>
      <c r="D190" s="247"/>
      <c r="E190" s="250"/>
      <c r="F190" s="554"/>
      <c r="G190" s="554"/>
      <c r="H190" s="250"/>
      <c r="I190" s="554"/>
      <c r="J190" s="554"/>
      <c r="K190" s="250"/>
      <c r="L190" s="250"/>
      <c r="M190" s="250"/>
      <c r="N190" s="250"/>
      <c r="O190" s="250"/>
      <c r="P190" s="250"/>
      <c r="Q190" s="250"/>
      <c r="R190" s="250"/>
      <c r="S190" s="250"/>
      <c r="T190" s="554"/>
      <c r="U190" s="554"/>
      <c r="V190" s="250"/>
      <c r="W190" s="250"/>
      <c r="X190" s="554"/>
      <c r="Y190" s="554"/>
      <c r="Z190" s="250"/>
      <c r="AA190" s="250"/>
      <c r="AB190" s="554"/>
      <c r="AC190" s="554"/>
      <c r="AD190" s="242"/>
    </row>
    <row r="191" spans="1:30">
      <c r="A191" s="242"/>
      <c r="B191" s="558">
        <v>39687</v>
      </c>
      <c r="C191" s="558"/>
      <c r="D191" s="247"/>
      <c r="E191" s="256">
        <v>131.69999999999999</v>
      </c>
      <c r="F191" s="557">
        <v>18</v>
      </c>
      <c r="G191" s="557"/>
      <c r="H191" s="256">
        <v>149.1</v>
      </c>
      <c r="I191" s="557">
        <v>24</v>
      </c>
      <c r="J191" s="557"/>
      <c r="K191" s="256">
        <v>0</v>
      </c>
      <c r="L191" s="257">
        <v>0</v>
      </c>
      <c r="M191" s="256">
        <v>202</v>
      </c>
      <c r="N191" s="257">
        <v>24</v>
      </c>
      <c r="O191" s="258">
        <v>482.8</v>
      </c>
      <c r="P191" s="250"/>
      <c r="Q191" s="256">
        <v>192</v>
      </c>
      <c r="R191" s="257">
        <v>24</v>
      </c>
      <c r="S191" s="256">
        <v>0</v>
      </c>
      <c r="T191" s="557">
        <v>0</v>
      </c>
      <c r="U191" s="557"/>
      <c r="V191" s="256">
        <v>192</v>
      </c>
      <c r="W191" s="250"/>
      <c r="X191" s="556">
        <v>674.8</v>
      </c>
      <c r="Y191" s="556"/>
      <c r="Z191" s="250"/>
      <c r="AA191" s="267">
        <v>8501700</v>
      </c>
      <c r="AB191" s="565">
        <v>0</v>
      </c>
      <c r="AC191" s="565"/>
      <c r="AD191" s="242"/>
    </row>
    <row r="192" spans="1:30">
      <c r="A192" s="242"/>
      <c r="B192" s="559"/>
      <c r="C192" s="559"/>
      <c r="D192" s="247"/>
      <c r="E192" s="250"/>
      <c r="F192" s="554"/>
      <c r="G192" s="554"/>
      <c r="H192" s="250"/>
      <c r="I192" s="554"/>
      <c r="J192" s="554"/>
      <c r="K192" s="250"/>
      <c r="L192" s="250"/>
      <c r="M192" s="250"/>
      <c r="N192" s="250"/>
      <c r="O192" s="250"/>
      <c r="P192" s="250"/>
      <c r="Q192" s="250"/>
      <c r="R192" s="250"/>
      <c r="S192" s="250"/>
      <c r="T192" s="554"/>
      <c r="U192" s="554"/>
      <c r="V192" s="250"/>
      <c r="W192" s="250"/>
      <c r="X192" s="554"/>
      <c r="Y192" s="554"/>
      <c r="Z192" s="250"/>
      <c r="AA192" s="250"/>
      <c r="AB192" s="554"/>
      <c r="AC192" s="554"/>
      <c r="AD192" s="242"/>
    </row>
    <row r="193" spans="1:30">
      <c r="A193" s="242"/>
      <c r="B193" s="563">
        <v>39688</v>
      </c>
      <c r="C193" s="563"/>
      <c r="D193" s="247"/>
      <c r="E193" s="252">
        <v>0</v>
      </c>
      <c r="F193" s="564">
        <v>0</v>
      </c>
      <c r="G193" s="564"/>
      <c r="H193" s="252">
        <v>145.4</v>
      </c>
      <c r="I193" s="564">
        <v>24</v>
      </c>
      <c r="J193" s="564"/>
      <c r="K193" s="252">
        <v>0</v>
      </c>
      <c r="L193" s="253">
        <v>0</v>
      </c>
      <c r="M193" s="252">
        <v>313</v>
      </c>
      <c r="N193" s="253">
        <v>24</v>
      </c>
      <c r="O193" s="254">
        <v>458.4</v>
      </c>
      <c r="P193" s="250"/>
      <c r="Q193" s="252">
        <v>188</v>
      </c>
      <c r="R193" s="253">
        <v>24</v>
      </c>
      <c r="S193" s="252">
        <v>0</v>
      </c>
      <c r="T193" s="564">
        <v>0</v>
      </c>
      <c r="U193" s="564"/>
      <c r="V193" s="252">
        <v>188</v>
      </c>
      <c r="W193" s="250"/>
      <c r="X193" s="561">
        <v>646.4</v>
      </c>
      <c r="Y193" s="561"/>
      <c r="Z193" s="250"/>
      <c r="AA193" s="266">
        <v>6809300</v>
      </c>
      <c r="AB193" s="566">
        <v>0</v>
      </c>
      <c r="AC193" s="566"/>
      <c r="AD193" s="242"/>
    </row>
    <row r="194" spans="1:30">
      <c r="A194" s="242"/>
      <c r="B194" s="559"/>
      <c r="C194" s="559"/>
      <c r="D194" s="247"/>
      <c r="E194" s="250"/>
      <c r="F194" s="554"/>
      <c r="G194" s="554"/>
      <c r="H194" s="250"/>
      <c r="I194" s="554"/>
      <c r="J194" s="554"/>
      <c r="K194" s="250"/>
      <c r="L194" s="250"/>
      <c r="M194" s="250"/>
      <c r="N194" s="250"/>
      <c r="O194" s="250"/>
      <c r="P194" s="250"/>
      <c r="Q194" s="250"/>
      <c r="R194" s="250"/>
      <c r="S194" s="250"/>
      <c r="T194" s="554"/>
      <c r="U194" s="554"/>
      <c r="V194" s="250"/>
      <c r="W194" s="250"/>
      <c r="X194" s="554"/>
      <c r="Y194" s="554"/>
      <c r="Z194" s="250"/>
      <c r="AA194" s="250"/>
      <c r="AB194" s="554"/>
      <c r="AC194" s="554"/>
      <c r="AD194" s="242"/>
    </row>
    <row r="195" spans="1:30">
      <c r="A195" s="242"/>
      <c r="B195" s="558">
        <v>39689</v>
      </c>
      <c r="C195" s="558"/>
      <c r="D195" s="247"/>
      <c r="E195" s="256">
        <v>0</v>
      </c>
      <c r="F195" s="557">
        <v>0</v>
      </c>
      <c r="G195" s="557"/>
      <c r="H195" s="256">
        <v>200.5</v>
      </c>
      <c r="I195" s="557">
        <v>24</v>
      </c>
      <c r="J195" s="557"/>
      <c r="K195" s="256">
        <v>0</v>
      </c>
      <c r="L195" s="257">
        <v>0</v>
      </c>
      <c r="M195" s="256">
        <v>289</v>
      </c>
      <c r="N195" s="257">
        <v>24</v>
      </c>
      <c r="O195" s="258">
        <v>489.5</v>
      </c>
      <c r="P195" s="250"/>
      <c r="Q195" s="256">
        <v>172</v>
      </c>
      <c r="R195" s="257">
        <v>24</v>
      </c>
      <c r="S195" s="256">
        <v>0</v>
      </c>
      <c r="T195" s="557">
        <v>0</v>
      </c>
      <c r="U195" s="557"/>
      <c r="V195" s="256">
        <v>172</v>
      </c>
      <c r="W195" s="250"/>
      <c r="X195" s="556">
        <v>661.5</v>
      </c>
      <c r="Y195" s="556"/>
      <c r="Z195" s="250"/>
      <c r="AA195" s="267">
        <v>7015000</v>
      </c>
      <c r="AB195" s="565">
        <v>0</v>
      </c>
      <c r="AC195" s="565"/>
      <c r="AD195" s="242"/>
    </row>
    <row r="196" spans="1:30">
      <c r="A196" s="242"/>
      <c r="B196" s="559"/>
      <c r="C196" s="559"/>
      <c r="D196" s="247"/>
      <c r="E196" s="250"/>
      <c r="F196" s="554"/>
      <c r="G196" s="554"/>
      <c r="H196" s="250"/>
      <c r="I196" s="554"/>
      <c r="J196" s="554"/>
      <c r="K196" s="250"/>
      <c r="L196" s="250"/>
      <c r="M196" s="250"/>
      <c r="N196" s="250"/>
      <c r="O196" s="250"/>
      <c r="P196" s="250"/>
      <c r="Q196" s="250"/>
      <c r="R196" s="250"/>
      <c r="S196" s="250"/>
      <c r="T196" s="554"/>
      <c r="U196" s="554"/>
      <c r="V196" s="250"/>
      <c r="W196" s="250"/>
      <c r="X196" s="554"/>
      <c r="Y196" s="554"/>
      <c r="Z196" s="250"/>
      <c r="AA196" s="250"/>
      <c r="AB196" s="554"/>
      <c r="AC196" s="554"/>
      <c r="AD196" s="242"/>
    </row>
    <row r="197" spans="1:30">
      <c r="A197" s="242"/>
      <c r="B197" s="563">
        <v>39690</v>
      </c>
      <c r="C197" s="563"/>
      <c r="D197" s="247"/>
      <c r="E197" s="252">
        <v>0</v>
      </c>
      <c r="F197" s="564">
        <v>0</v>
      </c>
      <c r="G197" s="564"/>
      <c r="H197" s="252">
        <v>173</v>
      </c>
      <c r="I197" s="564">
        <v>24</v>
      </c>
      <c r="J197" s="564"/>
      <c r="K197" s="252">
        <v>0</v>
      </c>
      <c r="L197" s="253">
        <v>0</v>
      </c>
      <c r="M197" s="252">
        <v>334</v>
      </c>
      <c r="N197" s="253">
        <v>24</v>
      </c>
      <c r="O197" s="254">
        <v>507</v>
      </c>
      <c r="P197" s="250"/>
      <c r="Q197" s="252">
        <v>178</v>
      </c>
      <c r="R197" s="253">
        <v>24</v>
      </c>
      <c r="S197" s="252">
        <v>0</v>
      </c>
      <c r="T197" s="564">
        <v>0</v>
      </c>
      <c r="U197" s="564"/>
      <c r="V197" s="252">
        <v>178</v>
      </c>
      <c r="W197" s="250"/>
      <c r="X197" s="561">
        <v>685</v>
      </c>
      <c r="Y197" s="561"/>
      <c r="Z197" s="250"/>
      <c r="AA197" s="266">
        <v>7210500</v>
      </c>
      <c r="AB197" s="566">
        <v>0</v>
      </c>
      <c r="AC197" s="566"/>
      <c r="AD197" s="242"/>
    </row>
    <row r="198" spans="1:30">
      <c r="A198" s="242"/>
      <c r="B198" s="559"/>
      <c r="C198" s="559"/>
      <c r="D198" s="247"/>
      <c r="E198" s="250"/>
      <c r="F198" s="554"/>
      <c r="G198" s="554"/>
      <c r="H198" s="250"/>
      <c r="I198" s="554"/>
      <c r="J198" s="554"/>
      <c r="K198" s="250"/>
      <c r="L198" s="250"/>
      <c r="M198" s="250"/>
      <c r="N198" s="250"/>
      <c r="O198" s="250"/>
      <c r="P198" s="250"/>
      <c r="Q198" s="250"/>
      <c r="R198" s="250"/>
      <c r="S198" s="250"/>
      <c r="T198" s="554"/>
      <c r="U198" s="554"/>
      <c r="V198" s="250"/>
      <c r="W198" s="250"/>
      <c r="X198" s="554"/>
      <c r="Y198" s="554"/>
      <c r="Z198" s="250"/>
      <c r="AA198" s="250"/>
      <c r="AB198" s="554"/>
      <c r="AC198" s="554"/>
      <c r="AD198" s="242"/>
    </row>
    <row r="199" spans="1:30">
      <c r="A199" s="242"/>
      <c r="B199" s="558">
        <v>39691</v>
      </c>
      <c r="C199" s="558"/>
      <c r="D199" s="247"/>
      <c r="E199" s="256">
        <v>0</v>
      </c>
      <c r="F199" s="557">
        <v>0</v>
      </c>
      <c r="G199" s="557"/>
      <c r="H199" s="256">
        <v>167.8</v>
      </c>
      <c r="I199" s="557">
        <v>24</v>
      </c>
      <c r="J199" s="557"/>
      <c r="K199" s="256">
        <v>0</v>
      </c>
      <c r="L199" s="257">
        <v>0</v>
      </c>
      <c r="M199" s="256">
        <v>347</v>
      </c>
      <c r="N199" s="257">
        <v>24</v>
      </c>
      <c r="O199" s="258">
        <v>514.79999999999995</v>
      </c>
      <c r="P199" s="250"/>
      <c r="Q199" s="256">
        <v>195</v>
      </c>
      <c r="R199" s="257">
        <v>24</v>
      </c>
      <c r="S199" s="256">
        <v>0</v>
      </c>
      <c r="T199" s="557">
        <v>0</v>
      </c>
      <c r="U199" s="557"/>
      <c r="V199" s="256">
        <v>195</v>
      </c>
      <c r="W199" s="250"/>
      <c r="X199" s="556">
        <v>709.8</v>
      </c>
      <c r="Y199" s="556"/>
      <c r="Z199" s="250"/>
      <c r="AA199" s="267">
        <v>7184000</v>
      </c>
      <c r="AB199" s="565">
        <v>0</v>
      </c>
      <c r="AC199" s="565"/>
      <c r="AD199" s="242"/>
    </row>
    <row r="200" spans="1:30">
      <c r="A200" s="242"/>
      <c r="B200" s="559"/>
      <c r="C200" s="559"/>
      <c r="D200" s="247"/>
      <c r="E200" s="250"/>
      <c r="F200" s="554"/>
      <c r="G200" s="554"/>
      <c r="H200" s="250"/>
      <c r="I200" s="554"/>
      <c r="J200" s="554"/>
      <c r="K200" s="250"/>
      <c r="L200" s="250"/>
      <c r="M200" s="250"/>
      <c r="N200" s="250"/>
      <c r="O200" s="250"/>
      <c r="P200" s="250"/>
      <c r="Q200" s="250"/>
      <c r="R200" s="250"/>
      <c r="S200" s="250"/>
      <c r="T200" s="554"/>
      <c r="U200" s="554"/>
      <c r="V200" s="250"/>
      <c r="W200" s="250"/>
      <c r="X200" s="554"/>
      <c r="Y200" s="554"/>
      <c r="Z200" s="250"/>
      <c r="AA200" s="250"/>
      <c r="AB200" s="554"/>
      <c r="AC200" s="554"/>
      <c r="AD200" s="242"/>
    </row>
    <row r="201" spans="1:30">
      <c r="A201" s="242"/>
      <c r="B201" s="563">
        <v>39692</v>
      </c>
      <c r="C201" s="563"/>
      <c r="D201" s="247"/>
      <c r="E201" s="252">
        <v>0</v>
      </c>
      <c r="F201" s="564">
        <v>0</v>
      </c>
      <c r="G201" s="564"/>
      <c r="H201" s="252">
        <v>153.1</v>
      </c>
      <c r="I201" s="564">
        <v>24</v>
      </c>
      <c r="J201" s="564"/>
      <c r="K201" s="252">
        <v>0</v>
      </c>
      <c r="L201" s="253">
        <v>0</v>
      </c>
      <c r="M201" s="252">
        <v>287</v>
      </c>
      <c r="N201" s="253">
        <v>24</v>
      </c>
      <c r="O201" s="254">
        <v>440.1</v>
      </c>
      <c r="P201" s="250"/>
      <c r="Q201" s="252">
        <v>194</v>
      </c>
      <c r="R201" s="253">
        <v>24</v>
      </c>
      <c r="S201" s="252">
        <v>0</v>
      </c>
      <c r="T201" s="564">
        <v>0</v>
      </c>
      <c r="U201" s="564"/>
      <c r="V201" s="252">
        <v>194</v>
      </c>
      <c r="W201" s="250"/>
      <c r="X201" s="561">
        <v>634.1</v>
      </c>
      <c r="Y201" s="561"/>
      <c r="Z201" s="250"/>
      <c r="AA201" s="266">
        <v>6807900</v>
      </c>
      <c r="AB201" s="566">
        <v>0</v>
      </c>
      <c r="AC201" s="566"/>
      <c r="AD201" s="242"/>
    </row>
    <row r="202" spans="1:30">
      <c r="A202" s="242"/>
      <c r="B202" s="559"/>
      <c r="C202" s="559"/>
      <c r="D202" s="247"/>
      <c r="E202" s="250"/>
      <c r="F202" s="554"/>
      <c r="G202" s="554"/>
      <c r="H202" s="250"/>
      <c r="I202" s="554"/>
      <c r="J202" s="554"/>
      <c r="K202" s="250"/>
      <c r="L202" s="250"/>
      <c r="M202" s="250"/>
      <c r="N202" s="250"/>
      <c r="O202" s="250"/>
      <c r="P202" s="250"/>
      <c r="Q202" s="250"/>
      <c r="R202" s="250"/>
      <c r="S202" s="250"/>
      <c r="T202" s="554"/>
      <c r="U202" s="554"/>
      <c r="V202" s="250"/>
      <c r="W202" s="250"/>
      <c r="X202" s="554"/>
      <c r="Y202" s="554"/>
      <c r="Z202" s="250"/>
      <c r="AA202" s="250"/>
      <c r="AB202" s="554"/>
      <c r="AC202" s="554"/>
      <c r="AD202" s="242"/>
    </row>
    <row r="203" spans="1:30">
      <c r="A203" s="242"/>
      <c r="B203" s="558">
        <v>39693</v>
      </c>
      <c r="C203" s="558"/>
      <c r="D203" s="247"/>
      <c r="E203" s="256">
        <v>52.3</v>
      </c>
      <c r="F203" s="557">
        <v>10</v>
      </c>
      <c r="G203" s="557"/>
      <c r="H203" s="256">
        <v>161.1</v>
      </c>
      <c r="I203" s="557">
        <v>24</v>
      </c>
      <c r="J203" s="557"/>
      <c r="K203" s="256"/>
      <c r="L203" s="257"/>
      <c r="M203" s="256">
        <v>278</v>
      </c>
      <c r="N203" s="257">
        <v>24</v>
      </c>
      <c r="O203" s="258">
        <v>491.4</v>
      </c>
      <c r="P203" s="250"/>
      <c r="Q203" s="256">
        <v>184</v>
      </c>
      <c r="R203" s="257">
        <v>24</v>
      </c>
      <c r="S203" s="256"/>
      <c r="T203" s="557"/>
      <c r="U203" s="557"/>
      <c r="V203" s="256">
        <v>184</v>
      </c>
      <c r="W203" s="250"/>
      <c r="X203" s="556">
        <v>675.4</v>
      </c>
      <c r="Y203" s="556"/>
      <c r="Z203" s="250"/>
      <c r="AA203" s="267">
        <v>7962900</v>
      </c>
      <c r="AB203" s="565">
        <v>252</v>
      </c>
      <c r="AC203" s="565"/>
      <c r="AD203" s="242"/>
    </row>
    <row r="204" spans="1:30">
      <c r="A204" s="242"/>
      <c r="B204" s="559"/>
      <c r="C204" s="559"/>
      <c r="D204" s="247"/>
      <c r="E204" s="250"/>
      <c r="F204" s="554"/>
      <c r="G204" s="554"/>
      <c r="H204" s="250"/>
      <c r="I204" s="554"/>
      <c r="J204" s="554"/>
      <c r="K204" s="250"/>
      <c r="L204" s="250"/>
      <c r="M204" s="250"/>
      <c r="N204" s="250"/>
      <c r="O204" s="250"/>
      <c r="P204" s="250"/>
      <c r="Q204" s="250"/>
      <c r="R204" s="250"/>
      <c r="S204" s="250"/>
      <c r="T204" s="554"/>
      <c r="U204" s="554"/>
      <c r="V204" s="250"/>
      <c r="W204" s="250"/>
      <c r="X204" s="554"/>
      <c r="Y204" s="554"/>
      <c r="Z204" s="250"/>
      <c r="AA204" s="250"/>
      <c r="AB204" s="554"/>
      <c r="AC204" s="554"/>
      <c r="AD204" s="242"/>
    </row>
    <row r="205" spans="1:30">
      <c r="A205" s="242"/>
      <c r="B205" s="563">
        <v>39694</v>
      </c>
      <c r="C205" s="563"/>
      <c r="D205" s="247"/>
      <c r="E205" s="252">
        <v>189.5</v>
      </c>
      <c r="F205" s="564">
        <v>24</v>
      </c>
      <c r="G205" s="564"/>
      <c r="H205" s="252">
        <v>248.1</v>
      </c>
      <c r="I205" s="564">
        <v>24</v>
      </c>
      <c r="J205" s="564"/>
      <c r="K205" s="252"/>
      <c r="L205" s="253"/>
      <c r="M205" s="252"/>
      <c r="N205" s="253">
        <v>9</v>
      </c>
      <c r="O205" s="254">
        <v>437.6</v>
      </c>
      <c r="P205" s="250"/>
      <c r="Q205" s="252">
        <v>174</v>
      </c>
      <c r="R205" s="253">
        <v>24</v>
      </c>
      <c r="S205" s="252"/>
      <c r="T205" s="564"/>
      <c r="U205" s="564"/>
      <c r="V205" s="252">
        <v>174</v>
      </c>
      <c r="W205" s="250"/>
      <c r="X205" s="561">
        <v>611.6</v>
      </c>
      <c r="Y205" s="561"/>
      <c r="Z205" s="250"/>
      <c r="AA205" s="266">
        <v>7793900</v>
      </c>
      <c r="AB205" s="566"/>
      <c r="AC205" s="566"/>
      <c r="AD205" s="242"/>
    </row>
    <row r="206" spans="1:30">
      <c r="A206" s="242"/>
      <c r="B206" s="559"/>
      <c r="C206" s="559"/>
      <c r="D206" s="247"/>
      <c r="E206" s="250"/>
      <c r="F206" s="554"/>
      <c r="G206" s="554"/>
      <c r="H206" s="250"/>
      <c r="I206" s="554"/>
      <c r="J206" s="554"/>
      <c r="K206" s="250"/>
      <c r="L206" s="250"/>
      <c r="M206" s="250"/>
      <c r="N206" s="250"/>
      <c r="O206" s="250"/>
      <c r="P206" s="250"/>
      <c r="Q206" s="250"/>
      <c r="R206" s="250"/>
      <c r="S206" s="250"/>
      <c r="T206" s="554"/>
      <c r="U206" s="554"/>
      <c r="V206" s="250"/>
      <c r="W206" s="250"/>
      <c r="X206" s="554"/>
      <c r="Y206" s="554"/>
      <c r="Z206" s="250"/>
      <c r="AA206" s="250"/>
      <c r="AB206" s="554"/>
      <c r="AC206" s="554"/>
      <c r="AD206" s="242"/>
    </row>
    <row r="207" spans="1:30">
      <c r="A207" s="242"/>
      <c r="B207" s="558">
        <v>39695</v>
      </c>
      <c r="C207" s="558"/>
      <c r="D207" s="247"/>
      <c r="E207" s="256">
        <v>117.1</v>
      </c>
      <c r="F207" s="557">
        <v>16</v>
      </c>
      <c r="G207" s="557"/>
      <c r="H207" s="256">
        <v>234.9</v>
      </c>
      <c r="I207" s="557">
        <v>23</v>
      </c>
      <c r="J207" s="557"/>
      <c r="K207" s="256">
        <v>0</v>
      </c>
      <c r="L207" s="257">
        <v>0</v>
      </c>
      <c r="M207" s="256">
        <v>0</v>
      </c>
      <c r="N207" s="257">
        <v>0</v>
      </c>
      <c r="O207" s="258">
        <v>352</v>
      </c>
      <c r="P207" s="250"/>
      <c r="Q207" s="256">
        <v>230</v>
      </c>
      <c r="R207" s="257">
        <v>24</v>
      </c>
      <c r="S207" s="256">
        <v>0</v>
      </c>
      <c r="T207" s="557">
        <v>0</v>
      </c>
      <c r="U207" s="557"/>
      <c r="V207" s="256">
        <v>230</v>
      </c>
      <c r="W207" s="250"/>
      <c r="X207" s="556">
        <v>582</v>
      </c>
      <c r="Y207" s="556"/>
      <c r="Z207" s="250"/>
      <c r="AA207" s="267">
        <v>5715100</v>
      </c>
      <c r="AB207" s="565">
        <v>373</v>
      </c>
      <c r="AC207" s="565"/>
      <c r="AD207" s="242"/>
    </row>
    <row r="208" spans="1:30">
      <c r="A208" s="242"/>
      <c r="B208" s="559"/>
      <c r="C208" s="559"/>
      <c r="D208" s="247"/>
      <c r="E208" s="250"/>
      <c r="F208" s="554"/>
      <c r="G208" s="554"/>
      <c r="H208" s="250"/>
      <c r="I208" s="554"/>
      <c r="J208" s="554"/>
      <c r="K208" s="250"/>
      <c r="L208" s="250"/>
      <c r="M208" s="250"/>
      <c r="N208" s="250"/>
      <c r="O208" s="250"/>
      <c r="P208" s="250"/>
      <c r="Q208" s="250"/>
      <c r="R208" s="250"/>
      <c r="S208" s="250"/>
      <c r="T208" s="554"/>
      <c r="U208" s="554"/>
      <c r="V208" s="250"/>
      <c r="W208" s="250"/>
      <c r="X208" s="554"/>
      <c r="Y208" s="554"/>
      <c r="Z208" s="250"/>
      <c r="AA208" s="250"/>
      <c r="AB208" s="554"/>
      <c r="AC208" s="554"/>
      <c r="AD208" s="242"/>
    </row>
    <row r="209" spans="1:30">
      <c r="A209" s="242"/>
      <c r="B209" s="563">
        <v>39696</v>
      </c>
      <c r="C209" s="563"/>
      <c r="D209" s="247"/>
      <c r="E209" s="252">
        <v>210.9</v>
      </c>
      <c r="F209" s="564">
        <v>24</v>
      </c>
      <c r="G209" s="564"/>
      <c r="H209" s="252">
        <v>275</v>
      </c>
      <c r="I209" s="564">
        <v>24</v>
      </c>
      <c r="J209" s="564"/>
      <c r="K209" s="252">
        <v>0</v>
      </c>
      <c r="L209" s="253">
        <v>0</v>
      </c>
      <c r="M209" s="252">
        <v>0</v>
      </c>
      <c r="N209" s="253">
        <v>0</v>
      </c>
      <c r="O209" s="254">
        <v>485.9</v>
      </c>
      <c r="P209" s="250"/>
      <c r="Q209" s="252">
        <v>184</v>
      </c>
      <c r="R209" s="253">
        <v>24</v>
      </c>
      <c r="S209" s="252">
        <v>0</v>
      </c>
      <c r="T209" s="564">
        <v>0</v>
      </c>
      <c r="U209" s="564"/>
      <c r="V209" s="252">
        <v>184</v>
      </c>
      <c r="W209" s="250"/>
      <c r="X209" s="561">
        <v>669.9</v>
      </c>
      <c r="Y209" s="561"/>
      <c r="Z209" s="250"/>
      <c r="AA209" s="266">
        <v>7502200</v>
      </c>
      <c r="AB209" s="566">
        <v>0</v>
      </c>
      <c r="AC209" s="566"/>
      <c r="AD209" s="242"/>
    </row>
    <row r="210" spans="1:30">
      <c r="A210" s="242"/>
      <c r="B210" s="559"/>
      <c r="C210" s="559"/>
      <c r="D210" s="247"/>
      <c r="E210" s="250"/>
      <c r="F210" s="554"/>
      <c r="G210" s="554"/>
      <c r="H210" s="250"/>
      <c r="I210" s="554"/>
      <c r="J210" s="554"/>
      <c r="K210" s="250"/>
      <c r="L210" s="250"/>
      <c r="M210" s="250"/>
      <c r="N210" s="250"/>
      <c r="O210" s="250"/>
      <c r="P210" s="250"/>
      <c r="Q210" s="250"/>
      <c r="R210" s="250"/>
      <c r="S210" s="250"/>
      <c r="T210" s="554"/>
      <c r="U210" s="554"/>
      <c r="V210" s="250"/>
      <c r="W210" s="250"/>
      <c r="X210" s="554"/>
      <c r="Y210" s="554"/>
      <c r="Z210" s="250"/>
      <c r="AA210" s="250"/>
      <c r="AB210" s="554"/>
      <c r="AC210" s="554"/>
      <c r="AD210" s="242"/>
    </row>
    <row r="211" spans="1:30">
      <c r="A211" s="242"/>
      <c r="B211" s="558">
        <v>39697</v>
      </c>
      <c r="C211" s="558"/>
      <c r="D211" s="247"/>
      <c r="E211" s="256">
        <v>210.6</v>
      </c>
      <c r="F211" s="557">
        <v>24</v>
      </c>
      <c r="G211" s="557"/>
      <c r="H211" s="256">
        <v>294.2</v>
      </c>
      <c r="I211" s="557">
        <v>24</v>
      </c>
      <c r="J211" s="557"/>
      <c r="K211" s="256">
        <v>0</v>
      </c>
      <c r="L211" s="257">
        <v>0</v>
      </c>
      <c r="M211" s="256">
        <v>0</v>
      </c>
      <c r="N211" s="257">
        <v>0</v>
      </c>
      <c r="O211" s="258">
        <v>504.8</v>
      </c>
      <c r="P211" s="250"/>
      <c r="Q211" s="256">
        <v>192</v>
      </c>
      <c r="R211" s="257">
        <v>24</v>
      </c>
      <c r="S211" s="256">
        <v>0</v>
      </c>
      <c r="T211" s="557">
        <v>0</v>
      </c>
      <c r="U211" s="557"/>
      <c r="V211" s="256">
        <v>192</v>
      </c>
      <c r="W211" s="250"/>
      <c r="X211" s="556">
        <v>696.8</v>
      </c>
      <c r="Y211" s="556"/>
      <c r="Z211" s="250"/>
      <c r="AA211" s="267">
        <v>7524100</v>
      </c>
      <c r="AB211" s="565">
        <v>0</v>
      </c>
      <c r="AC211" s="565"/>
      <c r="AD211" s="242"/>
    </row>
    <row r="212" spans="1:30">
      <c r="A212" s="242"/>
      <c r="B212" s="559"/>
      <c r="C212" s="559"/>
      <c r="D212" s="247"/>
      <c r="E212" s="250"/>
      <c r="F212" s="554"/>
      <c r="G212" s="554"/>
      <c r="H212" s="250"/>
      <c r="I212" s="554"/>
      <c r="J212" s="554"/>
      <c r="K212" s="250"/>
      <c r="L212" s="250"/>
      <c r="M212" s="250"/>
      <c r="N212" s="250"/>
      <c r="O212" s="250"/>
      <c r="P212" s="250"/>
      <c r="Q212" s="250"/>
      <c r="R212" s="250"/>
      <c r="S212" s="250"/>
      <c r="T212" s="554"/>
      <c r="U212" s="554"/>
      <c r="V212" s="250"/>
      <c r="W212" s="250"/>
      <c r="X212" s="554"/>
      <c r="Y212" s="554"/>
      <c r="Z212" s="250"/>
      <c r="AA212" s="250"/>
      <c r="AB212" s="554"/>
      <c r="AC212" s="554"/>
      <c r="AD212" s="242"/>
    </row>
    <row r="213" spans="1:30">
      <c r="A213" s="242"/>
      <c r="B213" s="563">
        <v>39698</v>
      </c>
      <c r="C213" s="563"/>
      <c r="D213" s="247"/>
      <c r="E213" s="252">
        <v>98.8</v>
      </c>
      <c r="F213" s="564">
        <v>13</v>
      </c>
      <c r="G213" s="564"/>
      <c r="H213" s="252">
        <v>256.60000000000002</v>
      </c>
      <c r="I213" s="564">
        <v>24</v>
      </c>
      <c r="J213" s="564"/>
      <c r="K213" s="252">
        <v>0</v>
      </c>
      <c r="L213" s="253">
        <v>0</v>
      </c>
      <c r="M213" s="252">
        <v>98</v>
      </c>
      <c r="N213" s="253">
        <v>12</v>
      </c>
      <c r="O213" s="254">
        <v>453.4</v>
      </c>
      <c r="P213" s="250"/>
      <c r="Q213" s="252">
        <v>181</v>
      </c>
      <c r="R213" s="253">
        <v>24</v>
      </c>
      <c r="S213" s="252">
        <v>0</v>
      </c>
      <c r="T213" s="564">
        <v>0</v>
      </c>
      <c r="U213" s="564"/>
      <c r="V213" s="252">
        <v>181</v>
      </c>
      <c r="W213" s="250"/>
      <c r="X213" s="561">
        <v>634.4</v>
      </c>
      <c r="Y213" s="561"/>
      <c r="Z213" s="250"/>
      <c r="AA213" s="266">
        <v>7159900</v>
      </c>
      <c r="AB213" s="566">
        <v>0</v>
      </c>
      <c r="AC213" s="566"/>
      <c r="AD213" s="242"/>
    </row>
    <row r="214" spans="1:30">
      <c r="A214" s="242"/>
      <c r="B214" s="559"/>
      <c r="C214" s="559"/>
      <c r="D214" s="247"/>
      <c r="E214" s="250"/>
      <c r="F214" s="554"/>
      <c r="G214" s="554"/>
      <c r="H214" s="250"/>
      <c r="I214" s="554"/>
      <c r="J214" s="554"/>
      <c r="K214" s="250"/>
      <c r="L214" s="250"/>
      <c r="M214" s="250"/>
      <c r="N214" s="250"/>
      <c r="O214" s="250"/>
      <c r="P214" s="250"/>
      <c r="Q214" s="250"/>
      <c r="R214" s="250"/>
      <c r="S214" s="250"/>
      <c r="T214" s="554"/>
      <c r="U214" s="554"/>
      <c r="V214" s="250"/>
      <c r="W214" s="250"/>
      <c r="X214" s="554"/>
      <c r="Y214" s="554"/>
      <c r="Z214" s="250"/>
      <c r="AA214" s="250"/>
      <c r="AB214" s="554"/>
      <c r="AC214" s="554"/>
      <c r="AD214" s="242"/>
    </row>
    <row r="215" spans="1:30">
      <c r="A215" s="242"/>
      <c r="B215" s="558">
        <v>39699</v>
      </c>
      <c r="C215" s="558"/>
      <c r="D215" s="247"/>
      <c r="E215" s="256">
        <v>132.1</v>
      </c>
      <c r="F215" s="557">
        <v>18</v>
      </c>
      <c r="G215" s="557"/>
      <c r="H215" s="256">
        <v>261.2</v>
      </c>
      <c r="I215" s="557">
        <v>24</v>
      </c>
      <c r="J215" s="557"/>
      <c r="K215" s="256"/>
      <c r="L215" s="257"/>
      <c r="M215" s="256">
        <v>54</v>
      </c>
      <c r="N215" s="257">
        <v>7</v>
      </c>
      <c r="O215" s="258">
        <v>447.3</v>
      </c>
      <c r="P215" s="250"/>
      <c r="Q215" s="256">
        <v>202</v>
      </c>
      <c r="R215" s="257">
        <v>24</v>
      </c>
      <c r="S215" s="256"/>
      <c r="T215" s="557"/>
      <c r="U215" s="557"/>
      <c r="V215" s="256">
        <v>202</v>
      </c>
      <c r="W215" s="250"/>
      <c r="X215" s="556">
        <v>649.29999999999995</v>
      </c>
      <c r="Y215" s="556"/>
      <c r="Z215" s="250"/>
      <c r="AA215" s="267">
        <v>7126300</v>
      </c>
      <c r="AB215" s="565"/>
      <c r="AC215" s="565"/>
      <c r="AD215" s="242"/>
    </row>
    <row r="216" spans="1:30">
      <c r="A216" s="242"/>
      <c r="B216" s="559"/>
      <c r="C216" s="559"/>
      <c r="D216" s="247"/>
      <c r="E216" s="250"/>
      <c r="F216" s="554"/>
      <c r="G216" s="554"/>
      <c r="H216" s="250"/>
      <c r="I216" s="554"/>
      <c r="J216" s="554"/>
      <c r="K216" s="250"/>
      <c r="L216" s="250"/>
      <c r="M216" s="250"/>
      <c r="N216" s="250"/>
      <c r="O216" s="250"/>
      <c r="P216" s="250"/>
      <c r="Q216" s="250"/>
      <c r="R216" s="250"/>
      <c r="S216" s="250"/>
      <c r="T216" s="554"/>
      <c r="U216" s="554"/>
      <c r="V216" s="250"/>
      <c r="W216" s="250"/>
      <c r="X216" s="554"/>
      <c r="Y216" s="554"/>
      <c r="Z216" s="250"/>
      <c r="AA216" s="250"/>
      <c r="AB216" s="554"/>
      <c r="AC216" s="554"/>
      <c r="AD216" s="242"/>
    </row>
    <row r="217" spans="1:30">
      <c r="A217" s="242"/>
      <c r="B217" s="563">
        <v>39700</v>
      </c>
      <c r="C217" s="563"/>
      <c r="D217" s="247"/>
      <c r="E217" s="252">
        <v>195.4</v>
      </c>
      <c r="F217" s="564">
        <v>24</v>
      </c>
      <c r="G217" s="564"/>
      <c r="H217" s="252">
        <v>260.8</v>
      </c>
      <c r="I217" s="564">
        <v>24</v>
      </c>
      <c r="J217" s="564"/>
      <c r="K217" s="252"/>
      <c r="L217" s="253"/>
      <c r="M217" s="252">
        <v>65</v>
      </c>
      <c r="N217" s="253">
        <v>7</v>
      </c>
      <c r="O217" s="254">
        <v>521.20000000000005</v>
      </c>
      <c r="P217" s="250"/>
      <c r="Q217" s="252">
        <v>136</v>
      </c>
      <c r="R217" s="253">
        <v>18</v>
      </c>
      <c r="S217" s="252"/>
      <c r="T217" s="564"/>
      <c r="U217" s="564"/>
      <c r="V217" s="252">
        <v>136</v>
      </c>
      <c r="W217" s="250"/>
      <c r="X217" s="561">
        <v>657.2</v>
      </c>
      <c r="Y217" s="561"/>
      <c r="Z217" s="250"/>
      <c r="AA217" s="266">
        <v>8213400</v>
      </c>
      <c r="AB217" s="566"/>
      <c r="AC217" s="566"/>
      <c r="AD217" s="242"/>
    </row>
    <row r="218" spans="1:30">
      <c r="A218" s="242"/>
      <c r="B218" s="559"/>
      <c r="C218" s="559"/>
      <c r="D218" s="247"/>
      <c r="E218" s="250"/>
      <c r="F218" s="554"/>
      <c r="G218" s="554"/>
      <c r="H218" s="250"/>
      <c r="I218" s="554"/>
      <c r="J218" s="554"/>
      <c r="K218" s="250"/>
      <c r="L218" s="250"/>
      <c r="M218" s="250"/>
      <c r="N218" s="250"/>
      <c r="O218" s="250"/>
      <c r="P218" s="250"/>
      <c r="Q218" s="250"/>
      <c r="R218" s="250"/>
      <c r="S218" s="250"/>
      <c r="T218" s="554"/>
      <c r="U218" s="554"/>
      <c r="V218" s="250"/>
      <c r="W218" s="250"/>
      <c r="X218" s="554"/>
      <c r="Y218" s="554"/>
      <c r="Z218" s="250"/>
      <c r="AA218" s="250"/>
      <c r="AB218" s="554"/>
      <c r="AC218" s="554"/>
      <c r="AD218" s="242"/>
    </row>
    <row r="219" spans="1:30">
      <c r="A219" s="242"/>
      <c r="B219" s="558">
        <v>39701</v>
      </c>
      <c r="C219" s="558"/>
      <c r="D219" s="247"/>
      <c r="E219" s="256">
        <v>168.5</v>
      </c>
      <c r="F219" s="557">
        <v>24</v>
      </c>
      <c r="G219" s="557"/>
      <c r="H219" s="256">
        <v>229.6</v>
      </c>
      <c r="I219" s="557">
        <v>24</v>
      </c>
      <c r="J219" s="557"/>
      <c r="K219" s="256">
        <v>0</v>
      </c>
      <c r="L219" s="257">
        <v>0</v>
      </c>
      <c r="M219" s="256">
        <v>217</v>
      </c>
      <c r="N219" s="257">
        <v>22</v>
      </c>
      <c r="O219" s="258">
        <v>615.1</v>
      </c>
      <c r="P219" s="250"/>
      <c r="Q219" s="256">
        <v>18</v>
      </c>
      <c r="R219" s="257">
        <v>4</v>
      </c>
      <c r="S219" s="256">
        <v>0</v>
      </c>
      <c r="T219" s="557">
        <v>0</v>
      </c>
      <c r="U219" s="557"/>
      <c r="V219" s="256">
        <v>18</v>
      </c>
      <c r="W219" s="250"/>
      <c r="X219" s="556">
        <v>633.1</v>
      </c>
      <c r="Y219" s="556"/>
      <c r="Z219" s="250"/>
      <c r="AA219" s="267">
        <v>9858900</v>
      </c>
      <c r="AB219" s="565">
        <v>6174</v>
      </c>
      <c r="AC219" s="565"/>
      <c r="AD219" s="242"/>
    </row>
    <row r="220" spans="1:30">
      <c r="A220" s="242"/>
      <c r="B220" s="559"/>
      <c r="C220" s="559"/>
      <c r="D220" s="247"/>
      <c r="E220" s="250"/>
      <c r="F220" s="554"/>
      <c r="G220" s="554"/>
      <c r="H220" s="250"/>
      <c r="I220" s="554"/>
      <c r="J220" s="554"/>
      <c r="K220" s="250"/>
      <c r="L220" s="250"/>
      <c r="M220" s="250"/>
      <c r="N220" s="250"/>
      <c r="O220" s="250"/>
      <c r="P220" s="250"/>
      <c r="Q220" s="250"/>
      <c r="R220" s="250"/>
      <c r="S220" s="250"/>
      <c r="T220" s="554"/>
      <c r="U220" s="554"/>
      <c r="V220" s="250"/>
      <c r="W220" s="250"/>
      <c r="X220" s="554"/>
      <c r="Y220" s="554"/>
      <c r="Z220" s="250"/>
      <c r="AA220" s="250"/>
      <c r="AB220" s="554"/>
      <c r="AC220" s="554"/>
      <c r="AD220" s="242"/>
    </row>
    <row r="221" spans="1:30">
      <c r="A221" s="242"/>
      <c r="B221" s="563">
        <v>39702</v>
      </c>
      <c r="C221" s="563"/>
      <c r="D221" s="247"/>
      <c r="E221" s="252">
        <v>191.1</v>
      </c>
      <c r="F221" s="564">
        <v>24</v>
      </c>
      <c r="G221" s="564"/>
      <c r="H221" s="252">
        <v>223.6</v>
      </c>
      <c r="I221" s="564">
        <v>24</v>
      </c>
      <c r="J221" s="564"/>
      <c r="K221" s="252">
        <v>0</v>
      </c>
      <c r="L221" s="253">
        <v>0</v>
      </c>
      <c r="M221" s="252">
        <v>195</v>
      </c>
      <c r="N221" s="253">
        <v>22</v>
      </c>
      <c r="O221" s="254">
        <v>609.70000000000005</v>
      </c>
      <c r="P221" s="250"/>
      <c r="Q221" s="252">
        <v>18</v>
      </c>
      <c r="R221" s="253">
        <v>4</v>
      </c>
      <c r="S221" s="252">
        <v>0</v>
      </c>
      <c r="T221" s="564">
        <v>0</v>
      </c>
      <c r="U221" s="564"/>
      <c r="V221" s="252">
        <v>18</v>
      </c>
      <c r="W221" s="250"/>
      <c r="X221" s="561">
        <v>627.70000000000005</v>
      </c>
      <c r="Y221" s="561"/>
      <c r="Z221" s="250"/>
      <c r="AA221" s="266">
        <v>10026900</v>
      </c>
      <c r="AB221" s="566">
        <v>1678</v>
      </c>
      <c r="AC221" s="566"/>
      <c r="AD221" s="242"/>
    </row>
    <row r="222" spans="1:30">
      <c r="A222" s="242"/>
      <c r="B222" s="559"/>
      <c r="C222" s="559"/>
      <c r="D222" s="247"/>
      <c r="E222" s="250"/>
      <c r="F222" s="554"/>
      <c r="G222" s="554"/>
      <c r="H222" s="250"/>
      <c r="I222" s="554"/>
      <c r="J222" s="554"/>
      <c r="K222" s="250"/>
      <c r="L222" s="250"/>
      <c r="M222" s="250"/>
      <c r="N222" s="250"/>
      <c r="O222" s="250"/>
      <c r="P222" s="250"/>
      <c r="Q222" s="250"/>
      <c r="R222" s="250"/>
      <c r="S222" s="250"/>
      <c r="T222" s="554"/>
      <c r="U222" s="554"/>
      <c r="V222" s="250"/>
      <c r="W222" s="250"/>
      <c r="X222" s="554"/>
      <c r="Y222" s="554"/>
      <c r="Z222" s="250"/>
      <c r="AA222" s="250"/>
      <c r="AB222" s="554"/>
      <c r="AC222" s="554"/>
      <c r="AD222" s="242"/>
    </row>
    <row r="223" spans="1:30">
      <c r="A223" s="242"/>
      <c r="B223" s="558">
        <v>39703</v>
      </c>
      <c r="C223" s="558"/>
      <c r="D223" s="247"/>
      <c r="E223" s="256">
        <v>218.5</v>
      </c>
      <c r="F223" s="557">
        <v>24</v>
      </c>
      <c r="G223" s="557"/>
      <c r="H223" s="256">
        <v>246</v>
      </c>
      <c r="I223" s="557">
        <v>24</v>
      </c>
      <c r="J223" s="557"/>
      <c r="K223" s="256">
        <v>0</v>
      </c>
      <c r="L223" s="257">
        <v>0</v>
      </c>
      <c r="M223" s="256">
        <v>233</v>
      </c>
      <c r="N223" s="257">
        <v>24</v>
      </c>
      <c r="O223" s="258">
        <v>697.5</v>
      </c>
      <c r="P223" s="250"/>
      <c r="Q223" s="256">
        <v>0</v>
      </c>
      <c r="R223" s="257">
        <v>0</v>
      </c>
      <c r="S223" s="256">
        <v>0</v>
      </c>
      <c r="T223" s="557">
        <v>0</v>
      </c>
      <c r="U223" s="557"/>
      <c r="V223" s="256">
        <v>0</v>
      </c>
      <c r="W223" s="250"/>
      <c r="X223" s="556">
        <v>697.5</v>
      </c>
      <c r="Y223" s="556"/>
      <c r="Z223" s="250"/>
      <c r="AA223" s="267">
        <v>10860300</v>
      </c>
      <c r="AB223" s="565">
        <v>0</v>
      </c>
      <c r="AC223" s="565"/>
      <c r="AD223" s="242"/>
    </row>
    <row r="224" spans="1:30">
      <c r="A224" s="242"/>
      <c r="B224" s="559"/>
      <c r="C224" s="559"/>
      <c r="D224" s="247"/>
      <c r="E224" s="250"/>
      <c r="F224" s="554"/>
      <c r="G224" s="554"/>
      <c r="H224" s="250"/>
      <c r="I224" s="554"/>
      <c r="J224" s="554"/>
      <c r="K224" s="250"/>
      <c r="L224" s="250"/>
      <c r="M224" s="250"/>
      <c r="N224" s="250"/>
      <c r="O224" s="250"/>
      <c r="P224" s="250"/>
      <c r="Q224" s="250"/>
      <c r="R224" s="250"/>
      <c r="S224" s="250"/>
      <c r="T224" s="554"/>
      <c r="U224" s="554"/>
      <c r="V224" s="250"/>
      <c r="W224" s="250"/>
      <c r="X224" s="554"/>
      <c r="Y224" s="554"/>
      <c r="Z224" s="250"/>
      <c r="AA224" s="250"/>
      <c r="AB224" s="554"/>
      <c r="AC224" s="554"/>
      <c r="AD224" s="242"/>
    </row>
    <row r="225" spans="1:30">
      <c r="A225" s="242"/>
      <c r="B225" s="563">
        <v>39704</v>
      </c>
      <c r="C225" s="563"/>
      <c r="D225" s="247"/>
      <c r="E225" s="252">
        <v>245</v>
      </c>
      <c r="F225" s="564">
        <v>24</v>
      </c>
      <c r="G225" s="564"/>
      <c r="H225" s="252">
        <v>242</v>
      </c>
      <c r="I225" s="564">
        <v>24</v>
      </c>
      <c r="J225" s="564"/>
      <c r="K225" s="252">
        <v>0</v>
      </c>
      <c r="L225" s="253">
        <v>0</v>
      </c>
      <c r="M225" s="252">
        <v>234</v>
      </c>
      <c r="N225" s="253">
        <v>24</v>
      </c>
      <c r="O225" s="254">
        <v>721</v>
      </c>
      <c r="P225" s="250"/>
      <c r="Q225" s="252">
        <v>0</v>
      </c>
      <c r="R225" s="253">
        <v>0</v>
      </c>
      <c r="S225" s="252">
        <v>0</v>
      </c>
      <c r="T225" s="564">
        <v>0</v>
      </c>
      <c r="U225" s="564"/>
      <c r="V225" s="252">
        <v>0</v>
      </c>
      <c r="W225" s="250"/>
      <c r="X225" s="561">
        <v>721</v>
      </c>
      <c r="Y225" s="561"/>
      <c r="Z225" s="250"/>
      <c r="AA225" s="266">
        <v>11269100</v>
      </c>
      <c r="AB225" s="566">
        <v>0</v>
      </c>
      <c r="AC225" s="566"/>
      <c r="AD225" s="242"/>
    </row>
    <row r="226" spans="1:30">
      <c r="A226" s="242"/>
      <c r="B226" s="559"/>
      <c r="C226" s="559"/>
      <c r="D226" s="247"/>
      <c r="E226" s="250"/>
      <c r="F226" s="554"/>
      <c r="G226" s="554"/>
      <c r="H226" s="250"/>
      <c r="I226" s="554"/>
      <c r="J226" s="554"/>
      <c r="K226" s="250"/>
      <c r="L226" s="250"/>
      <c r="M226" s="250"/>
      <c r="N226" s="250"/>
      <c r="O226" s="250"/>
      <c r="P226" s="250"/>
      <c r="Q226" s="250"/>
      <c r="R226" s="250"/>
      <c r="S226" s="250"/>
      <c r="T226" s="554"/>
      <c r="U226" s="554"/>
      <c r="V226" s="250"/>
      <c r="W226" s="250"/>
      <c r="X226" s="554"/>
      <c r="Y226" s="554"/>
      <c r="Z226" s="250"/>
      <c r="AA226" s="250"/>
      <c r="AB226" s="554"/>
      <c r="AC226" s="554"/>
      <c r="AD226" s="242"/>
    </row>
    <row r="227" spans="1:30">
      <c r="A227" s="242"/>
      <c r="B227" s="558">
        <v>39705</v>
      </c>
      <c r="C227" s="558"/>
      <c r="D227" s="247"/>
      <c r="E227" s="256">
        <v>223.2</v>
      </c>
      <c r="F227" s="557">
        <v>24</v>
      </c>
      <c r="G227" s="557"/>
      <c r="H227" s="256">
        <v>197.2</v>
      </c>
      <c r="I227" s="557">
        <v>24</v>
      </c>
      <c r="J227" s="557"/>
      <c r="K227" s="256">
        <v>0</v>
      </c>
      <c r="L227" s="257">
        <v>0</v>
      </c>
      <c r="M227" s="256">
        <v>239</v>
      </c>
      <c r="N227" s="257">
        <v>24</v>
      </c>
      <c r="O227" s="258">
        <v>659.4</v>
      </c>
      <c r="P227" s="250"/>
      <c r="Q227" s="256">
        <v>0</v>
      </c>
      <c r="R227" s="257">
        <v>0</v>
      </c>
      <c r="S227" s="256">
        <v>0</v>
      </c>
      <c r="T227" s="557">
        <v>0</v>
      </c>
      <c r="U227" s="557"/>
      <c r="V227" s="256">
        <v>0</v>
      </c>
      <c r="W227" s="250"/>
      <c r="X227" s="556">
        <v>659.4</v>
      </c>
      <c r="Y227" s="556"/>
      <c r="Z227" s="250"/>
      <c r="AA227" s="267">
        <v>10840600</v>
      </c>
      <c r="AB227" s="565">
        <v>0</v>
      </c>
      <c r="AC227" s="565"/>
      <c r="AD227" s="242"/>
    </row>
    <row r="228" spans="1:30">
      <c r="A228" s="242"/>
      <c r="B228" s="559"/>
      <c r="C228" s="559"/>
      <c r="D228" s="247"/>
      <c r="E228" s="250"/>
      <c r="F228" s="554"/>
      <c r="G228" s="554"/>
      <c r="H228" s="250"/>
      <c r="I228" s="554"/>
      <c r="J228" s="554"/>
      <c r="K228" s="250"/>
      <c r="L228" s="250"/>
      <c r="M228" s="250"/>
      <c r="N228" s="250"/>
      <c r="O228" s="250"/>
      <c r="P228" s="250"/>
      <c r="Q228" s="250"/>
      <c r="R228" s="250"/>
      <c r="S228" s="250"/>
      <c r="T228" s="554"/>
      <c r="U228" s="554"/>
      <c r="V228" s="250"/>
      <c r="W228" s="250"/>
      <c r="X228" s="554"/>
      <c r="Y228" s="554"/>
      <c r="Z228" s="250"/>
      <c r="AA228" s="250"/>
      <c r="AB228" s="554"/>
      <c r="AC228" s="554"/>
      <c r="AD228" s="242"/>
    </row>
    <row r="229" spans="1:30">
      <c r="A229" s="242"/>
      <c r="B229" s="563">
        <v>39706</v>
      </c>
      <c r="C229" s="563"/>
      <c r="D229" s="247"/>
      <c r="E229" s="252">
        <v>207.3</v>
      </c>
      <c r="F229" s="564">
        <v>24</v>
      </c>
      <c r="G229" s="564"/>
      <c r="H229" s="252">
        <v>210.3</v>
      </c>
      <c r="I229" s="564">
        <v>24</v>
      </c>
      <c r="J229" s="564"/>
      <c r="K229" s="252">
        <v>0</v>
      </c>
      <c r="L229" s="253">
        <v>0</v>
      </c>
      <c r="M229" s="252">
        <v>199</v>
      </c>
      <c r="N229" s="253">
        <v>22</v>
      </c>
      <c r="O229" s="254">
        <v>616.6</v>
      </c>
      <c r="P229" s="250"/>
      <c r="Q229" s="252">
        <v>55</v>
      </c>
      <c r="R229" s="253">
        <v>7</v>
      </c>
      <c r="S229" s="252">
        <v>0</v>
      </c>
      <c r="T229" s="564">
        <v>0</v>
      </c>
      <c r="U229" s="564"/>
      <c r="V229" s="252">
        <v>55</v>
      </c>
      <c r="W229" s="250"/>
      <c r="X229" s="561">
        <v>671.6</v>
      </c>
      <c r="Y229" s="561"/>
      <c r="Z229" s="250"/>
      <c r="AA229" s="266">
        <v>10164900</v>
      </c>
      <c r="AB229" s="566">
        <v>0</v>
      </c>
      <c r="AC229" s="566"/>
      <c r="AD229" s="242"/>
    </row>
    <row r="230" spans="1:30">
      <c r="A230" s="242"/>
      <c r="B230" s="559"/>
      <c r="C230" s="559"/>
      <c r="D230" s="247"/>
      <c r="E230" s="250"/>
      <c r="F230" s="554"/>
      <c r="G230" s="554"/>
      <c r="H230" s="250"/>
      <c r="I230" s="554"/>
      <c r="J230" s="554"/>
      <c r="K230" s="250"/>
      <c r="L230" s="250"/>
      <c r="M230" s="250"/>
      <c r="N230" s="250"/>
      <c r="O230" s="250"/>
      <c r="P230" s="250"/>
      <c r="Q230" s="250"/>
      <c r="R230" s="250"/>
      <c r="S230" s="250"/>
      <c r="T230" s="554"/>
      <c r="U230" s="554"/>
      <c r="V230" s="250"/>
      <c r="W230" s="250"/>
      <c r="X230" s="554"/>
      <c r="Y230" s="554"/>
      <c r="Z230" s="250"/>
      <c r="AA230" s="250"/>
      <c r="AB230" s="554"/>
      <c r="AC230" s="554"/>
      <c r="AD230" s="242"/>
    </row>
    <row r="231" spans="1:30">
      <c r="A231" s="242"/>
      <c r="B231" s="558">
        <v>39707</v>
      </c>
      <c r="C231" s="558"/>
      <c r="D231" s="247"/>
      <c r="E231" s="256">
        <v>189.7</v>
      </c>
      <c r="F231" s="557">
        <v>24</v>
      </c>
      <c r="G231" s="557"/>
      <c r="H231" s="256">
        <v>222.6</v>
      </c>
      <c r="I231" s="557">
        <v>24</v>
      </c>
      <c r="J231" s="557"/>
      <c r="K231" s="256">
        <v>0</v>
      </c>
      <c r="L231" s="257">
        <v>0</v>
      </c>
      <c r="M231" s="256">
        <v>278</v>
      </c>
      <c r="N231" s="257">
        <v>24</v>
      </c>
      <c r="O231" s="258">
        <v>690.3</v>
      </c>
      <c r="P231" s="250"/>
      <c r="Q231" s="256">
        <v>0</v>
      </c>
      <c r="R231" s="257">
        <v>0</v>
      </c>
      <c r="S231" s="256">
        <v>0</v>
      </c>
      <c r="T231" s="557">
        <v>0</v>
      </c>
      <c r="U231" s="557"/>
      <c r="V231" s="256">
        <v>0</v>
      </c>
      <c r="W231" s="250"/>
      <c r="X231" s="556">
        <v>690.3</v>
      </c>
      <c r="Y231" s="556"/>
      <c r="Z231" s="250"/>
      <c r="AA231" s="267">
        <v>10682100</v>
      </c>
      <c r="AB231" s="565">
        <v>0</v>
      </c>
      <c r="AC231" s="565"/>
      <c r="AD231" s="242"/>
    </row>
    <row r="232" spans="1:30">
      <c r="A232" s="242"/>
      <c r="B232" s="559"/>
      <c r="C232" s="559"/>
      <c r="D232" s="247"/>
      <c r="E232" s="250"/>
      <c r="F232" s="554"/>
      <c r="G232" s="554"/>
      <c r="H232" s="250"/>
      <c r="I232" s="554"/>
      <c r="J232" s="554"/>
      <c r="K232" s="250"/>
      <c r="L232" s="250"/>
      <c r="M232" s="250"/>
      <c r="N232" s="250"/>
      <c r="O232" s="250"/>
      <c r="P232" s="250"/>
      <c r="Q232" s="250"/>
      <c r="R232" s="250"/>
      <c r="S232" s="250"/>
      <c r="T232" s="554"/>
      <c r="U232" s="554"/>
      <c r="V232" s="250"/>
      <c r="W232" s="250"/>
      <c r="X232" s="554"/>
      <c r="Y232" s="554"/>
      <c r="Z232" s="250"/>
      <c r="AA232" s="250"/>
      <c r="AB232" s="554"/>
      <c r="AC232" s="554"/>
      <c r="AD232" s="242"/>
    </row>
    <row r="233" spans="1:30">
      <c r="A233" s="242"/>
      <c r="B233" s="563">
        <v>39708</v>
      </c>
      <c r="C233" s="563"/>
      <c r="D233" s="247"/>
      <c r="E233" s="252">
        <v>161.5</v>
      </c>
      <c r="F233" s="564">
        <v>24</v>
      </c>
      <c r="G233" s="564"/>
      <c r="H233" s="252">
        <v>193.2</v>
      </c>
      <c r="I233" s="564">
        <v>24</v>
      </c>
      <c r="J233" s="564"/>
      <c r="K233" s="252">
        <v>0</v>
      </c>
      <c r="L233" s="253">
        <v>0</v>
      </c>
      <c r="M233" s="252">
        <v>328</v>
      </c>
      <c r="N233" s="253">
        <v>24</v>
      </c>
      <c r="O233" s="254">
        <v>682.7</v>
      </c>
      <c r="P233" s="250"/>
      <c r="Q233" s="252">
        <v>0</v>
      </c>
      <c r="R233" s="253">
        <v>0</v>
      </c>
      <c r="S233" s="252">
        <v>0</v>
      </c>
      <c r="T233" s="564">
        <v>0</v>
      </c>
      <c r="U233" s="564"/>
      <c r="V233" s="252">
        <v>0</v>
      </c>
      <c r="W233" s="250"/>
      <c r="X233" s="561">
        <v>682.7</v>
      </c>
      <c r="Y233" s="561"/>
      <c r="Z233" s="250"/>
      <c r="AA233" s="266">
        <v>10680200</v>
      </c>
      <c r="AB233" s="566">
        <v>0</v>
      </c>
      <c r="AC233" s="566"/>
      <c r="AD233" s="242"/>
    </row>
    <row r="234" spans="1:30">
      <c r="A234" s="242"/>
      <c r="B234" s="559"/>
      <c r="C234" s="559"/>
      <c r="D234" s="247"/>
      <c r="E234" s="250"/>
      <c r="F234" s="554"/>
      <c r="G234" s="554"/>
      <c r="H234" s="250"/>
      <c r="I234" s="554"/>
      <c r="J234" s="554"/>
      <c r="K234" s="250"/>
      <c r="L234" s="250"/>
      <c r="M234" s="250"/>
      <c r="N234" s="250"/>
      <c r="O234" s="250"/>
      <c r="P234" s="250"/>
      <c r="Q234" s="250"/>
      <c r="R234" s="250"/>
      <c r="S234" s="250"/>
      <c r="T234" s="554"/>
      <c r="U234" s="554"/>
      <c r="V234" s="250"/>
      <c r="W234" s="250"/>
      <c r="X234" s="554"/>
      <c r="Y234" s="554"/>
      <c r="Z234" s="250"/>
      <c r="AA234" s="250"/>
      <c r="AB234" s="554"/>
      <c r="AC234" s="554"/>
      <c r="AD234" s="242"/>
    </row>
    <row r="235" spans="1:30">
      <c r="A235" s="242"/>
      <c r="B235" s="558">
        <v>39709</v>
      </c>
      <c r="C235" s="558"/>
      <c r="D235" s="247"/>
      <c r="E235" s="256">
        <v>90.1</v>
      </c>
      <c r="F235" s="557">
        <v>17</v>
      </c>
      <c r="G235" s="557"/>
      <c r="H235" s="256">
        <v>178.7</v>
      </c>
      <c r="I235" s="557">
        <v>24</v>
      </c>
      <c r="J235" s="557"/>
      <c r="K235" s="256">
        <v>0</v>
      </c>
      <c r="L235" s="257">
        <v>0</v>
      </c>
      <c r="M235" s="256">
        <v>344</v>
      </c>
      <c r="N235" s="257">
        <v>24</v>
      </c>
      <c r="O235" s="258">
        <v>612.79999999999995</v>
      </c>
      <c r="P235" s="250"/>
      <c r="Q235" s="256">
        <v>28</v>
      </c>
      <c r="R235" s="257">
        <v>6</v>
      </c>
      <c r="S235" s="256">
        <v>0</v>
      </c>
      <c r="T235" s="557">
        <v>0</v>
      </c>
      <c r="U235" s="557"/>
      <c r="V235" s="256">
        <v>28</v>
      </c>
      <c r="W235" s="250"/>
      <c r="X235" s="556">
        <v>640.79999999999995</v>
      </c>
      <c r="Y235" s="556"/>
      <c r="Z235" s="250"/>
      <c r="AA235" s="267">
        <v>8778100</v>
      </c>
      <c r="AB235" s="565">
        <v>36048</v>
      </c>
      <c r="AC235" s="565"/>
      <c r="AD235" s="242"/>
    </row>
    <row r="236" spans="1:30">
      <c r="A236" s="242"/>
      <c r="B236" s="559"/>
      <c r="C236" s="559"/>
      <c r="D236" s="247"/>
      <c r="E236" s="250"/>
      <c r="F236" s="554"/>
      <c r="G236" s="554"/>
      <c r="H236" s="250"/>
      <c r="I236" s="554"/>
      <c r="J236" s="554"/>
      <c r="K236" s="250"/>
      <c r="L236" s="250"/>
      <c r="M236" s="250"/>
      <c r="N236" s="250"/>
      <c r="O236" s="250"/>
      <c r="P236" s="250"/>
      <c r="Q236" s="250"/>
      <c r="R236" s="250"/>
      <c r="S236" s="250"/>
      <c r="T236" s="554"/>
      <c r="U236" s="554"/>
      <c r="V236" s="250"/>
      <c r="W236" s="250"/>
      <c r="X236" s="554"/>
      <c r="Y236" s="554"/>
      <c r="Z236" s="250"/>
      <c r="AA236" s="250"/>
      <c r="AB236" s="554"/>
      <c r="AC236" s="554"/>
      <c r="AD236" s="242"/>
    </row>
    <row r="237" spans="1:30">
      <c r="A237" s="242"/>
      <c r="B237" s="563">
        <v>39710</v>
      </c>
      <c r="C237" s="563"/>
      <c r="D237" s="247"/>
      <c r="E237" s="252">
        <v>127.7</v>
      </c>
      <c r="F237" s="564">
        <v>15</v>
      </c>
      <c r="G237" s="564"/>
      <c r="H237" s="252">
        <v>235.5</v>
      </c>
      <c r="I237" s="564">
        <v>24</v>
      </c>
      <c r="J237" s="564"/>
      <c r="K237" s="252">
        <v>0</v>
      </c>
      <c r="L237" s="253">
        <v>0</v>
      </c>
      <c r="M237" s="252">
        <v>295</v>
      </c>
      <c r="N237" s="253">
        <v>24</v>
      </c>
      <c r="O237" s="254">
        <v>658.2</v>
      </c>
      <c r="P237" s="250"/>
      <c r="Q237" s="252">
        <v>0</v>
      </c>
      <c r="R237" s="253">
        <v>0</v>
      </c>
      <c r="S237" s="252">
        <v>0</v>
      </c>
      <c r="T237" s="564">
        <v>0</v>
      </c>
      <c r="U237" s="564"/>
      <c r="V237" s="252">
        <v>0</v>
      </c>
      <c r="W237" s="250"/>
      <c r="X237" s="561">
        <v>658.2</v>
      </c>
      <c r="Y237" s="561"/>
      <c r="Z237" s="250"/>
      <c r="AA237" s="266">
        <v>7903300</v>
      </c>
      <c r="AB237" s="566">
        <v>114972</v>
      </c>
      <c r="AC237" s="566"/>
      <c r="AD237" s="242"/>
    </row>
    <row r="238" spans="1:30">
      <c r="A238" s="242"/>
      <c r="B238" s="559"/>
      <c r="C238" s="559"/>
      <c r="D238" s="247"/>
      <c r="E238" s="250"/>
      <c r="F238" s="554"/>
      <c r="G238" s="554"/>
      <c r="H238" s="250"/>
      <c r="I238" s="554"/>
      <c r="J238" s="554"/>
      <c r="K238" s="250"/>
      <c r="L238" s="250"/>
      <c r="M238" s="250"/>
      <c r="N238" s="250"/>
      <c r="O238" s="250"/>
      <c r="P238" s="250"/>
      <c r="Q238" s="250"/>
      <c r="R238" s="250"/>
      <c r="S238" s="250"/>
      <c r="T238" s="554"/>
      <c r="U238" s="554"/>
      <c r="V238" s="250"/>
      <c r="W238" s="250"/>
      <c r="X238" s="554"/>
      <c r="Y238" s="554"/>
      <c r="Z238" s="250"/>
      <c r="AA238" s="250"/>
      <c r="AB238" s="554"/>
      <c r="AC238" s="554"/>
      <c r="AD238" s="242"/>
    </row>
    <row r="239" spans="1:30">
      <c r="A239" s="242"/>
      <c r="B239" s="558">
        <v>39711</v>
      </c>
      <c r="C239" s="558"/>
      <c r="D239" s="247"/>
      <c r="E239" s="256">
        <v>177.2</v>
      </c>
      <c r="F239" s="557">
        <v>24</v>
      </c>
      <c r="G239" s="557"/>
      <c r="H239" s="256">
        <v>167.5</v>
      </c>
      <c r="I239" s="557">
        <v>24</v>
      </c>
      <c r="J239" s="557"/>
      <c r="K239" s="256">
        <v>0</v>
      </c>
      <c r="L239" s="257">
        <v>0</v>
      </c>
      <c r="M239" s="256">
        <v>373</v>
      </c>
      <c r="N239" s="257">
        <v>24</v>
      </c>
      <c r="O239" s="258">
        <v>717.7</v>
      </c>
      <c r="P239" s="250"/>
      <c r="Q239" s="256">
        <v>31</v>
      </c>
      <c r="R239" s="257">
        <v>2</v>
      </c>
      <c r="S239" s="256">
        <v>0</v>
      </c>
      <c r="T239" s="557">
        <v>0</v>
      </c>
      <c r="U239" s="557"/>
      <c r="V239" s="256">
        <v>31</v>
      </c>
      <c r="W239" s="250"/>
      <c r="X239" s="556">
        <v>748.7</v>
      </c>
      <c r="Y239" s="556"/>
      <c r="Z239" s="250"/>
      <c r="AA239" s="267">
        <v>10987900</v>
      </c>
      <c r="AB239" s="565">
        <v>0</v>
      </c>
      <c r="AC239" s="565"/>
      <c r="AD239" s="242"/>
    </row>
    <row r="240" spans="1:30">
      <c r="A240" s="242"/>
      <c r="B240" s="559"/>
      <c r="C240" s="559"/>
      <c r="D240" s="247"/>
      <c r="E240" s="250"/>
      <c r="F240" s="554"/>
      <c r="G240" s="554"/>
      <c r="H240" s="250"/>
      <c r="I240" s="554"/>
      <c r="J240" s="554"/>
      <c r="K240" s="250"/>
      <c r="L240" s="250"/>
      <c r="M240" s="250"/>
      <c r="N240" s="250"/>
      <c r="O240" s="250"/>
      <c r="P240" s="250"/>
      <c r="Q240" s="250"/>
      <c r="R240" s="250"/>
      <c r="S240" s="250"/>
      <c r="T240" s="554"/>
      <c r="U240" s="554"/>
      <c r="V240" s="250"/>
      <c r="W240" s="250"/>
      <c r="X240" s="554"/>
      <c r="Y240" s="554"/>
      <c r="Z240" s="250"/>
      <c r="AA240" s="250"/>
      <c r="AB240" s="554"/>
      <c r="AC240" s="554"/>
      <c r="AD240" s="242"/>
    </row>
    <row r="241" spans="1:30">
      <c r="A241" s="242"/>
      <c r="B241" s="563">
        <v>39712</v>
      </c>
      <c r="C241" s="563"/>
      <c r="D241" s="247"/>
      <c r="E241" s="252">
        <v>51.9</v>
      </c>
      <c r="F241" s="564">
        <v>13</v>
      </c>
      <c r="G241" s="564"/>
      <c r="H241" s="252">
        <v>244.8</v>
      </c>
      <c r="I241" s="564">
        <v>24</v>
      </c>
      <c r="J241" s="564"/>
      <c r="K241" s="252">
        <v>0</v>
      </c>
      <c r="L241" s="253">
        <v>0</v>
      </c>
      <c r="M241" s="252">
        <v>205</v>
      </c>
      <c r="N241" s="253">
        <v>15</v>
      </c>
      <c r="O241" s="254">
        <v>501.7</v>
      </c>
      <c r="P241" s="250"/>
      <c r="Q241" s="252">
        <v>135</v>
      </c>
      <c r="R241" s="253">
        <v>12</v>
      </c>
      <c r="S241" s="252">
        <v>0</v>
      </c>
      <c r="T241" s="564">
        <v>0</v>
      </c>
      <c r="U241" s="564"/>
      <c r="V241" s="252">
        <v>135</v>
      </c>
      <c r="W241" s="250"/>
      <c r="X241" s="561">
        <v>636.70000000000005</v>
      </c>
      <c r="Y241" s="561"/>
      <c r="Z241" s="250"/>
      <c r="AA241" s="266">
        <v>4062200</v>
      </c>
      <c r="AB241" s="566">
        <v>118057</v>
      </c>
      <c r="AC241" s="566"/>
      <c r="AD241" s="242"/>
    </row>
    <row r="242" spans="1:30">
      <c r="A242" s="242"/>
      <c r="B242" s="559"/>
      <c r="C242" s="559"/>
      <c r="D242" s="247"/>
      <c r="E242" s="250"/>
      <c r="F242" s="554"/>
      <c r="G242" s="554"/>
      <c r="H242" s="250"/>
      <c r="I242" s="554"/>
      <c r="J242" s="554"/>
      <c r="K242" s="250"/>
      <c r="L242" s="250"/>
      <c r="M242" s="250"/>
      <c r="N242" s="250"/>
      <c r="O242" s="250"/>
      <c r="P242" s="250"/>
      <c r="Q242" s="250"/>
      <c r="R242" s="250"/>
      <c r="S242" s="250"/>
      <c r="T242" s="554"/>
      <c r="U242" s="554"/>
      <c r="V242" s="250"/>
      <c r="W242" s="250"/>
      <c r="X242" s="554"/>
      <c r="Y242" s="554"/>
      <c r="Z242" s="250"/>
      <c r="AA242" s="250"/>
      <c r="AB242" s="554"/>
      <c r="AC242" s="554"/>
      <c r="AD242" s="242"/>
    </row>
    <row r="243" spans="1:30">
      <c r="A243" s="242"/>
      <c r="B243" s="558">
        <v>39713</v>
      </c>
      <c r="C243" s="558"/>
      <c r="D243" s="247"/>
      <c r="E243" s="256"/>
      <c r="F243" s="557">
        <v>12</v>
      </c>
      <c r="G243" s="557"/>
      <c r="H243" s="256">
        <v>262.7</v>
      </c>
      <c r="I243" s="557">
        <v>24</v>
      </c>
      <c r="J243" s="557"/>
      <c r="K243" s="256"/>
      <c r="L243" s="257"/>
      <c r="M243" s="256">
        <v>324</v>
      </c>
      <c r="N243" s="257">
        <v>24</v>
      </c>
      <c r="O243" s="258">
        <v>586.70000000000005</v>
      </c>
      <c r="P243" s="250"/>
      <c r="Q243" s="256"/>
      <c r="R243" s="257"/>
      <c r="S243" s="256"/>
      <c r="T243" s="557"/>
      <c r="U243" s="557"/>
      <c r="V243" s="256"/>
      <c r="W243" s="250"/>
      <c r="X243" s="556">
        <v>586.70000000000005</v>
      </c>
      <c r="Y243" s="556"/>
      <c r="Z243" s="250"/>
      <c r="AA243" s="267">
        <v>9022200</v>
      </c>
      <c r="AB243" s="565"/>
      <c r="AC243" s="565"/>
      <c r="AD243" s="242"/>
    </row>
    <row r="244" spans="1:30">
      <c r="A244" s="242"/>
      <c r="B244" s="559"/>
      <c r="C244" s="559"/>
      <c r="D244" s="247"/>
      <c r="E244" s="250"/>
      <c r="F244" s="554"/>
      <c r="G244" s="554"/>
      <c r="H244" s="250"/>
      <c r="I244" s="554"/>
      <c r="J244" s="554"/>
      <c r="K244" s="250"/>
      <c r="L244" s="250"/>
      <c r="M244" s="250"/>
      <c r="N244" s="250"/>
      <c r="O244" s="250"/>
      <c r="P244" s="250"/>
      <c r="Q244" s="250"/>
      <c r="R244" s="250"/>
      <c r="S244" s="250"/>
      <c r="T244" s="554"/>
      <c r="U244" s="554"/>
      <c r="V244" s="250"/>
      <c r="W244" s="250"/>
      <c r="X244" s="554"/>
      <c r="Y244" s="554"/>
      <c r="Z244" s="250"/>
      <c r="AA244" s="250"/>
      <c r="AB244" s="554"/>
      <c r="AC244" s="554"/>
      <c r="AD244" s="242"/>
    </row>
    <row r="245" spans="1:30">
      <c r="A245" s="242"/>
      <c r="B245" s="563">
        <v>39714</v>
      </c>
      <c r="C245" s="563"/>
      <c r="D245" s="247"/>
      <c r="E245" s="252"/>
      <c r="F245" s="564"/>
      <c r="G245" s="564"/>
      <c r="H245" s="252">
        <v>208.4</v>
      </c>
      <c r="I245" s="564">
        <v>24</v>
      </c>
      <c r="J245" s="564"/>
      <c r="K245" s="252"/>
      <c r="L245" s="253"/>
      <c r="M245" s="252">
        <v>310</v>
      </c>
      <c r="N245" s="253">
        <v>24</v>
      </c>
      <c r="O245" s="254">
        <v>518.4</v>
      </c>
      <c r="P245" s="250"/>
      <c r="Q245" s="252">
        <v>115</v>
      </c>
      <c r="R245" s="253">
        <v>17</v>
      </c>
      <c r="S245" s="252"/>
      <c r="T245" s="564"/>
      <c r="U245" s="564"/>
      <c r="V245" s="252">
        <v>115</v>
      </c>
      <c r="W245" s="250"/>
      <c r="X245" s="561">
        <v>633.4</v>
      </c>
      <c r="Y245" s="561"/>
      <c r="Z245" s="250"/>
      <c r="AA245" s="266">
        <v>7481700</v>
      </c>
      <c r="AB245" s="566"/>
      <c r="AC245" s="566"/>
      <c r="AD245" s="242"/>
    </row>
    <row r="246" spans="1:30">
      <c r="A246" s="242"/>
      <c r="B246" s="559"/>
      <c r="C246" s="559"/>
      <c r="D246" s="247"/>
      <c r="E246" s="250"/>
      <c r="F246" s="554"/>
      <c r="G246" s="554"/>
      <c r="H246" s="250"/>
      <c r="I246" s="554"/>
      <c r="J246" s="554"/>
      <c r="K246" s="250"/>
      <c r="L246" s="250"/>
      <c r="M246" s="250"/>
      <c r="N246" s="250"/>
      <c r="O246" s="250"/>
      <c r="P246" s="250"/>
      <c r="Q246" s="250"/>
      <c r="R246" s="250"/>
      <c r="S246" s="250"/>
      <c r="T246" s="554"/>
      <c r="U246" s="554"/>
      <c r="V246" s="250"/>
      <c r="W246" s="250"/>
      <c r="X246" s="554"/>
      <c r="Y246" s="554"/>
      <c r="Z246" s="250"/>
      <c r="AA246" s="250"/>
      <c r="AB246" s="554"/>
      <c r="AC246" s="554"/>
      <c r="AD246" s="242"/>
    </row>
    <row r="247" spans="1:30">
      <c r="A247" s="242"/>
      <c r="B247" s="558">
        <v>39715</v>
      </c>
      <c r="C247" s="558"/>
      <c r="D247" s="247"/>
      <c r="E247" s="256">
        <v>23.3</v>
      </c>
      <c r="F247" s="557">
        <v>4</v>
      </c>
      <c r="G247" s="557"/>
      <c r="H247" s="256">
        <v>173.7</v>
      </c>
      <c r="I247" s="557">
        <v>24</v>
      </c>
      <c r="J247" s="557"/>
      <c r="K247" s="256">
        <v>0</v>
      </c>
      <c r="L247" s="257">
        <v>0</v>
      </c>
      <c r="M247" s="256">
        <v>341</v>
      </c>
      <c r="N247" s="257">
        <v>24</v>
      </c>
      <c r="O247" s="258">
        <v>538</v>
      </c>
      <c r="P247" s="250"/>
      <c r="Q247" s="256">
        <v>137</v>
      </c>
      <c r="R247" s="257">
        <v>21</v>
      </c>
      <c r="S247" s="256">
        <v>0</v>
      </c>
      <c r="T247" s="557">
        <v>0</v>
      </c>
      <c r="U247" s="557"/>
      <c r="V247" s="256">
        <v>137</v>
      </c>
      <c r="W247" s="250"/>
      <c r="X247" s="556">
        <v>675</v>
      </c>
      <c r="Y247" s="556"/>
      <c r="Z247" s="250"/>
      <c r="AA247" s="267">
        <v>7490400</v>
      </c>
      <c r="AB247" s="565">
        <v>16456</v>
      </c>
      <c r="AC247" s="565"/>
      <c r="AD247" s="242"/>
    </row>
    <row r="248" spans="1:30">
      <c r="A248" s="242"/>
      <c r="B248" s="559"/>
      <c r="C248" s="559"/>
      <c r="D248" s="247"/>
      <c r="E248" s="250"/>
      <c r="F248" s="554"/>
      <c r="G248" s="554"/>
      <c r="H248" s="250"/>
      <c r="I248" s="554"/>
      <c r="J248" s="554"/>
      <c r="K248" s="250"/>
      <c r="L248" s="250"/>
      <c r="M248" s="250"/>
      <c r="N248" s="250"/>
      <c r="O248" s="250"/>
      <c r="P248" s="250"/>
      <c r="Q248" s="250"/>
      <c r="R248" s="250"/>
      <c r="S248" s="250"/>
      <c r="T248" s="554"/>
      <c r="U248" s="554"/>
      <c r="V248" s="250"/>
      <c r="W248" s="250"/>
      <c r="X248" s="554"/>
      <c r="Y248" s="554"/>
      <c r="Z248" s="250"/>
      <c r="AA248" s="250"/>
      <c r="AB248" s="554"/>
      <c r="AC248" s="554"/>
      <c r="AD248" s="242"/>
    </row>
    <row r="249" spans="1:30">
      <c r="A249" s="242"/>
      <c r="B249" s="563">
        <v>39716</v>
      </c>
      <c r="C249" s="563"/>
      <c r="D249" s="247"/>
      <c r="E249" s="252">
        <v>116.4</v>
      </c>
      <c r="F249" s="564">
        <v>24</v>
      </c>
      <c r="G249" s="564"/>
      <c r="H249" s="252">
        <v>256.39999999999998</v>
      </c>
      <c r="I249" s="564">
        <v>24</v>
      </c>
      <c r="J249" s="564"/>
      <c r="K249" s="252">
        <v>0</v>
      </c>
      <c r="L249" s="253">
        <v>0</v>
      </c>
      <c r="M249" s="252">
        <v>354</v>
      </c>
      <c r="N249" s="253">
        <v>24</v>
      </c>
      <c r="O249" s="254">
        <v>726.8</v>
      </c>
      <c r="P249" s="250"/>
      <c r="Q249" s="252">
        <v>0</v>
      </c>
      <c r="R249" s="253">
        <v>0</v>
      </c>
      <c r="S249" s="252">
        <v>0</v>
      </c>
      <c r="T249" s="564">
        <v>0</v>
      </c>
      <c r="U249" s="564"/>
      <c r="V249" s="252">
        <v>0</v>
      </c>
      <c r="W249" s="250"/>
      <c r="X249" s="561">
        <v>726.8</v>
      </c>
      <c r="Y249" s="561"/>
      <c r="Z249" s="250"/>
      <c r="AA249" s="266">
        <v>8226800</v>
      </c>
      <c r="AB249" s="566">
        <v>97805</v>
      </c>
      <c r="AC249" s="566"/>
      <c r="AD249" s="242"/>
    </row>
    <row r="250" spans="1:30">
      <c r="A250" s="242"/>
      <c r="B250" s="559"/>
      <c r="C250" s="559"/>
      <c r="D250" s="247"/>
      <c r="E250" s="250"/>
      <c r="F250" s="554"/>
      <c r="G250" s="554"/>
      <c r="H250" s="250"/>
      <c r="I250" s="554"/>
      <c r="J250" s="554"/>
      <c r="K250" s="250"/>
      <c r="L250" s="250"/>
      <c r="M250" s="250"/>
      <c r="N250" s="250"/>
      <c r="O250" s="250"/>
      <c r="P250" s="250"/>
      <c r="Q250" s="250"/>
      <c r="R250" s="250"/>
      <c r="S250" s="250"/>
      <c r="T250" s="554"/>
      <c r="U250" s="554"/>
      <c r="V250" s="250"/>
      <c r="W250" s="250"/>
      <c r="X250" s="554"/>
      <c r="Y250" s="554"/>
      <c r="Z250" s="250"/>
      <c r="AA250" s="250"/>
      <c r="AB250" s="554"/>
      <c r="AC250" s="554"/>
      <c r="AD250" s="242"/>
    </row>
    <row r="251" spans="1:30">
      <c r="A251" s="242"/>
      <c r="B251" s="558">
        <v>39717</v>
      </c>
      <c r="C251" s="558"/>
      <c r="D251" s="247"/>
      <c r="E251" s="256">
        <v>99.7</v>
      </c>
      <c r="F251" s="557">
        <v>24</v>
      </c>
      <c r="G251" s="557"/>
      <c r="H251" s="256">
        <v>242.7</v>
      </c>
      <c r="I251" s="557">
        <v>24</v>
      </c>
      <c r="J251" s="557"/>
      <c r="K251" s="256">
        <v>0</v>
      </c>
      <c r="L251" s="257">
        <v>0</v>
      </c>
      <c r="M251" s="256">
        <v>339</v>
      </c>
      <c r="N251" s="257">
        <v>24</v>
      </c>
      <c r="O251" s="258">
        <v>681.4</v>
      </c>
      <c r="P251" s="250"/>
      <c r="Q251" s="256">
        <v>0</v>
      </c>
      <c r="R251" s="257">
        <v>0</v>
      </c>
      <c r="S251" s="256">
        <v>0</v>
      </c>
      <c r="T251" s="557">
        <v>0</v>
      </c>
      <c r="U251" s="557"/>
      <c r="V251" s="256">
        <v>0</v>
      </c>
      <c r="W251" s="250"/>
      <c r="X251" s="556">
        <v>681.4</v>
      </c>
      <c r="Y251" s="556"/>
      <c r="Z251" s="250"/>
      <c r="AA251" s="267">
        <v>8014400</v>
      </c>
      <c r="AB251" s="565">
        <v>94591</v>
      </c>
      <c r="AC251" s="565"/>
      <c r="AD251" s="242"/>
    </row>
    <row r="252" spans="1:30">
      <c r="A252" s="242"/>
      <c r="B252" s="559"/>
      <c r="C252" s="559"/>
      <c r="D252" s="247"/>
      <c r="E252" s="250"/>
      <c r="F252" s="554"/>
      <c r="G252" s="554"/>
      <c r="H252" s="250"/>
      <c r="I252" s="554"/>
      <c r="J252" s="554"/>
      <c r="K252" s="250"/>
      <c r="L252" s="250"/>
      <c r="M252" s="250"/>
      <c r="N252" s="250"/>
      <c r="O252" s="250"/>
      <c r="P252" s="250"/>
      <c r="Q252" s="250"/>
      <c r="R252" s="250"/>
      <c r="S252" s="250"/>
      <c r="T252" s="554"/>
      <c r="U252" s="554"/>
      <c r="V252" s="250"/>
      <c r="W252" s="250"/>
      <c r="X252" s="554"/>
      <c r="Y252" s="554"/>
      <c r="Z252" s="250"/>
      <c r="AA252" s="250"/>
      <c r="AB252" s="554"/>
      <c r="AC252" s="554"/>
      <c r="AD252" s="242"/>
    </row>
    <row r="253" spans="1:30">
      <c r="A253" s="242"/>
      <c r="B253" s="563">
        <v>39718</v>
      </c>
      <c r="C253" s="563"/>
      <c r="D253" s="247"/>
      <c r="E253" s="252"/>
      <c r="F253" s="564">
        <v>12</v>
      </c>
      <c r="G253" s="564"/>
      <c r="H253" s="252">
        <v>189.1</v>
      </c>
      <c r="I253" s="564">
        <v>24</v>
      </c>
      <c r="J253" s="564"/>
      <c r="K253" s="252"/>
      <c r="L253" s="253"/>
      <c r="M253" s="252">
        <v>360</v>
      </c>
      <c r="N253" s="253">
        <v>24</v>
      </c>
      <c r="O253" s="254">
        <v>549.1</v>
      </c>
      <c r="P253" s="250"/>
      <c r="Q253" s="252"/>
      <c r="R253" s="253"/>
      <c r="S253" s="252"/>
      <c r="T253" s="564"/>
      <c r="U253" s="564"/>
      <c r="V253" s="252"/>
      <c r="W253" s="250"/>
      <c r="X253" s="561">
        <v>549.1</v>
      </c>
      <c r="Y253" s="561"/>
      <c r="Z253" s="250"/>
      <c r="AA253" s="266">
        <v>7687400</v>
      </c>
      <c r="AB253" s="566">
        <v>36506</v>
      </c>
      <c r="AC253" s="566"/>
      <c r="AD253" s="242"/>
    </row>
    <row r="254" spans="1:30">
      <c r="A254" s="242"/>
      <c r="B254" s="559"/>
      <c r="C254" s="559"/>
      <c r="D254" s="247"/>
      <c r="E254" s="250"/>
      <c r="F254" s="554"/>
      <c r="G254" s="554"/>
      <c r="H254" s="250"/>
      <c r="I254" s="554"/>
      <c r="J254" s="554"/>
      <c r="K254" s="250"/>
      <c r="L254" s="250"/>
      <c r="M254" s="250"/>
      <c r="N254" s="250"/>
      <c r="O254" s="250"/>
      <c r="P254" s="250"/>
      <c r="Q254" s="250"/>
      <c r="R254" s="250"/>
      <c r="S254" s="250"/>
      <c r="T254" s="554"/>
      <c r="U254" s="554"/>
      <c r="V254" s="250"/>
      <c r="W254" s="250"/>
      <c r="X254" s="554"/>
      <c r="Y254" s="554"/>
      <c r="Z254" s="250"/>
      <c r="AA254" s="250"/>
      <c r="AB254" s="554"/>
      <c r="AC254" s="554"/>
      <c r="AD254" s="242"/>
    </row>
    <row r="255" spans="1:30">
      <c r="A255" s="242"/>
      <c r="B255" s="558">
        <v>39719</v>
      </c>
      <c r="C255" s="558"/>
      <c r="D255" s="247"/>
      <c r="E255" s="256">
        <v>0</v>
      </c>
      <c r="F255" s="557">
        <v>0</v>
      </c>
      <c r="G255" s="557"/>
      <c r="H255" s="256">
        <v>237.7</v>
      </c>
      <c r="I255" s="557">
        <v>24</v>
      </c>
      <c r="J255" s="557"/>
      <c r="K255" s="256">
        <v>0</v>
      </c>
      <c r="L255" s="257">
        <v>0</v>
      </c>
      <c r="M255" s="256">
        <v>355</v>
      </c>
      <c r="N255" s="257">
        <v>24</v>
      </c>
      <c r="O255" s="258">
        <v>592.70000000000005</v>
      </c>
      <c r="P255" s="250"/>
      <c r="Q255" s="256">
        <v>0</v>
      </c>
      <c r="R255" s="257">
        <v>0</v>
      </c>
      <c r="S255" s="256">
        <v>0</v>
      </c>
      <c r="T255" s="557">
        <v>0</v>
      </c>
      <c r="U255" s="557"/>
      <c r="V255" s="256">
        <v>0</v>
      </c>
      <c r="W255" s="250"/>
      <c r="X255" s="556">
        <v>592.70000000000005</v>
      </c>
      <c r="Y255" s="556"/>
      <c r="Z255" s="250"/>
      <c r="AA255" s="267">
        <v>8061600</v>
      </c>
      <c r="AB255" s="565">
        <v>0</v>
      </c>
      <c r="AC255" s="565"/>
      <c r="AD255" s="242"/>
    </row>
    <row r="256" spans="1:30">
      <c r="A256" s="242"/>
      <c r="B256" s="559"/>
      <c r="C256" s="559"/>
      <c r="D256" s="247"/>
      <c r="E256" s="250"/>
      <c r="F256" s="554"/>
      <c r="G256" s="554"/>
      <c r="H256" s="250"/>
      <c r="I256" s="554"/>
      <c r="J256" s="554"/>
      <c r="K256" s="250"/>
      <c r="L256" s="250"/>
      <c r="M256" s="250"/>
      <c r="N256" s="250"/>
      <c r="O256" s="250"/>
      <c r="P256" s="250"/>
      <c r="Q256" s="250"/>
      <c r="R256" s="250"/>
      <c r="S256" s="250"/>
      <c r="T256" s="554"/>
      <c r="U256" s="554"/>
      <c r="V256" s="250"/>
      <c r="W256" s="250"/>
      <c r="X256" s="554"/>
      <c r="Y256" s="554"/>
      <c r="Z256" s="250"/>
      <c r="AA256" s="250"/>
      <c r="AB256" s="554"/>
      <c r="AC256" s="554"/>
      <c r="AD256" s="242"/>
    </row>
    <row r="257" spans="1:30">
      <c r="A257" s="242"/>
      <c r="B257" s="563">
        <v>39720</v>
      </c>
      <c r="C257" s="563"/>
      <c r="D257" s="247"/>
      <c r="E257" s="252"/>
      <c r="F257" s="564">
        <v>2</v>
      </c>
      <c r="G257" s="564"/>
      <c r="H257" s="252">
        <v>266.5</v>
      </c>
      <c r="I257" s="564">
        <v>24</v>
      </c>
      <c r="J257" s="564"/>
      <c r="K257" s="252"/>
      <c r="L257" s="253"/>
      <c r="M257" s="252">
        <v>320</v>
      </c>
      <c r="N257" s="253">
        <v>24</v>
      </c>
      <c r="O257" s="254">
        <v>586.5</v>
      </c>
      <c r="P257" s="250"/>
      <c r="Q257" s="252"/>
      <c r="R257" s="253"/>
      <c r="S257" s="252"/>
      <c r="T257" s="564"/>
      <c r="U257" s="564"/>
      <c r="V257" s="252"/>
      <c r="W257" s="250"/>
      <c r="X257" s="561">
        <v>586.5</v>
      </c>
      <c r="Y257" s="561"/>
      <c r="Z257" s="250"/>
      <c r="AA257" s="266">
        <v>7957400</v>
      </c>
      <c r="AB257" s="566">
        <v>4102</v>
      </c>
      <c r="AC257" s="566"/>
      <c r="AD257" s="242"/>
    </row>
    <row r="258" spans="1:30">
      <c r="A258" s="242"/>
      <c r="B258" s="559"/>
      <c r="C258" s="559"/>
      <c r="D258" s="247"/>
      <c r="E258" s="250"/>
      <c r="F258" s="554"/>
      <c r="G258" s="554"/>
      <c r="H258" s="250"/>
      <c r="I258" s="554"/>
      <c r="J258" s="554"/>
      <c r="K258" s="250"/>
      <c r="L258" s="250"/>
      <c r="M258" s="250"/>
      <c r="N258" s="250"/>
      <c r="O258" s="250"/>
      <c r="P258" s="250"/>
      <c r="Q258" s="250"/>
      <c r="R258" s="250"/>
      <c r="S258" s="250"/>
      <c r="T258" s="554"/>
      <c r="U258" s="554"/>
      <c r="V258" s="250"/>
      <c r="W258" s="250"/>
      <c r="X258" s="554"/>
      <c r="Y258" s="554"/>
      <c r="Z258" s="250"/>
      <c r="AA258" s="250"/>
      <c r="AB258" s="554"/>
      <c r="AC258" s="554"/>
      <c r="AD258" s="242"/>
    </row>
    <row r="259" spans="1:30">
      <c r="A259" s="242"/>
      <c r="B259" s="558">
        <v>39721</v>
      </c>
      <c r="C259" s="558"/>
      <c r="D259" s="247"/>
      <c r="E259" s="256">
        <v>19.3</v>
      </c>
      <c r="F259" s="557">
        <v>24</v>
      </c>
      <c r="G259" s="557"/>
      <c r="H259" s="256">
        <v>272.10000000000002</v>
      </c>
      <c r="I259" s="557">
        <v>24</v>
      </c>
      <c r="J259" s="557"/>
      <c r="K259" s="256"/>
      <c r="L259" s="257"/>
      <c r="M259" s="256">
        <v>327</v>
      </c>
      <c r="N259" s="257">
        <v>24</v>
      </c>
      <c r="O259" s="258">
        <v>618.4</v>
      </c>
      <c r="P259" s="250"/>
      <c r="Q259" s="256"/>
      <c r="R259" s="257"/>
      <c r="S259" s="256"/>
      <c r="T259" s="557"/>
      <c r="U259" s="557"/>
      <c r="V259" s="256"/>
      <c r="W259" s="250"/>
      <c r="X259" s="556">
        <v>618.4</v>
      </c>
      <c r="Y259" s="556"/>
      <c r="Z259" s="250"/>
      <c r="AA259" s="267">
        <v>8106900</v>
      </c>
      <c r="AB259" s="565">
        <v>75700</v>
      </c>
      <c r="AC259" s="565"/>
      <c r="AD259" s="242"/>
    </row>
    <row r="260" spans="1:30">
      <c r="A260" s="242"/>
      <c r="B260" s="559"/>
      <c r="C260" s="559"/>
      <c r="D260" s="247"/>
      <c r="E260" s="250"/>
      <c r="F260" s="554"/>
      <c r="G260" s="554"/>
      <c r="H260" s="250"/>
      <c r="I260" s="554"/>
      <c r="J260" s="554"/>
      <c r="K260" s="250"/>
      <c r="L260" s="250"/>
      <c r="M260" s="250"/>
      <c r="N260" s="250"/>
      <c r="O260" s="250"/>
      <c r="P260" s="250"/>
      <c r="Q260" s="250"/>
      <c r="R260" s="250"/>
      <c r="S260" s="250"/>
      <c r="T260" s="554"/>
      <c r="U260" s="554"/>
      <c r="V260" s="250"/>
      <c r="W260" s="250"/>
      <c r="X260" s="554"/>
      <c r="Y260" s="554"/>
      <c r="Z260" s="250"/>
      <c r="AA260" s="250"/>
      <c r="AB260" s="554"/>
      <c r="AC260" s="554"/>
      <c r="AD260" s="242"/>
    </row>
    <row r="261" spans="1:30">
      <c r="A261" s="242"/>
      <c r="B261" s="563">
        <v>39722</v>
      </c>
      <c r="C261" s="563"/>
      <c r="D261" s="247"/>
      <c r="E261" s="252">
        <v>0</v>
      </c>
      <c r="F261" s="564">
        <v>9</v>
      </c>
      <c r="G261" s="564"/>
      <c r="H261" s="252">
        <v>267.7</v>
      </c>
      <c r="I261" s="564">
        <v>24</v>
      </c>
      <c r="J261" s="564"/>
      <c r="K261" s="252">
        <v>0</v>
      </c>
      <c r="L261" s="253">
        <v>0</v>
      </c>
      <c r="M261" s="252">
        <v>347</v>
      </c>
      <c r="N261" s="253">
        <v>24</v>
      </c>
      <c r="O261" s="254">
        <v>614.70000000000005</v>
      </c>
      <c r="P261" s="250"/>
      <c r="Q261" s="252">
        <v>0</v>
      </c>
      <c r="R261" s="253">
        <v>0</v>
      </c>
      <c r="S261" s="252">
        <v>0</v>
      </c>
      <c r="T261" s="564">
        <v>0</v>
      </c>
      <c r="U261" s="564"/>
      <c r="V261" s="252">
        <v>0</v>
      </c>
      <c r="W261" s="250"/>
      <c r="X261" s="561">
        <v>614.70000000000005</v>
      </c>
      <c r="Y261" s="561"/>
      <c r="Z261" s="250"/>
      <c r="AA261" s="266">
        <v>8286900</v>
      </c>
      <c r="AB261" s="566">
        <v>28220</v>
      </c>
      <c r="AC261" s="566"/>
      <c r="AD261" s="242"/>
    </row>
    <row r="262" spans="1:30">
      <c r="A262" s="242"/>
      <c r="B262" s="559"/>
      <c r="C262" s="559"/>
      <c r="D262" s="247"/>
      <c r="E262" s="250"/>
      <c r="F262" s="554"/>
      <c r="G262" s="554"/>
      <c r="H262" s="250"/>
      <c r="I262" s="554"/>
      <c r="J262" s="554"/>
      <c r="K262" s="250"/>
      <c r="L262" s="250"/>
      <c r="M262" s="250"/>
      <c r="N262" s="250"/>
      <c r="O262" s="250"/>
      <c r="P262" s="250"/>
      <c r="Q262" s="250"/>
      <c r="R262" s="250"/>
      <c r="S262" s="250"/>
      <c r="T262" s="554"/>
      <c r="U262" s="554"/>
      <c r="V262" s="250"/>
      <c r="W262" s="250"/>
      <c r="X262" s="554"/>
      <c r="Y262" s="554"/>
      <c r="Z262" s="250"/>
      <c r="AA262" s="250"/>
      <c r="AB262" s="554"/>
      <c r="AC262" s="554"/>
      <c r="AD262" s="242"/>
    </row>
    <row r="263" spans="1:30">
      <c r="A263" s="242"/>
      <c r="B263" s="558">
        <v>39723</v>
      </c>
      <c r="C263" s="558"/>
      <c r="D263" s="247"/>
      <c r="E263" s="256">
        <v>0</v>
      </c>
      <c r="F263" s="557">
        <v>0</v>
      </c>
      <c r="G263" s="557"/>
      <c r="H263" s="256">
        <v>252.7</v>
      </c>
      <c r="I263" s="557">
        <v>24</v>
      </c>
      <c r="J263" s="557"/>
      <c r="K263" s="256">
        <v>0</v>
      </c>
      <c r="L263" s="257">
        <v>0</v>
      </c>
      <c r="M263" s="256">
        <v>338</v>
      </c>
      <c r="N263" s="257">
        <v>24</v>
      </c>
      <c r="O263" s="258">
        <v>590.70000000000005</v>
      </c>
      <c r="P263" s="250"/>
      <c r="Q263" s="256">
        <v>0</v>
      </c>
      <c r="R263" s="257">
        <v>0</v>
      </c>
      <c r="S263" s="256">
        <v>0</v>
      </c>
      <c r="T263" s="557">
        <v>0</v>
      </c>
      <c r="U263" s="557"/>
      <c r="V263" s="256">
        <v>0</v>
      </c>
      <c r="W263" s="250"/>
      <c r="X263" s="556">
        <v>590.70000000000005</v>
      </c>
      <c r="Y263" s="556"/>
      <c r="Z263" s="250"/>
      <c r="AA263" s="267">
        <v>8093300</v>
      </c>
      <c r="AB263" s="565">
        <v>70575</v>
      </c>
      <c r="AC263" s="565"/>
      <c r="AD263" s="242"/>
    </row>
    <row r="264" spans="1:30">
      <c r="A264" s="242"/>
      <c r="B264" s="559"/>
      <c r="C264" s="559"/>
      <c r="D264" s="247"/>
      <c r="E264" s="250"/>
      <c r="F264" s="554"/>
      <c r="G264" s="554"/>
      <c r="H264" s="250"/>
      <c r="I264" s="554"/>
      <c r="J264" s="554"/>
      <c r="K264" s="250"/>
      <c r="L264" s="250"/>
      <c r="M264" s="250"/>
      <c r="N264" s="250"/>
      <c r="O264" s="250"/>
      <c r="P264" s="250"/>
      <c r="Q264" s="250"/>
      <c r="R264" s="250"/>
      <c r="S264" s="250"/>
      <c r="T264" s="554"/>
      <c r="U264" s="554"/>
      <c r="V264" s="250"/>
      <c r="W264" s="250"/>
      <c r="X264" s="554"/>
      <c r="Y264" s="554"/>
      <c r="Z264" s="250"/>
      <c r="AA264" s="250"/>
      <c r="AB264" s="554"/>
      <c r="AC264" s="554"/>
      <c r="AD264" s="242"/>
    </row>
    <row r="265" spans="1:30">
      <c r="A265" s="242"/>
      <c r="B265" s="563">
        <v>39724</v>
      </c>
      <c r="C265" s="563"/>
      <c r="D265" s="247"/>
      <c r="E265" s="252">
        <v>0</v>
      </c>
      <c r="F265" s="564">
        <v>24</v>
      </c>
      <c r="G265" s="564"/>
      <c r="H265" s="252">
        <v>208.5</v>
      </c>
      <c r="I265" s="564">
        <v>24</v>
      </c>
      <c r="J265" s="564"/>
      <c r="K265" s="252">
        <v>0</v>
      </c>
      <c r="L265" s="253">
        <v>0</v>
      </c>
      <c r="M265" s="252">
        <v>291</v>
      </c>
      <c r="N265" s="253">
        <v>24</v>
      </c>
      <c r="O265" s="254">
        <v>499.5</v>
      </c>
      <c r="P265" s="250"/>
      <c r="Q265" s="252">
        <v>0</v>
      </c>
      <c r="R265" s="253">
        <v>0</v>
      </c>
      <c r="S265" s="252">
        <v>0</v>
      </c>
      <c r="T265" s="564">
        <v>0</v>
      </c>
      <c r="U265" s="564"/>
      <c r="V265" s="252">
        <v>0</v>
      </c>
      <c r="W265" s="250"/>
      <c r="X265" s="561">
        <v>499.5</v>
      </c>
      <c r="Y265" s="561"/>
      <c r="Z265" s="250"/>
      <c r="AA265" s="266">
        <v>7219400</v>
      </c>
      <c r="AB265" s="566">
        <v>70666</v>
      </c>
      <c r="AC265" s="566"/>
      <c r="AD265" s="242"/>
    </row>
    <row r="266" spans="1:30">
      <c r="A266" s="242"/>
      <c r="B266" s="559"/>
      <c r="C266" s="559"/>
      <c r="D266" s="247"/>
      <c r="E266" s="250"/>
      <c r="F266" s="554"/>
      <c r="G266" s="554"/>
      <c r="H266" s="250"/>
      <c r="I266" s="554"/>
      <c r="J266" s="554"/>
      <c r="K266" s="250"/>
      <c r="L266" s="250"/>
      <c r="M266" s="250"/>
      <c r="N266" s="250"/>
      <c r="O266" s="250"/>
      <c r="P266" s="250"/>
      <c r="Q266" s="250"/>
      <c r="R266" s="250"/>
      <c r="S266" s="250"/>
      <c r="T266" s="554"/>
      <c r="U266" s="554"/>
      <c r="V266" s="250"/>
      <c r="W266" s="250"/>
      <c r="X266" s="554"/>
      <c r="Y266" s="554"/>
      <c r="Z266" s="250"/>
      <c r="AA266" s="250"/>
      <c r="AB266" s="554"/>
      <c r="AC266" s="554"/>
      <c r="AD266" s="242"/>
    </row>
    <row r="267" spans="1:30">
      <c r="A267" s="242"/>
      <c r="B267" s="558">
        <v>39725</v>
      </c>
      <c r="C267" s="558"/>
      <c r="D267" s="247"/>
      <c r="E267" s="256">
        <v>0</v>
      </c>
      <c r="F267" s="557">
        <v>10</v>
      </c>
      <c r="G267" s="557"/>
      <c r="H267" s="256">
        <v>212.8</v>
      </c>
      <c r="I267" s="557">
        <v>24</v>
      </c>
      <c r="J267" s="557"/>
      <c r="K267" s="256">
        <v>0</v>
      </c>
      <c r="L267" s="257">
        <v>0</v>
      </c>
      <c r="M267" s="256">
        <v>309</v>
      </c>
      <c r="N267" s="257">
        <v>24</v>
      </c>
      <c r="O267" s="258">
        <v>521.79999999999995</v>
      </c>
      <c r="P267" s="250"/>
      <c r="Q267" s="256">
        <v>0</v>
      </c>
      <c r="R267" s="257">
        <v>0</v>
      </c>
      <c r="S267" s="256">
        <v>0</v>
      </c>
      <c r="T267" s="557">
        <v>0</v>
      </c>
      <c r="U267" s="557"/>
      <c r="V267" s="256">
        <v>0</v>
      </c>
      <c r="W267" s="250"/>
      <c r="X267" s="556">
        <v>521.79999999999995</v>
      </c>
      <c r="Y267" s="556"/>
      <c r="Z267" s="250"/>
      <c r="AA267" s="267">
        <v>7710800</v>
      </c>
      <c r="AB267" s="565">
        <v>29865</v>
      </c>
      <c r="AC267" s="565"/>
      <c r="AD267" s="242"/>
    </row>
    <row r="268" spans="1:30">
      <c r="A268" s="242"/>
      <c r="B268" s="559"/>
      <c r="C268" s="559"/>
      <c r="D268" s="247"/>
      <c r="E268" s="250"/>
      <c r="F268" s="554"/>
      <c r="G268" s="554"/>
      <c r="H268" s="250"/>
      <c r="I268" s="554"/>
      <c r="J268" s="554"/>
      <c r="K268" s="250"/>
      <c r="L268" s="250"/>
      <c r="M268" s="250"/>
      <c r="N268" s="250"/>
      <c r="O268" s="250"/>
      <c r="P268" s="250"/>
      <c r="Q268" s="250"/>
      <c r="R268" s="250"/>
      <c r="S268" s="250"/>
      <c r="T268" s="554"/>
      <c r="U268" s="554"/>
      <c r="V268" s="250"/>
      <c r="W268" s="250"/>
      <c r="X268" s="554"/>
      <c r="Y268" s="554"/>
      <c r="Z268" s="250"/>
      <c r="AA268" s="250"/>
      <c r="AB268" s="554"/>
      <c r="AC268" s="554"/>
      <c r="AD268" s="242"/>
    </row>
    <row r="269" spans="1:30">
      <c r="A269" s="242"/>
      <c r="B269" s="563">
        <v>39726</v>
      </c>
      <c r="C269" s="563"/>
      <c r="D269" s="247"/>
      <c r="E269" s="252">
        <v>0</v>
      </c>
      <c r="F269" s="564">
        <v>0</v>
      </c>
      <c r="G269" s="564"/>
      <c r="H269" s="252">
        <v>253.6</v>
      </c>
      <c r="I269" s="564">
        <v>24</v>
      </c>
      <c r="J269" s="564"/>
      <c r="K269" s="252">
        <v>0</v>
      </c>
      <c r="L269" s="253">
        <v>0</v>
      </c>
      <c r="M269" s="252">
        <v>311</v>
      </c>
      <c r="N269" s="253">
        <v>24</v>
      </c>
      <c r="O269" s="254">
        <v>564.6</v>
      </c>
      <c r="P269" s="250"/>
      <c r="Q269" s="252">
        <v>0</v>
      </c>
      <c r="R269" s="253">
        <v>0</v>
      </c>
      <c r="S269" s="252">
        <v>0</v>
      </c>
      <c r="T269" s="564">
        <v>0</v>
      </c>
      <c r="U269" s="564"/>
      <c r="V269" s="252">
        <v>0</v>
      </c>
      <c r="W269" s="250"/>
      <c r="X269" s="561">
        <v>564.6</v>
      </c>
      <c r="Y269" s="561"/>
      <c r="Z269" s="250"/>
      <c r="AA269" s="266">
        <v>7785900</v>
      </c>
      <c r="AB269" s="566">
        <v>0</v>
      </c>
      <c r="AC269" s="566"/>
      <c r="AD269" s="242"/>
    </row>
    <row r="270" spans="1:30">
      <c r="A270" s="242"/>
      <c r="B270" s="559"/>
      <c r="C270" s="559"/>
      <c r="D270" s="247"/>
      <c r="E270" s="250"/>
      <c r="F270" s="554"/>
      <c r="G270" s="554"/>
      <c r="H270" s="250"/>
      <c r="I270" s="554"/>
      <c r="J270" s="554"/>
      <c r="K270" s="250"/>
      <c r="L270" s="250"/>
      <c r="M270" s="250"/>
      <c r="N270" s="250"/>
      <c r="O270" s="250"/>
      <c r="P270" s="250"/>
      <c r="Q270" s="250"/>
      <c r="R270" s="250"/>
      <c r="S270" s="250"/>
      <c r="T270" s="554"/>
      <c r="U270" s="554"/>
      <c r="V270" s="250"/>
      <c r="W270" s="250"/>
      <c r="X270" s="554"/>
      <c r="Y270" s="554"/>
      <c r="Z270" s="250"/>
      <c r="AA270" s="250"/>
      <c r="AB270" s="554"/>
      <c r="AC270" s="554"/>
      <c r="AD270" s="242"/>
    </row>
    <row r="271" spans="1:30">
      <c r="A271" s="242"/>
      <c r="B271" s="558">
        <v>39727</v>
      </c>
      <c r="C271" s="558"/>
      <c r="D271" s="247"/>
      <c r="E271" s="256"/>
      <c r="F271" s="557"/>
      <c r="G271" s="557"/>
      <c r="H271" s="256">
        <v>228.6</v>
      </c>
      <c r="I271" s="557">
        <v>24</v>
      </c>
      <c r="J271" s="557"/>
      <c r="K271" s="256"/>
      <c r="L271" s="257"/>
      <c r="M271" s="256">
        <v>283</v>
      </c>
      <c r="N271" s="257">
        <v>24</v>
      </c>
      <c r="O271" s="258">
        <v>511.6</v>
      </c>
      <c r="P271" s="250"/>
      <c r="Q271" s="256"/>
      <c r="R271" s="257"/>
      <c r="S271" s="256"/>
      <c r="T271" s="557"/>
      <c r="U271" s="557"/>
      <c r="V271" s="256"/>
      <c r="W271" s="250"/>
      <c r="X271" s="556">
        <v>511.6</v>
      </c>
      <c r="Y271" s="556"/>
      <c r="Z271" s="250"/>
      <c r="AA271" s="267">
        <v>7398300</v>
      </c>
      <c r="AB271" s="565"/>
      <c r="AC271" s="565"/>
      <c r="AD271" s="242"/>
    </row>
    <row r="272" spans="1:30">
      <c r="A272" s="242"/>
      <c r="B272" s="559"/>
      <c r="C272" s="559"/>
      <c r="D272" s="247"/>
      <c r="E272" s="250"/>
      <c r="F272" s="554"/>
      <c r="G272" s="554"/>
      <c r="H272" s="250"/>
      <c r="I272" s="554"/>
      <c r="J272" s="554"/>
      <c r="K272" s="250"/>
      <c r="L272" s="250"/>
      <c r="M272" s="250"/>
      <c r="N272" s="250"/>
      <c r="O272" s="250"/>
      <c r="P272" s="250"/>
      <c r="Q272" s="250"/>
      <c r="R272" s="250"/>
      <c r="S272" s="250"/>
      <c r="T272" s="554"/>
      <c r="U272" s="554"/>
      <c r="V272" s="250"/>
      <c r="W272" s="250"/>
      <c r="X272" s="554"/>
      <c r="Y272" s="554"/>
      <c r="Z272" s="250"/>
      <c r="AA272" s="250"/>
      <c r="AB272" s="554"/>
      <c r="AC272" s="554"/>
      <c r="AD272" s="242"/>
    </row>
    <row r="273" spans="1:30">
      <c r="A273" s="242"/>
      <c r="B273" s="563">
        <v>39728</v>
      </c>
      <c r="C273" s="563"/>
      <c r="D273" s="247"/>
      <c r="E273" s="252">
        <v>75.2</v>
      </c>
      <c r="F273" s="564">
        <v>8</v>
      </c>
      <c r="G273" s="564"/>
      <c r="H273" s="252">
        <v>163.80000000000001</v>
      </c>
      <c r="I273" s="564">
        <v>24</v>
      </c>
      <c r="J273" s="564"/>
      <c r="K273" s="252"/>
      <c r="L273" s="253">
        <v>2</v>
      </c>
      <c r="M273" s="252">
        <v>286</v>
      </c>
      <c r="N273" s="253">
        <v>24</v>
      </c>
      <c r="O273" s="254">
        <v>525</v>
      </c>
      <c r="P273" s="250"/>
      <c r="Q273" s="252"/>
      <c r="R273" s="253"/>
      <c r="S273" s="252"/>
      <c r="T273" s="564"/>
      <c r="U273" s="564"/>
      <c r="V273" s="252"/>
      <c r="W273" s="250"/>
      <c r="X273" s="561">
        <v>525</v>
      </c>
      <c r="Y273" s="561"/>
      <c r="Z273" s="250"/>
      <c r="AA273" s="266">
        <v>6534200</v>
      </c>
      <c r="AB273" s="566">
        <v>62414</v>
      </c>
      <c r="AC273" s="566"/>
      <c r="AD273" s="242"/>
    </row>
    <row r="274" spans="1:30">
      <c r="A274" s="242"/>
      <c r="B274" s="559"/>
      <c r="C274" s="559"/>
      <c r="D274" s="247"/>
      <c r="E274" s="250"/>
      <c r="F274" s="554"/>
      <c r="G274" s="554"/>
      <c r="H274" s="250"/>
      <c r="I274" s="554"/>
      <c r="J274" s="554"/>
      <c r="K274" s="250"/>
      <c r="L274" s="250"/>
      <c r="M274" s="250"/>
      <c r="N274" s="250"/>
      <c r="O274" s="250"/>
      <c r="P274" s="250"/>
      <c r="Q274" s="250"/>
      <c r="R274" s="250"/>
      <c r="S274" s="250"/>
      <c r="T274" s="554"/>
      <c r="U274" s="554"/>
      <c r="V274" s="250"/>
      <c r="W274" s="250"/>
      <c r="X274" s="554"/>
      <c r="Y274" s="554"/>
      <c r="Z274" s="250"/>
      <c r="AA274" s="250"/>
      <c r="AB274" s="554"/>
      <c r="AC274" s="554"/>
      <c r="AD274" s="242"/>
    </row>
    <row r="275" spans="1:30">
      <c r="A275" s="242"/>
      <c r="B275" s="558">
        <v>39729</v>
      </c>
      <c r="C275" s="558"/>
      <c r="D275" s="247"/>
      <c r="E275" s="256">
        <v>27.4</v>
      </c>
      <c r="F275" s="557">
        <v>5</v>
      </c>
      <c r="G275" s="557"/>
      <c r="H275" s="256">
        <v>228.7</v>
      </c>
      <c r="I275" s="557">
        <v>24</v>
      </c>
      <c r="J275" s="557"/>
      <c r="K275" s="256">
        <v>0</v>
      </c>
      <c r="L275" s="257">
        <v>0</v>
      </c>
      <c r="M275" s="256">
        <v>383</v>
      </c>
      <c r="N275" s="257">
        <v>24</v>
      </c>
      <c r="O275" s="258">
        <v>639.1</v>
      </c>
      <c r="P275" s="250"/>
      <c r="Q275" s="256">
        <v>0</v>
      </c>
      <c r="R275" s="257">
        <v>0</v>
      </c>
      <c r="S275" s="256">
        <v>0</v>
      </c>
      <c r="T275" s="557">
        <v>0</v>
      </c>
      <c r="U275" s="557"/>
      <c r="V275" s="256">
        <v>0</v>
      </c>
      <c r="W275" s="250"/>
      <c r="X275" s="556">
        <v>639.1</v>
      </c>
      <c r="Y275" s="556"/>
      <c r="Z275" s="250"/>
      <c r="AA275" s="267">
        <v>8233900</v>
      </c>
      <c r="AB275" s="565">
        <v>20186</v>
      </c>
      <c r="AC275" s="565"/>
      <c r="AD275" s="242"/>
    </row>
    <row r="276" spans="1:30">
      <c r="A276" s="242"/>
      <c r="B276" s="559"/>
      <c r="C276" s="559"/>
      <c r="D276" s="247"/>
      <c r="E276" s="250"/>
      <c r="F276" s="554"/>
      <c r="G276" s="554"/>
      <c r="H276" s="250"/>
      <c r="I276" s="554"/>
      <c r="J276" s="554"/>
      <c r="K276" s="250"/>
      <c r="L276" s="250"/>
      <c r="M276" s="250"/>
      <c r="N276" s="250"/>
      <c r="O276" s="250"/>
      <c r="P276" s="250"/>
      <c r="Q276" s="250"/>
      <c r="R276" s="250"/>
      <c r="S276" s="250"/>
      <c r="T276" s="554"/>
      <c r="U276" s="554"/>
      <c r="V276" s="250"/>
      <c r="W276" s="250"/>
      <c r="X276" s="554"/>
      <c r="Y276" s="554"/>
      <c r="Z276" s="250"/>
      <c r="AA276" s="250"/>
      <c r="AB276" s="554"/>
      <c r="AC276" s="554"/>
      <c r="AD276" s="242"/>
    </row>
    <row r="277" spans="1:30">
      <c r="A277" s="242"/>
      <c r="B277" s="563">
        <v>39730</v>
      </c>
      <c r="C277" s="563"/>
      <c r="D277" s="247"/>
      <c r="E277" s="252">
        <v>150.6</v>
      </c>
      <c r="F277" s="564">
        <v>24</v>
      </c>
      <c r="G277" s="564"/>
      <c r="H277" s="252">
        <v>267.5</v>
      </c>
      <c r="I277" s="564">
        <v>24</v>
      </c>
      <c r="J277" s="564"/>
      <c r="K277" s="252">
        <v>0</v>
      </c>
      <c r="L277" s="253">
        <v>0</v>
      </c>
      <c r="M277" s="252">
        <v>338</v>
      </c>
      <c r="N277" s="253">
        <v>24</v>
      </c>
      <c r="O277" s="254">
        <v>756.1</v>
      </c>
      <c r="P277" s="250"/>
      <c r="Q277" s="252">
        <v>0</v>
      </c>
      <c r="R277" s="253">
        <v>0</v>
      </c>
      <c r="S277" s="252">
        <v>0</v>
      </c>
      <c r="T277" s="564">
        <v>0</v>
      </c>
      <c r="U277" s="564"/>
      <c r="V277" s="252">
        <v>0</v>
      </c>
      <c r="W277" s="250"/>
      <c r="X277" s="561">
        <v>756.1</v>
      </c>
      <c r="Y277" s="561"/>
      <c r="Z277" s="250"/>
      <c r="AA277" s="266">
        <v>8130200</v>
      </c>
      <c r="AB277" s="566">
        <v>109594</v>
      </c>
      <c r="AC277" s="566"/>
      <c r="AD277" s="242"/>
    </row>
    <row r="278" spans="1:30">
      <c r="A278" s="242"/>
      <c r="B278" s="559"/>
      <c r="C278" s="559"/>
      <c r="D278" s="247"/>
      <c r="E278" s="250"/>
      <c r="F278" s="554"/>
      <c r="G278" s="554"/>
      <c r="H278" s="250"/>
      <c r="I278" s="554"/>
      <c r="J278" s="554"/>
      <c r="K278" s="250"/>
      <c r="L278" s="250"/>
      <c r="M278" s="250"/>
      <c r="N278" s="250"/>
      <c r="O278" s="250"/>
      <c r="P278" s="250"/>
      <c r="Q278" s="250"/>
      <c r="R278" s="250"/>
      <c r="S278" s="250"/>
      <c r="T278" s="554"/>
      <c r="U278" s="554"/>
      <c r="V278" s="250"/>
      <c r="W278" s="250"/>
      <c r="X278" s="554"/>
      <c r="Y278" s="554"/>
      <c r="Z278" s="250"/>
      <c r="AA278" s="250"/>
      <c r="AB278" s="554"/>
      <c r="AC278" s="554"/>
      <c r="AD278" s="242"/>
    </row>
    <row r="279" spans="1:30">
      <c r="A279" s="242"/>
      <c r="B279" s="558">
        <v>39731</v>
      </c>
      <c r="C279" s="558"/>
      <c r="D279" s="247"/>
      <c r="E279" s="256">
        <v>144.30000000000001</v>
      </c>
      <c r="F279" s="557">
        <v>24</v>
      </c>
      <c r="G279" s="557"/>
      <c r="H279" s="256">
        <v>247.5</v>
      </c>
      <c r="I279" s="557">
        <v>24</v>
      </c>
      <c r="J279" s="557"/>
      <c r="K279" s="256">
        <v>0</v>
      </c>
      <c r="L279" s="257">
        <v>2</v>
      </c>
      <c r="M279" s="256">
        <v>283</v>
      </c>
      <c r="N279" s="257">
        <v>24</v>
      </c>
      <c r="O279" s="258">
        <v>674.8</v>
      </c>
      <c r="P279" s="250"/>
      <c r="Q279" s="256">
        <v>0</v>
      </c>
      <c r="R279" s="257">
        <v>0</v>
      </c>
      <c r="S279" s="256">
        <v>0</v>
      </c>
      <c r="T279" s="557">
        <v>0</v>
      </c>
      <c r="U279" s="557"/>
      <c r="V279" s="256">
        <v>0</v>
      </c>
      <c r="W279" s="250"/>
      <c r="X279" s="556">
        <v>674.8</v>
      </c>
      <c r="Y279" s="556"/>
      <c r="Z279" s="250"/>
      <c r="AA279" s="267">
        <v>7589700</v>
      </c>
      <c r="AB279" s="565">
        <v>109289</v>
      </c>
      <c r="AC279" s="565"/>
      <c r="AD279" s="242"/>
    </row>
    <row r="280" spans="1:30">
      <c r="A280" s="242"/>
      <c r="B280" s="559"/>
      <c r="C280" s="559"/>
      <c r="D280" s="247"/>
      <c r="E280" s="250"/>
      <c r="F280" s="554"/>
      <c r="G280" s="554"/>
      <c r="H280" s="250"/>
      <c r="I280" s="554"/>
      <c r="J280" s="554"/>
      <c r="K280" s="250"/>
      <c r="L280" s="250"/>
      <c r="M280" s="250"/>
      <c r="N280" s="250"/>
      <c r="O280" s="250"/>
      <c r="P280" s="250"/>
      <c r="Q280" s="250"/>
      <c r="R280" s="250"/>
      <c r="S280" s="250"/>
      <c r="T280" s="554"/>
      <c r="U280" s="554"/>
      <c r="V280" s="250"/>
      <c r="W280" s="250"/>
      <c r="X280" s="554"/>
      <c r="Y280" s="554"/>
      <c r="Z280" s="250"/>
      <c r="AA280" s="250"/>
      <c r="AB280" s="554"/>
      <c r="AC280" s="554"/>
      <c r="AD280" s="242"/>
    </row>
    <row r="281" spans="1:30">
      <c r="A281" s="242"/>
      <c r="B281" s="563">
        <v>39732</v>
      </c>
      <c r="C281" s="563"/>
      <c r="D281" s="247"/>
      <c r="E281" s="252">
        <v>36.5</v>
      </c>
      <c r="F281" s="564">
        <v>6</v>
      </c>
      <c r="G281" s="564"/>
      <c r="H281" s="252">
        <v>286.8</v>
      </c>
      <c r="I281" s="564">
        <v>24</v>
      </c>
      <c r="J281" s="564"/>
      <c r="K281" s="252">
        <v>0</v>
      </c>
      <c r="L281" s="253">
        <v>8</v>
      </c>
      <c r="M281" s="252">
        <v>347</v>
      </c>
      <c r="N281" s="253">
        <v>24</v>
      </c>
      <c r="O281" s="254">
        <v>670.3</v>
      </c>
      <c r="P281" s="250"/>
      <c r="Q281" s="252">
        <v>0</v>
      </c>
      <c r="R281" s="253">
        <v>0</v>
      </c>
      <c r="S281" s="252">
        <v>0</v>
      </c>
      <c r="T281" s="564">
        <v>0</v>
      </c>
      <c r="U281" s="564"/>
      <c r="V281" s="252">
        <v>0</v>
      </c>
      <c r="W281" s="250"/>
      <c r="X281" s="561">
        <v>670.3</v>
      </c>
      <c r="Y281" s="561"/>
      <c r="Z281" s="250"/>
      <c r="AA281" s="266">
        <v>8188900</v>
      </c>
      <c r="AB281" s="566">
        <v>47261</v>
      </c>
      <c r="AC281" s="566"/>
      <c r="AD281" s="242"/>
    </row>
    <row r="282" spans="1:30">
      <c r="A282" s="242"/>
      <c r="B282" s="559"/>
      <c r="C282" s="559"/>
      <c r="D282" s="247"/>
      <c r="E282" s="250"/>
      <c r="F282" s="554"/>
      <c r="G282" s="554"/>
      <c r="H282" s="250"/>
      <c r="I282" s="554"/>
      <c r="J282" s="554"/>
      <c r="K282" s="250"/>
      <c r="L282" s="250"/>
      <c r="M282" s="250"/>
      <c r="N282" s="250"/>
      <c r="O282" s="250"/>
      <c r="P282" s="250"/>
      <c r="Q282" s="250"/>
      <c r="R282" s="250"/>
      <c r="S282" s="250"/>
      <c r="T282" s="554"/>
      <c r="U282" s="554"/>
      <c r="V282" s="250"/>
      <c r="W282" s="250"/>
      <c r="X282" s="554"/>
      <c r="Y282" s="554"/>
      <c r="Z282" s="250"/>
      <c r="AA282" s="250"/>
      <c r="AB282" s="554"/>
      <c r="AC282" s="554"/>
      <c r="AD282" s="242"/>
    </row>
    <row r="283" spans="1:30">
      <c r="A283" s="242"/>
      <c r="B283" s="558">
        <v>39733</v>
      </c>
      <c r="C283" s="558"/>
      <c r="D283" s="247"/>
      <c r="E283" s="256">
        <v>0</v>
      </c>
      <c r="F283" s="557">
        <v>0</v>
      </c>
      <c r="G283" s="557"/>
      <c r="H283" s="256">
        <v>296.39999999999998</v>
      </c>
      <c r="I283" s="557">
        <v>24</v>
      </c>
      <c r="J283" s="557"/>
      <c r="K283" s="256">
        <v>0</v>
      </c>
      <c r="L283" s="257">
        <v>0</v>
      </c>
      <c r="M283" s="256">
        <v>348</v>
      </c>
      <c r="N283" s="257">
        <v>24</v>
      </c>
      <c r="O283" s="258">
        <v>644.4</v>
      </c>
      <c r="P283" s="250"/>
      <c r="Q283" s="256">
        <v>0</v>
      </c>
      <c r="R283" s="257">
        <v>0</v>
      </c>
      <c r="S283" s="256">
        <v>0</v>
      </c>
      <c r="T283" s="557">
        <v>0</v>
      </c>
      <c r="U283" s="557"/>
      <c r="V283" s="256">
        <v>0</v>
      </c>
      <c r="W283" s="250"/>
      <c r="X283" s="556">
        <v>644.4</v>
      </c>
      <c r="Y283" s="556"/>
      <c r="Z283" s="250"/>
      <c r="AA283" s="267">
        <v>8340600</v>
      </c>
      <c r="AB283" s="565">
        <v>0</v>
      </c>
      <c r="AC283" s="565"/>
      <c r="AD283" s="242"/>
    </row>
    <row r="284" spans="1:30">
      <c r="A284" s="242"/>
      <c r="B284" s="559"/>
      <c r="C284" s="559"/>
      <c r="D284" s="247"/>
      <c r="E284" s="250"/>
      <c r="F284" s="554"/>
      <c r="G284" s="554"/>
      <c r="H284" s="250"/>
      <c r="I284" s="554"/>
      <c r="J284" s="554"/>
      <c r="K284" s="250"/>
      <c r="L284" s="250"/>
      <c r="M284" s="250"/>
      <c r="N284" s="250"/>
      <c r="O284" s="250"/>
      <c r="P284" s="250"/>
      <c r="Q284" s="250"/>
      <c r="R284" s="250"/>
      <c r="S284" s="250"/>
      <c r="T284" s="554"/>
      <c r="U284" s="554"/>
      <c r="V284" s="250"/>
      <c r="W284" s="250"/>
      <c r="X284" s="554"/>
      <c r="Y284" s="554"/>
      <c r="Z284" s="250"/>
      <c r="AA284" s="250"/>
      <c r="AB284" s="554"/>
      <c r="AC284" s="554"/>
      <c r="AD284" s="242"/>
    </row>
    <row r="285" spans="1:30">
      <c r="A285" s="242"/>
      <c r="B285" s="563">
        <v>39734</v>
      </c>
      <c r="C285" s="563"/>
      <c r="D285" s="247"/>
      <c r="E285" s="252"/>
      <c r="F285" s="564"/>
      <c r="G285" s="564"/>
      <c r="H285" s="252">
        <v>295.8</v>
      </c>
      <c r="I285" s="564">
        <v>24</v>
      </c>
      <c r="J285" s="564"/>
      <c r="K285" s="252"/>
      <c r="L285" s="253"/>
      <c r="M285" s="252">
        <v>321</v>
      </c>
      <c r="N285" s="253">
        <v>24</v>
      </c>
      <c r="O285" s="254">
        <v>616.79999999999995</v>
      </c>
      <c r="P285" s="250"/>
      <c r="Q285" s="252"/>
      <c r="R285" s="253"/>
      <c r="S285" s="252"/>
      <c r="T285" s="564"/>
      <c r="U285" s="564"/>
      <c r="V285" s="252"/>
      <c r="W285" s="250"/>
      <c r="X285" s="561">
        <v>616.79999999999995</v>
      </c>
      <c r="Y285" s="561"/>
      <c r="Z285" s="250"/>
      <c r="AA285" s="266">
        <v>8196100</v>
      </c>
      <c r="AB285" s="566"/>
      <c r="AC285" s="566"/>
      <c r="AD285" s="242"/>
    </row>
    <row r="286" spans="1:30">
      <c r="A286" s="242"/>
      <c r="B286" s="559"/>
      <c r="C286" s="559"/>
      <c r="D286" s="247"/>
      <c r="E286" s="250"/>
      <c r="F286" s="554"/>
      <c r="G286" s="554"/>
      <c r="H286" s="250"/>
      <c r="I286" s="554"/>
      <c r="J286" s="554"/>
      <c r="K286" s="250"/>
      <c r="L286" s="250"/>
      <c r="M286" s="250"/>
      <c r="N286" s="250"/>
      <c r="O286" s="250"/>
      <c r="P286" s="250"/>
      <c r="Q286" s="250"/>
      <c r="R286" s="250"/>
      <c r="S286" s="250"/>
      <c r="T286" s="554"/>
      <c r="U286" s="554"/>
      <c r="V286" s="250"/>
      <c r="W286" s="250"/>
      <c r="X286" s="554"/>
      <c r="Y286" s="554"/>
      <c r="Z286" s="250"/>
      <c r="AA286" s="250"/>
      <c r="AB286" s="554"/>
      <c r="AC286" s="554"/>
      <c r="AD286" s="242"/>
    </row>
    <row r="287" spans="1:30">
      <c r="A287" s="242"/>
      <c r="B287" s="558">
        <v>39735</v>
      </c>
      <c r="C287" s="558"/>
      <c r="D287" s="247"/>
      <c r="E287" s="256"/>
      <c r="F287" s="557"/>
      <c r="G287" s="557"/>
      <c r="H287" s="256">
        <v>301.39999999999998</v>
      </c>
      <c r="I287" s="557">
        <v>24</v>
      </c>
      <c r="J287" s="557"/>
      <c r="K287" s="256"/>
      <c r="L287" s="257"/>
      <c r="M287" s="256">
        <v>380</v>
      </c>
      <c r="N287" s="257">
        <v>24</v>
      </c>
      <c r="O287" s="258">
        <v>681.4</v>
      </c>
      <c r="P287" s="250"/>
      <c r="Q287" s="256"/>
      <c r="R287" s="257"/>
      <c r="S287" s="256"/>
      <c r="T287" s="557"/>
      <c r="U287" s="557"/>
      <c r="V287" s="256"/>
      <c r="W287" s="250"/>
      <c r="X287" s="556">
        <v>681.4</v>
      </c>
      <c r="Y287" s="556"/>
      <c r="Z287" s="250"/>
      <c r="AA287" s="267">
        <v>8723900</v>
      </c>
      <c r="AB287" s="565"/>
      <c r="AC287" s="565"/>
      <c r="AD287" s="242"/>
    </row>
    <row r="288" spans="1:30">
      <c r="A288" s="242"/>
      <c r="B288" s="559"/>
      <c r="C288" s="559"/>
      <c r="D288" s="247"/>
      <c r="E288" s="250"/>
      <c r="F288" s="554"/>
      <c r="G288" s="554"/>
      <c r="H288" s="250"/>
      <c r="I288" s="554"/>
      <c r="J288" s="554"/>
      <c r="K288" s="250"/>
      <c r="L288" s="250"/>
      <c r="M288" s="250"/>
      <c r="N288" s="250"/>
      <c r="O288" s="250"/>
      <c r="P288" s="250"/>
      <c r="Q288" s="250"/>
      <c r="R288" s="250"/>
      <c r="S288" s="250"/>
      <c r="T288" s="554"/>
      <c r="U288" s="554"/>
      <c r="V288" s="250"/>
      <c r="W288" s="250"/>
      <c r="X288" s="554"/>
      <c r="Y288" s="554"/>
      <c r="Z288" s="250"/>
      <c r="AA288" s="250"/>
      <c r="AB288" s="554"/>
      <c r="AC288" s="554"/>
      <c r="AD288" s="242"/>
    </row>
    <row r="289" spans="1:30">
      <c r="A289" s="242"/>
      <c r="B289" s="563">
        <v>39736</v>
      </c>
      <c r="C289" s="563"/>
      <c r="D289" s="247"/>
      <c r="E289" s="252">
        <v>0</v>
      </c>
      <c r="F289" s="564">
        <v>0</v>
      </c>
      <c r="G289" s="564"/>
      <c r="H289" s="252">
        <v>284.60000000000002</v>
      </c>
      <c r="I289" s="564">
        <v>24</v>
      </c>
      <c r="J289" s="564"/>
      <c r="K289" s="252">
        <v>0</v>
      </c>
      <c r="L289" s="253">
        <v>0</v>
      </c>
      <c r="M289" s="252">
        <v>334</v>
      </c>
      <c r="N289" s="253">
        <v>24</v>
      </c>
      <c r="O289" s="254">
        <v>618.6</v>
      </c>
      <c r="P289" s="250"/>
      <c r="Q289" s="252">
        <v>0</v>
      </c>
      <c r="R289" s="253">
        <v>0</v>
      </c>
      <c r="S289" s="252">
        <v>0</v>
      </c>
      <c r="T289" s="564">
        <v>0</v>
      </c>
      <c r="U289" s="564"/>
      <c r="V289" s="252">
        <v>0</v>
      </c>
      <c r="W289" s="250"/>
      <c r="X289" s="561">
        <v>618.6</v>
      </c>
      <c r="Y289" s="561"/>
      <c r="Z289" s="250"/>
      <c r="AA289" s="266">
        <v>8217600</v>
      </c>
      <c r="AB289" s="566">
        <v>0</v>
      </c>
      <c r="AC289" s="566"/>
      <c r="AD289" s="242"/>
    </row>
    <row r="290" spans="1:30">
      <c r="A290" s="242"/>
      <c r="B290" s="559"/>
      <c r="C290" s="559"/>
      <c r="D290" s="247"/>
      <c r="E290" s="250"/>
      <c r="F290" s="554"/>
      <c r="G290" s="554"/>
      <c r="H290" s="250"/>
      <c r="I290" s="554"/>
      <c r="J290" s="554"/>
      <c r="K290" s="250"/>
      <c r="L290" s="250"/>
      <c r="M290" s="250"/>
      <c r="N290" s="250"/>
      <c r="O290" s="250"/>
      <c r="P290" s="250"/>
      <c r="Q290" s="250"/>
      <c r="R290" s="250"/>
      <c r="S290" s="250"/>
      <c r="T290" s="554"/>
      <c r="U290" s="554"/>
      <c r="V290" s="250"/>
      <c r="W290" s="250"/>
      <c r="X290" s="554"/>
      <c r="Y290" s="554"/>
      <c r="Z290" s="250"/>
      <c r="AA290" s="250"/>
      <c r="AB290" s="554"/>
      <c r="AC290" s="554"/>
      <c r="AD290" s="242"/>
    </row>
    <row r="291" spans="1:30">
      <c r="A291" s="242"/>
      <c r="B291" s="558">
        <v>39737</v>
      </c>
      <c r="C291" s="558"/>
      <c r="D291" s="247"/>
      <c r="E291" s="256">
        <v>0</v>
      </c>
      <c r="F291" s="557">
        <v>0</v>
      </c>
      <c r="G291" s="557"/>
      <c r="H291" s="256">
        <v>281.5</v>
      </c>
      <c r="I291" s="557">
        <v>24</v>
      </c>
      <c r="J291" s="557"/>
      <c r="K291" s="256">
        <v>0</v>
      </c>
      <c r="L291" s="257">
        <v>0</v>
      </c>
      <c r="M291" s="256">
        <v>347</v>
      </c>
      <c r="N291" s="257">
        <v>24</v>
      </c>
      <c r="O291" s="258">
        <v>628.5</v>
      </c>
      <c r="P291" s="250"/>
      <c r="Q291" s="256">
        <v>0</v>
      </c>
      <c r="R291" s="257">
        <v>0</v>
      </c>
      <c r="S291" s="256">
        <v>0</v>
      </c>
      <c r="T291" s="557">
        <v>0</v>
      </c>
      <c r="U291" s="557"/>
      <c r="V291" s="256">
        <v>0</v>
      </c>
      <c r="W291" s="250"/>
      <c r="X291" s="556">
        <v>628.5</v>
      </c>
      <c r="Y291" s="556"/>
      <c r="Z291" s="250"/>
      <c r="AA291" s="267">
        <v>8274000</v>
      </c>
      <c r="AB291" s="565">
        <v>0</v>
      </c>
      <c r="AC291" s="565"/>
      <c r="AD291" s="242"/>
    </row>
    <row r="292" spans="1:30">
      <c r="A292" s="242"/>
      <c r="B292" s="559"/>
      <c r="C292" s="559"/>
      <c r="D292" s="247"/>
      <c r="E292" s="250"/>
      <c r="F292" s="554"/>
      <c r="G292" s="554"/>
      <c r="H292" s="250"/>
      <c r="I292" s="554"/>
      <c r="J292" s="554"/>
      <c r="K292" s="250"/>
      <c r="L292" s="250"/>
      <c r="M292" s="250"/>
      <c r="N292" s="250"/>
      <c r="O292" s="250"/>
      <c r="P292" s="250"/>
      <c r="Q292" s="250"/>
      <c r="R292" s="250"/>
      <c r="S292" s="250"/>
      <c r="T292" s="554"/>
      <c r="U292" s="554"/>
      <c r="V292" s="250"/>
      <c r="W292" s="250"/>
      <c r="X292" s="554"/>
      <c r="Y292" s="554"/>
      <c r="Z292" s="250"/>
      <c r="AA292" s="250"/>
      <c r="AB292" s="554"/>
      <c r="AC292" s="554"/>
      <c r="AD292" s="242"/>
    </row>
    <row r="293" spans="1:30">
      <c r="A293" s="242"/>
      <c r="B293" s="563">
        <v>39738</v>
      </c>
      <c r="C293" s="563"/>
      <c r="D293" s="247"/>
      <c r="E293" s="252">
        <v>0</v>
      </c>
      <c r="F293" s="564">
        <v>0</v>
      </c>
      <c r="G293" s="564"/>
      <c r="H293" s="252">
        <v>295.5</v>
      </c>
      <c r="I293" s="564">
        <v>24</v>
      </c>
      <c r="J293" s="564"/>
      <c r="K293" s="252">
        <v>0</v>
      </c>
      <c r="L293" s="253">
        <v>0</v>
      </c>
      <c r="M293" s="252">
        <v>366</v>
      </c>
      <c r="N293" s="253">
        <v>24</v>
      </c>
      <c r="O293" s="254">
        <v>661.5</v>
      </c>
      <c r="P293" s="250"/>
      <c r="Q293" s="252">
        <v>0</v>
      </c>
      <c r="R293" s="253">
        <v>0</v>
      </c>
      <c r="S293" s="252">
        <v>0</v>
      </c>
      <c r="T293" s="564">
        <v>0</v>
      </c>
      <c r="U293" s="564"/>
      <c r="V293" s="252">
        <v>0</v>
      </c>
      <c r="W293" s="250"/>
      <c r="X293" s="561">
        <v>661.5</v>
      </c>
      <c r="Y293" s="561"/>
      <c r="Z293" s="250"/>
      <c r="AA293" s="266">
        <v>8541900</v>
      </c>
      <c r="AB293" s="566">
        <v>0</v>
      </c>
      <c r="AC293" s="566"/>
      <c r="AD293" s="242"/>
    </row>
    <row r="294" spans="1:30">
      <c r="A294" s="242"/>
      <c r="B294" s="559"/>
      <c r="C294" s="559"/>
      <c r="D294" s="247"/>
      <c r="E294" s="250"/>
      <c r="F294" s="554"/>
      <c r="G294" s="554"/>
      <c r="H294" s="250"/>
      <c r="I294" s="554"/>
      <c r="J294" s="554"/>
      <c r="K294" s="250"/>
      <c r="L294" s="250"/>
      <c r="M294" s="250"/>
      <c r="N294" s="250"/>
      <c r="O294" s="250"/>
      <c r="P294" s="250"/>
      <c r="Q294" s="250"/>
      <c r="R294" s="250"/>
      <c r="S294" s="250"/>
      <c r="T294" s="554"/>
      <c r="U294" s="554"/>
      <c r="V294" s="250"/>
      <c r="W294" s="250"/>
      <c r="X294" s="554"/>
      <c r="Y294" s="554"/>
      <c r="Z294" s="250"/>
      <c r="AA294" s="250"/>
      <c r="AB294" s="554"/>
      <c r="AC294" s="554"/>
      <c r="AD294" s="242"/>
    </row>
    <row r="295" spans="1:30">
      <c r="A295" s="242"/>
      <c r="B295" s="558">
        <v>39739</v>
      </c>
      <c r="C295" s="558"/>
      <c r="D295" s="247"/>
      <c r="E295" s="256">
        <v>0</v>
      </c>
      <c r="F295" s="557">
        <v>0</v>
      </c>
      <c r="G295" s="557"/>
      <c r="H295" s="256">
        <v>288</v>
      </c>
      <c r="I295" s="557">
        <v>24</v>
      </c>
      <c r="J295" s="557"/>
      <c r="K295" s="256">
        <v>0</v>
      </c>
      <c r="L295" s="257">
        <v>0</v>
      </c>
      <c r="M295" s="256">
        <v>378</v>
      </c>
      <c r="N295" s="257">
        <v>24</v>
      </c>
      <c r="O295" s="258">
        <v>666</v>
      </c>
      <c r="P295" s="250"/>
      <c r="Q295" s="256">
        <v>0</v>
      </c>
      <c r="R295" s="257">
        <v>0</v>
      </c>
      <c r="S295" s="256">
        <v>0</v>
      </c>
      <c r="T295" s="557">
        <v>0</v>
      </c>
      <c r="U295" s="557"/>
      <c r="V295" s="256">
        <v>0</v>
      </c>
      <c r="W295" s="250"/>
      <c r="X295" s="556">
        <v>666</v>
      </c>
      <c r="Y295" s="556"/>
      <c r="Z295" s="250"/>
      <c r="AA295" s="267">
        <v>8528100</v>
      </c>
      <c r="AB295" s="565"/>
      <c r="AC295" s="565"/>
      <c r="AD295" s="242"/>
    </row>
    <row r="296" spans="1:30">
      <c r="A296" s="242"/>
      <c r="B296" s="559"/>
      <c r="C296" s="559"/>
      <c r="D296" s="247"/>
      <c r="E296" s="250"/>
      <c r="F296" s="554"/>
      <c r="G296" s="554"/>
      <c r="H296" s="250"/>
      <c r="I296" s="554"/>
      <c r="J296" s="554"/>
      <c r="K296" s="250"/>
      <c r="L296" s="250"/>
      <c r="M296" s="250"/>
      <c r="N296" s="250"/>
      <c r="O296" s="250"/>
      <c r="P296" s="250"/>
      <c r="Q296" s="250"/>
      <c r="R296" s="250"/>
      <c r="S296" s="250"/>
      <c r="T296" s="554"/>
      <c r="U296" s="554"/>
      <c r="V296" s="250"/>
      <c r="W296" s="250"/>
      <c r="X296" s="554"/>
      <c r="Y296" s="554"/>
      <c r="Z296" s="250"/>
      <c r="AA296" s="250"/>
      <c r="AB296" s="554"/>
      <c r="AC296" s="554"/>
      <c r="AD296" s="242"/>
    </row>
    <row r="297" spans="1:30">
      <c r="A297" s="242"/>
      <c r="B297" s="563">
        <v>39740</v>
      </c>
      <c r="C297" s="563"/>
      <c r="D297" s="247"/>
      <c r="E297" s="252">
        <v>2.1</v>
      </c>
      <c r="F297" s="564">
        <v>2</v>
      </c>
      <c r="G297" s="564"/>
      <c r="H297" s="252">
        <v>269.89999999999998</v>
      </c>
      <c r="I297" s="564">
        <v>24</v>
      </c>
      <c r="J297" s="564"/>
      <c r="K297" s="252"/>
      <c r="L297" s="253"/>
      <c r="M297" s="252">
        <v>377</v>
      </c>
      <c r="N297" s="253">
        <v>24</v>
      </c>
      <c r="O297" s="254">
        <v>649</v>
      </c>
      <c r="P297" s="250"/>
      <c r="Q297" s="252"/>
      <c r="R297" s="253"/>
      <c r="S297" s="252">
        <v>47</v>
      </c>
      <c r="T297" s="564">
        <v>6</v>
      </c>
      <c r="U297" s="564"/>
      <c r="V297" s="252">
        <v>47</v>
      </c>
      <c r="W297" s="250"/>
      <c r="X297" s="561">
        <v>696</v>
      </c>
      <c r="Y297" s="561"/>
      <c r="Z297" s="250"/>
      <c r="AA297" s="266">
        <v>8417500</v>
      </c>
      <c r="AB297" s="566">
        <v>6397</v>
      </c>
      <c r="AC297" s="566"/>
      <c r="AD297" s="242"/>
    </row>
    <row r="298" spans="1:30">
      <c r="A298" s="242"/>
      <c r="B298" s="559"/>
      <c r="C298" s="559"/>
      <c r="D298" s="247"/>
      <c r="E298" s="250"/>
      <c r="F298" s="554"/>
      <c r="G298" s="554"/>
      <c r="H298" s="250"/>
      <c r="I298" s="554"/>
      <c r="J298" s="554"/>
      <c r="K298" s="250"/>
      <c r="L298" s="250"/>
      <c r="M298" s="250"/>
      <c r="N298" s="250"/>
      <c r="O298" s="250"/>
      <c r="P298" s="250"/>
      <c r="Q298" s="250"/>
      <c r="R298" s="250"/>
      <c r="S298" s="250"/>
      <c r="T298" s="554"/>
      <c r="U298" s="554"/>
      <c r="V298" s="250"/>
      <c r="W298" s="250"/>
      <c r="X298" s="554"/>
      <c r="Y298" s="554"/>
      <c r="Z298" s="250"/>
      <c r="AA298" s="250"/>
      <c r="AB298" s="554"/>
      <c r="AC298" s="554"/>
      <c r="AD298" s="242"/>
    </row>
    <row r="299" spans="1:30">
      <c r="A299" s="242"/>
      <c r="B299" s="558">
        <v>39741</v>
      </c>
      <c r="C299" s="558"/>
      <c r="D299" s="247"/>
      <c r="E299" s="256"/>
      <c r="F299" s="557"/>
      <c r="G299" s="557"/>
      <c r="H299" s="256">
        <v>272.10000000000002</v>
      </c>
      <c r="I299" s="557">
        <v>24</v>
      </c>
      <c r="J299" s="557"/>
      <c r="K299" s="256"/>
      <c r="L299" s="257"/>
      <c r="M299" s="256">
        <v>334</v>
      </c>
      <c r="N299" s="257">
        <v>24</v>
      </c>
      <c r="O299" s="258">
        <v>606.1</v>
      </c>
      <c r="P299" s="250"/>
      <c r="Q299" s="256"/>
      <c r="R299" s="257"/>
      <c r="S299" s="256"/>
      <c r="T299" s="557"/>
      <c r="U299" s="557"/>
      <c r="V299" s="256"/>
      <c r="W299" s="250"/>
      <c r="X299" s="556">
        <v>606.1</v>
      </c>
      <c r="Y299" s="556"/>
      <c r="Z299" s="250"/>
      <c r="AA299" s="267">
        <v>8057200</v>
      </c>
      <c r="AB299" s="565"/>
      <c r="AC299" s="565"/>
      <c r="AD299" s="242"/>
    </row>
    <row r="300" spans="1:30">
      <c r="A300" s="242"/>
      <c r="B300" s="559"/>
      <c r="C300" s="559"/>
      <c r="D300" s="247"/>
      <c r="E300" s="250"/>
      <c r="F300" s="554"/>
      <c r="G300" s="554"/>
      <c r="H300" s="250"/>
      <c r="I300" s="554"/>
      <c r="J300" s="554"/>
      <c r="K300" s="250"/>
      <c r="L300" s="250"/>
      <c r="M300" s="250"/>
      <c r="N300" s="250"/>
      <c r="O300" s="250"/>
      <c r="P300" s="250"/>
      <c r="Q300" s="250"/>
      <c r="R300" s="250"/>
      <c r="S300" s="250"/>
      <c r="T300" s="554"/>
      <c r="U300" s="554"/>
      <c r="V300" s="250"/>
      <c r="W300" s="250"/>
      <c r="X300" s="554"/>
      <c r="Y300" s="554"/>
      <c r="Z300" s="250"/>
      <c r="AA300" s="250"/>
      <c r="AB300" s="554"/>
      <c r="AC300" s="554"/>
      <c r="AD300" s="242"/>
    </row>
    <row r="301" spans="1:30">
      <c r="A301" s="242"/>
      <c r="B301" s="563">
        <v>39742</v>
      </c>
      <c r="C301" s="563"/>
      <c r="D301" s="247"/>
      <c r="E301" s="252"/>
      <c r="F301" s="564">
        <v>4</v>
      </c>
      <c r="G301" s="564"/>
      <c r="H301" s="252">
        <v>226.4</v>
      </c>
      <c r="I301" s="564">
        <v>24</v>
      </c>
      <c r="J301" s="564"/>
      <c r="K301" s="252"/>
      <c r="L301" s="253"/>
      <c r="M301" s="252">
        <v>278</v>
      </c>
      <c r="N301" s="253">
        <v>24</v>
      </c>
      <c r="O301" s="254">
        <v>504.4</v>
      </c>
      <c r="P301" s="250"/>
      <c r="Q301" s="252"/>
      <c r="R301" s="253"/>
      <c r="S301" s="252"/>
      <c r="T301" s="564"/>
      <c r="U301" s="564"/>
      <c r="V301" s="252"/>
      <c r="W301" s="250"/>
      <c r="X301" s="561">
        <v>504.4</v>
      </c>
      <c r="Y301" s="561"/>
      <c r="Z301" s="250"/>
      <c r="AA301" s="266">
        <v>7354745</v>
      </c>
      <c r="AB301" s="566">
        <v>10430</v>
      </c>
      <c r="AC301" s="566"/>
      <c r="AD301" s="242"/>
    </row>
    <row r="302" spans="1:30">
      <c r="A302" s="242"/>
      <c r="B302" s="559"/>
      <c r="C302" s="559"/>
      <c r="D302" s="247"/>
      <c r="E302" s="250"/>
      <c r="F302" s="554"/>
      <c r="G302" s="554"/>
      <c r="H302" s="250"/>
      <c r="I302" s="554"/>
      <c r="J302" s="554"/>
      <c r="K302" s="250"/>
      <c r="L302" s="250"/>
      <c r="M302" s="250"/>
      <c r="N302" s="250"/>
      <c r="O302" s="250"/>
      <c r="P302" s="250"/>
      <c r="Q302" s="250"/>
      <c r="R302" s="250"/>
      <c r="S302" s="250"/>
      <c r="T302" s="554"/>
      <c r="U302" s="554"/>
      <c r="V302" s="250"/>
      <c r="W302" s="250"/>
      <c r="X302" s="554"/>
      <c r="Y302" s="554"/>
      <c r="Z302" s="250"/>
      <c r="AA302" s="250"/>
      <c r="AB302" s="554"/>
      <c r="AC302" s="554"/>
      <c r="AD302" s="242"/>
    </row>
    <row r="303" spans="1:30">
      <c r="A303" s="242"/>
      <c r="B303" s="558">
        <v>39743</v>
      </c>
      <c r="C303" s="558"/>
      <c r="D303" s="247"/>
      <c r="E303" s="256">
        <v>0</v>
      </c>
      <c r="F303" s="557">
        <v>24</v>
      </c>
      <c r="G303" s="557"/>
      <c r="H303" s="256">
        <v>251.2</v>
      </c>
      <c r="I303" s="557">
        <v>24</v>
      </c>
      <c r="J303" s="557"/>
      <c r="K303" s="256">
        <v>0</v>
      </c>
      <c r="L303" s="257">
        <v>0</v>
      </c>
      <c r="M303" s="256">
        <v>313</v>
      </c>
      <c r="N303" s="257">
        <v>0</v>
      </c>
      <c r="O303" s="258">
        <v>564.20000000000005</v>
      </c>
      <c r="P303" s="250"/>
      <c r="Q303" s="256">
        <v>0</v>
      </c>
      <c r="R303" s="257">
        <v>0</v>
      </c>
      <c r="S303" s="256">
        <v>0</v>
      </c>
      <c r="T303" s="557">
        <v>0</v>
      </c>
      <c r="U303" s="557"/>
      <c r="V303" s="256">
        <v>0</v>
      </c>
      <c r="W303" s="250"/>
      <c r="X303" s="556">
        <v>564.20000000000005</v>
      </c>
      <c r="Y303" s="556"/>
      <c r="Z303" s="250"/>
      <c r="AA303" s="267">
        <v>7727800</v>
      </c>
      <c r="AB303" s="565">
        <v>70210</v>
      </c>
      <c r="AC303" s="565"/>
      <c r="AD303" s="242"/>
    </row>
    <row r="304" spans="1:30">
      <c r="A304" s="242"/>
      <c r="B304" s="559"/>
      <c r="C304" s="559"/>
      <c r="D304" s="247"/>
      <c r="E304" s="250"/>
      <c r="F304" s="554"/>
      <c r="G304" s="554"/>
      <c r="H304" s="250"/>
      <c r="I304" s="554"/>
      <c r="J304" s="554"/>
      <c r="K304" s="250"/>
      <c r="L304" s="250"/>
      <c r="M304" s="250"/>
      <c r="N304" s="250"/>
      <c r="O304" s="250"/>
      <c r="P304" s="250"/>
      <c r="Q304" s="250"/>
      <c r="R304" s="250"/>
      <c r="S304" s="250"/>
      <c r="T304" s="554"/>
      <c r="U304" s="554"/>
      <c r="V304" s="250"/>
      <c r="W304" s="250"/>
      <c r="X304" s="554"/>
      <c r="Y304" s="554"/>
      <c r="Z304" s="250"/>
      <c r="AA304" s="250"/>
      <c r="AB304" s="554"/>
      <c r="AC304" s="554"/>
      <c r="AD304" s="242"/>
    </row>
    <row r="305" spans="1:30">
      <c r="A305" s="242"/>
      <c r="B305" s="563">
        <v>39744</v>
      </c>
      <c r="C305" s="563"/>
      <c r="D305" s="247"/>
      <c r="E305" s="252">
        <v>0</v>
      </c>
      <c r="F305" s="564">
        <v>12</v>
      </c>
      <c r="G305" s="564"/>
      <c r="H305" s="252">
        <v>249.9</v>
      </c>
      <c r="I305" s="564">
        <v>24</v>
      </c>
      <c r="J305" s="564"/>
      <c r="K305" s="252">
        <v>0</v>
      </c>
      <c r="L305" s="253">
        <v>0</v>
      </c>
      <c r="M305" s="252">
        <v>305</v>
      </c>
      <c r="N305" s="253">
        <v>24</v>
      </c>
      <c r="O305" s="254">
        <v>554.9</v>
      </c>
      <c r="P305" s="250"/>
      <c r="Q305" s="252">
        <v>0</v>
      </c>
      <c r="R305" s="253">
        <v>0</v>
      </c>
      <c r="S305" s="252">
        <v>0</v>
      </c>
      <c r="T305" s="564">
        <v>0</v>
      </c>
      <c r="U305" s="564"/>
      <c r="V305" s="252">
        <v>0</v>
      </c>
      <c r="W305" s="250"/>
      <c r="X305" s="561">
        <v>554.9</v>
      </c>
      <c r="Y305" s="561"/>
      <c r="Z305" s="250"/>
      <c r="AA305" s="266">
        <v>7668600</v>
      </c>
      <c r="AB305" s="566">
        <v>36246</v>
      </c>
      <c r="AC305" s="566"/>
      <c r="AD305" s="242"/>
    </row>
    <row r="306" spans="1:30">
      <c r="A306" s="242"/>
      <c r="B306" s="559"/>
      <c r="C306" s="559"/>
      <c r="D306" s="247"/>
      <c r="E306" s="250"/>
      <c r="F306" s="554"/>
      <c r="G306" s="554"/>
      <c r="H306" s="250"/>
      <c r="I306" s="554"/>
      <c r="J306" s="554"/>
      <c r="K306" s="250"/>
      <c r="L306" s="250"/>
      <c r="M306" s="250"/>
      <c r="N306" s="250"/>
      <c r="O306" s="250"/>
      <c r="P306" s="250"/>
      <c r="Q306" s="250"/>
      <c r="R306" s="250"/>
      <c r="S306" s="250"/>
      <c r="T306" s="554"/>
      <c r="U306" s="554"/>
      <c r="V306" s="250"/>
      <c r="W306" s="250"/>
      <c r="X306" s="554"/>
      <c r="Y306" s="554"/>
      <c r="Z306" s="250"/>
      <c r="AA306" s="250"/>
      <c r="AB306" s="554"/>
      <c r="AC306" s="554"/>
      <c r="AD306" s="242"/>
    </row>
    <row r="307" spans="1:30">
      <c r="A307" s="242"/>
      <c r="B307" s="558">
        <v>39745</v>
      </c>
      <c r="C307" s="558"/>
      <c r="D307" s="247"/>
      <c r="E307" s="256">
        <v>0</v>
      </c>
      <c r="F307" s="557">
        <v>0</v>
      </c>
      <c r="G307" s="557"/>
      <c r="H307" s="256">
        <v>250.5</v>
      </c>
      <c r="I307" s="557">
        <v>24</v>
      </c>
      <c r="J307" s="557"/>
      <c r="K307" s="256">
        <v>0</v>
      </c>
      <c r="L307" s="257">
        <v>0</v>
      </c>
      <c r="M307" s="256">
        <v>305</v>
      </c>
      <c r="N307" s="257">
        <v>24</v>
      </c>
      <c r="O307" s="258">
        <v>555.5</v>
      </c>
      <c r="P307" s="250"/>
      <c r="Q307" s="256">
        <v>0</v>
      </c>
      <c r="R307" s="257">
        <v>0</v>
      </c>
      <c r="S307" s="256">
        <v>0</v>
      </c>
      <c r="T307" s="557">
        <v>0</v>
      </c>
      <c r="U307" s="557"/>
      <c r="V307" s="256">
        <v>0</v>
      </c>
      <c r="W307" s="250"/>
      <c r="X307" s="556">
        <v>555.5</v>
      </c>
      <c r="Y307" s="556"/>
      <c r="Z307" s="250"/>
      <c r="AA307" s="267">
        <v>7698400</v>
      </c>
      <c r="AB307" s="565">
        <v>0</v>
      </c>
      <c r="AC307" s="565"/>
      <c r="AD307" s="242"/>
    </row>
    <row r="308" spans="1:30">
      <c r="A308" s="242"/>
      <c r="B308" s="559"/>
      <c r="C308" s="559"/>
      <c r="D308" s="247"/>
      <c r="E308" s="250"/>
      <c r="F308" s="554"/>
      <c r="G308" s="554"/>
      <c r="H308" s="250"/>
      <c r="I308" s="554"/>
      <c r="J308" s="554"/>
      <c r="K308" s="250"/>
      <c r="L308" s="250"/>
      <c r="M308" s="250"/>
      <c r="N308" s="250"/>
      <c r="O308" s="250"/>
      <c r="P308" s="250"/>
      <c r="Q308" s="250"/>
      <c r="R308" s="250"/>
      <c r="S308" s="250"/>
      <c r="T308" s="554"/>
      <c r="U308" s="554"/>
      <c r="V308" s="250"/>
      <c r="W308" s="250"/>
      <c r="X308" s="554"/>
      <c r="Y308" s="554"/>
      <c r="Z308" s="250"/>
      <c r="AA308" s="250"/>
      <c r="AB308" s="554"/>
      <c r="AC308" s="554"/>
      <c r="AD308" s="242"/>
    </row>
    <row r="309" spans="1:30">
      <c r="A309" s="242"/>
      <c r="B309" s="563">
        <v>39746</v>
      </c>
      <c r="C309" s="563"/>
      <c r="D309" s="247"/>
      <c r="E309" s="252">
        <v>0</v>
      </c>
      <c r="F309" s="564">
        <v>0</v>
      </c>
      <c r="G309" s="564"/>
      <c r="H309" s="252">
        <v>231.3</v>
      </c>
      <c r="I309" s="564">
        <v>24</v>
      </c>
      <c r="J309" s="564"/>
      <c r="K309" s="252">
        <v>0</v>
      </c>
      <c r="L309" s="253">
        <v>0</v>
      </c>
      <c r="M309" s="252">
        <v>320</v>
      </c>
      <c r="N309" s="253">
        <v>24</v>
      </c>
      <c r="O309" s="254">
        <v>551.29999999999995</v>
      </c>
      <c r="P309" s="250"/>
      <c r="Q309" s="252">
        <v>0</v>
      </c>
      <c r="R309" s="253">
        <v>0</v>
      </c>
      <c r="S309" s="252">
        <v>0</v>
      </c>
      <c r="T309" s="564">
        <v>0</v>
      </c>
      <c r="U309" s="564"/>
      <c r="V309" s="252">
        <v>0</v>
      </c>
      <c r="W309" s="250"/>
      <c r="X309" s="561">
        <v>551.29999999999995</v>
      </c>
      <c r="Y309" s="561"/>
      <c r="Z309" s="250"/>
      <c r="AA309" s="266">
        <v>7647800</v>
      </c>
      <c r="AB309" s="566">
        <v>0</v>
      </c>
      <c r="AC309" s="566"/>
      <c r="AD309" s="242"/>
    </row>
    <row r="310" spans="1:30">
      <c r="A310" s="242"/>
      <c r="B310" s="559"/>
      <c r="C310" s="559"/>
      <c r="D310" s="247"/>
      <c r="E310" s="250"/>
      <c r="F310" s="554"/>
      <c r="G310" s="554"/>
      <c r="H310" s="250"/>
      <c r="I310" s="554"/>
      <c r="J310" s="554"/>
      <c r="K310" s="250"/>
      <c r="L310" s="250"/>
      <c r="M310" s="250"/>
      <c r="N310" s="250"/>
      <c r="O310" s="250"/>
      <c r="P310" s="250"/>
      <c r="Q310" s="250"/>
      <c r="R310" s="250"/>
      <c r="S310" s="250"/>
      <c r="T310" s="554"/>
      <c r="U310" s="554"/>
      <c r="V310" s="250"/>
      <c r="W310" s="250"/>
      <c r="X310" s="554"/>
      <c r="Y310" s="554"/>
      <c r="Z310" s="250"/>
      <c r="AA310" s="250"/>
      <c r="AB310" s="554"/>
      <c r="AC310" s="554"/>
      <c r="AD310" s="242"/>
    </row>
    <row r="311" spans="1:30">
      <c r="A311" s="242"/>
      <c r="B311" s="558">
        <v>39747</v>
      </c>
      <c r="C311" s="558"/>
      <c r="D311" s="247"/>
      <c r="E311" s="256">
        <v>0</v>
      </c>
      <c r="F311" s="557">
        <v>0</v>
      </c>
      <c r="G311" s="557"/>
      <c r="H311" s="256">
        <v>219.2</v>
      </c>
      <c r="I311" s="557">
        <v>24</v>
      </c>
      <c r="J311" s="557"/>
      <c r="K311" s="256">
        <v>0</v>
      </c>
      <c r="L311" s="257">
        <v>0</v>
      </c>
      <c r="M311" s="256">
        <v>345</v>
      </c>
      <c r="N311" s="257">
        <v>24</v>
      </c>
      <c r="O311" s="258">
        <v>564.20000000000005</v>
      </c>
      <c r="P311" s="250"/>
      <c r="Q311" s="256">
        <v>0</v>
      </c>
      <c r="R311" s="257">
        <v>0</v>
      </c>
      <c r="S311" s="256">
        <v>0</v>
      </c>
      <c r="T311" s="557">
        <v>0</v>
      </c>
      <c r="U311" s="557"/>
      <c r="V311" s="256">
        <v>0</v>
      </c>
      <c r="W311" s="250"/>
      <c r="X311" s="556">
        <v>564.20000000000005</v>
      </c>
      <c r="Y311" s="556"/>
      <c r="Z311" s="250"/>
      <c r="AA311" s="267">
        <v>7756700</v>
      </c>
      <c r="AB311" s="565">
        <v>0</v>
      </c>
      <c r="AC311" s="565"/>
      <c r="AD311" s="242"/>
    </row>
    <row r="312" spans="1:30">
      <c r="A312" s="242"/>
      <c r="B312" s="559"/>
      <c r="C312" s="559"/>
      <c r="D312" s="247"/>
      <c r="E312" s="250"/>
      <c r="F312" s="554"/>
      <c r="G312" s="554"/>
      <c r="H312" s="250"/>
      <c r="I312" s="554"/>
      <c r="J312" s="554"/>
      <c r="K312" s="250"/>
      <c r="L312" s="250"/>
      <c r="M312" s="250"/>
      <c r="N312" s="250"/>
      <c r="O312" s="250"/>
      <c r="P312" s="250"/>
      <c r="Q312" s="250"/>
      <c r="R312" s="250"/>
      <c r="S312" s="250"/>
      <c r="T312" s="554"/>
      <c r="U312" s="554"/>
      <c r="V312" s="250"/>
      <c r="W312" s="250"/>
      <c r="X312" s="554"/>
      <c r="Y312" s="554"/>
      <c r="Z312" s="250"/>
      <c r="AA312" s="250"/>
      <c r="AB312" s="554"/>
      <c r="AC312" s="554"/>
      <c r="AD312" s="242"/>
    </row>
    <row r="313" spans="1:30">
      <c r="A313" s="242"/>
      <c r="B313" s="563">
        <v>39748</v>
      </c>
      <c r="C313" s="563"/>
      <c r="D313" s="247"/>
      <c r="E313" s="252"/>
      <c r="F313" s="564"/>
      <c r="G313" s="564"/>
      <c r="H313" s="252">
        <v>229</v>
      </c>
      <c r="I313" s="564">
        <v>24</v>
      </c>
      <c r="J313" s="564"/>
      <c r="K313" s="252"/>
      <c r="L313" s="253"/>
      <c r="M313" s="252">
        <v>335</v>
      </c>
      <c r="N313" s="253">
        <v>24</v>
      </c>
      <c r="O313" s="254">
        <v>564</v>
      </c>
      <c r="P313" s="250"/>
      <c r="Q313" s="252"/>
      <c r="R313" s="253"/>
      <c r="S313" s="252"/>
      <c r="T313" s="564"/>
      <c r="U313" s="564"/>
      <c r="V313" s="252"/>
      <c r="W313" s="250"/>
      <c r="X313" s="561">
        <v>564</v>
      </c>
      <c r="Y313" s="561"/>
      <c r="Z313" s="250"/>
      <c r="AA313" s="266">
        <v>7880500</v>
      </c>
      <c r="AB313" s="566"/>
      <c r="AC313" s="566"/>
      <c r="AD313" s="242"/>
    </row>
    <row r="314" spans="1:30">
      <c r="A314" s="242"/>
      <c r="B314" s="559"/>
      <c r="C314" s="559"/>
      <c r="D314" s="247"/>
      <c r="E314" s="250"/>
      <c r="F314" s="554"/>
      <c r="G314" s="554"/>
      <c r="H314" s="250"/>
      <c r="I314" s="554"/>
      <c r="J314" s="554"/>
      <c r="K314" s="250"/>
      <c r="L314" s="250"/>
      <c r="M314" s="250"/>
      <c r="N314" s="250"/>
      <c r="O314" s="250"/>
      <c r="P314" s="250"/>
      <c r="Q314" s="250"/>
      <c r="R314" s="250"/>
      <c r="S314" s="250"/>
      <c r="T314" s="554"/>
      <c r="U314" s="554"/>
      <c r="V314" s="250"/>
      <c r="W314" s="250"/>
      <c r="X314" s="554"/>
      <c r="Y314" s="554"/>
      <c r="Z314" s="250"/>
      <c r="AA314" s="250"/>
      <c r="AB314" s="554"/>
      <c r="AC314" s="554"/>
      <c r="AD314" s="242"/>
    </row>
    <row r="315" spans="1:30">
      <c r="A315" s="242"/>
      <c r="B315" s="558">
        <v>39749</v>
      </c>
      <c r="C315" s="558"/>
      <c r="D315" s="247"/>
      <c r="E315" s="256"/>
      <c r="F315" s="557">
        <v>3</v>
      </c>
      <c r="G315" s="557"/>
      <c r="H315" s="256">
        <v>213.3</v>
      </c>
      <c r="I315" s="557">
        <v>24</v>
      </c>
      <c r="J315" s="557"/>
      <c r="K315" s="256"/>
      <c r="L315" s="257"/>
      <c r="M315" s="256">
        <v>339</v>
      </c>
      <c r="N315" s="257">
        <v>24</v>
      </c>
      <c r="O315" s="258">
        <v>552.29999999999995</v>
      </c>
      <c r="P315" s="250"/>
      <c r="Q315" s="256"/>
      <c r="R315" s="257"/>
      <c r="S315" s="256"/>
      <c r="T315" s="557"/>
      <c r="U315" s="557"/>
      <c r="V315" s="256"/>
      <c r="W315" s="250"/>
      <c r="X315" s="556">
        <v>552.29999999999995</v>
      </c>
      <c r="Y315" s="556"/>
      <c r="Z315" s="250"/>
      <c r="AA315" s="267">
        <v>7654300</v>
      </c>
      <c r="AB315" s="565">
        <v>9844</v>
      </c>
      <c r="AC315" s="565"/>
      <c r="AD315" s="242"/>
    </row>
    <row r="316" spans="1:30">
      <c r="A316" s="242"/>
      <c r="B316" s="559"/>
      <c r="C316" s="559"/>
      <c r="D316" s="247"/>
      <c r="E316" s="250"/>
      <c r="F316" s="554"/>
      <c r="G316" s="554"/>
      <c r="H316" s="250"/>
      <c r="I316" s="554"/>
      <c r="J316" s="554"/>
      <c r="K316" s="250"/>
      <c r="L316" s="250"/>
      <c r="M316" s="250"/>
      <c r="N316" s="250"/>
      <c r="O316" s="250"/>
      <c r="P316" s="250"/>
      <c r="Q316" s="250"/>
      <c r="R316" s="250"/>
      <c r="S316" s="250"/>
      <c r="T316" s="554"/>
      <c r="U316" s="554"/>
      <c r="V316" s="250"/>
      <c r="W316" s="250"/>
      <c r="X316" s="554"/>
      <c r="Y316" s="554"/>
      <c r="Z316" s="250"/>
      <c r="AA316" s="250"/>
      <c r="AB316" s="554"/>
      <c r="AC316" s="554"/>
      <c r="AD316" s="242"/>
    </row>
    <row r="317" spans="1:30">
      <c r="A317" s="242"/>
      <c r="B317" s="563">
        <v>39750</v>
      </c>
      <c r="C317" s="563"/>
      <c r="D317" s="247"/>
      <c r="E317" s="252">
        <v>42.4</v>
      </c>
      <c r="F317" s="564">
        <v>24</v>
      </c>
      <c r="G317" s="564"/>
      <c r="H317" s="252">
        <v>216.8</v>
      </c>
      <c r="I317" s="564">
        <v>24</v>
      </c>
      <c r="J317" s="564"/>
      <c r="K317" s="252">
        <v>0</v>
      </c>
      <c r="L317" s="253">
        <v>0</v>
      </c>
      <c r="M317" s="252">
        <v>317</v>
      </c>
      <c r="N317" s="253">
        <v>24</v>
      </c>
      <c r="O317" s="254">
        <v>576.20000000000005</v>
      </c>
      <c r="P317" s="250"/>
      <c r="Q317" s="252">
        <v>0</v>
      </c>
      <c r="R317" s="253">
        <v>0</v>
      </c>
      <c r="S317" s="252">
        <v>0</v>
      </c>
      <c r="T317" s="564">
        <v>0</v>
      </c>
      <c r="U317" s="564"/>
      <c r="V317" s="252">
        <v>0</v>
      </c>
      <c r="W317" s="250"/>
      <c r="X317" s="561">
        <v>576.20000000000005</v>
      </c>
      <c r="Y317" s="561"/>
      <c r="Z317" s="250"/>
      <c r="AA317" s="266">
        <v>6680800</v>
      </c>
      <c r="AB317" s="566">
        <v>109827</v>
      </c>
      <c r="AC317" s="566"/>
      <c r="AD317" s="242"/>
    </row>
    <row r="318" spans="1:30">
      <c r="A318" s="242"/>
      <c r="B318" s="559"/>
      <c r="C318" s="559"/>
      <c r="D318" s="247"/>
      <c r="E318" s="250"/>
      <c r="F318" s="554"/>
      <c r="G318" s="554"/>
      <c r="H318" s="250"/>
      <c r="I318" s="554"/>
      <c r="J318" s="554"/>
      <c r="K318" s="250"/>
      <c r="L318" s="250"/>
      <c r="M318" s="250"/>
      <c r="N318" s="250"/>
      <c r="O318" s="250"/>
      <c r="P318" s="250"/>
      <c r="Q318" s="250"/>
      <c r="R318" s="250"/>
      <c r="S318" s="250"/>
      <c r="T318" s="554"/>
      <c r="U318" s="554"/>
      <c r="V318" s="250"/>
      <c r="W318" s="250"/>
      <c r="X318" s="554"/>
      <c r="Y318" s="554"/>
      <c r="Z318" s="250"/>
      <c r="AA318" s="250"/>
      <c r="AB318" s="554"/>
      <c r="AC318" s="554"/>
      <c r="AD318" s="242"/>
    </row>
    <row r="319" spans="1:30">
      <c r="A319" s="242"/>
      <c r="B319" s="558">
        <v>39751</v>
      </c>
      <c r="C319" s="558"/>
      <c r="D319" s="247"/>
      <c r="E319" s="256">
        <v>0</v>
      </c>
      <c r="F319" s="557">
        <v>24</v>
      </c>
      <c r="G319" s="557"/>
      <c r="H319" s="256">
        <v>248.9</v>
      </c>
      <c r="I319" s="557">
        <v>24</v>
      </c>
      <c r="J319" s="557"/>
      <c r="K319" s="256">
        <v>0</v>
      </c>
      <c r="L319" s="257">
        <v>0</v>
      </c>
      <c r="M319" s="256">
        <v>358</v>
      </c>
      <c r="N319" s="257">
        <v>24</v>
      </c>
      <c r="O319" s="258">
        <v>606.9</v>
      </c>
      <c r="P319" s="250"/>
      <c r="Q319" s="256">
        <v>0</v>
      </c>
      <c r="R319" s="257">
        <v>0</v>
      </c>
      <c r="S319" s="256">
        <v>0</v>
      </c>
      <c r="T319" s="557">
        <v>0</v>
      </c>
      <c r="U319" s="557"/>
      <c r="V319" s="256">
        <v>0</v>
      </c>
      <c r="W319" s="250"/>
      <c r="X319" s="556">
        <v>606.9</v>
      </c>
      <c r="Y319" s="556"/>
      <c r="Z319" s="250"/>
      <c r="AA319" s="267">
        <v>8061700</v>
      </c>
      <c r="AB319" s="565">
        <v>70578</v>
      </c>
      <c r="AC319" s="565"/>
      <c r="AD319" s="242"/>
    </row>
    <row r="320" spans="1:30">
      <c r="A320" s="242"/>
      <c r="B320" s="559"/>
      <c r="C320" s="559"/>
      <c r="D320" s="247"/>
      <c r="E320" s="250"/>
      <c r="F320" s="554"/>
      <c r="G320" s="554"/>
      <c r="H320" s="250"/>
      <c r="I320" s="554"/>
      <c r="J320" s="554"/>
      <c r="K320" s="250"/>
      <c r="L320" s="250"/>
      <c r="M320" s="250"/>
      <c r="N320" s="250"/>
      <c r="O320" s="250"/>
      <c r="P320" s="250"/>
      <c r="Q320" s="250"/>
      <c r="R320" s="250"/>
      <c r="S320" s="250"/>
      <c r="T320" s="554"/>
      <c r="U320" s="554"/>
      <c r="V320" s="250"/>
      <c r="W320" s="250"/>
      <c r="X320" s="554"/>
      <c r="Y320" s="554"/>
      <c r="Z320" s="250"/>
      <c r="AA320" s="250"/>
      <c r="AB320" s="554"/>
      <c r="AC320" s="554"/>
      <c r="AD320" s="242"/>
    </row>
    <row r="321" spans="1:30">
      <c r="A321" s="242"/>
      <c r="B321" s="563">
        <v>39752</v>
      </c>
      <c r="C321" s="563"/>
      <c r="D321" s="247"/>
      <c r="E321" s="252">
        <v>0</v>
      </c>
      <c r="F321" s="564">
        <v>24</v>
      </c>
      <c r="G321" s="564"/>
      <c r="H321" s="252">
        <v>289.5</v>
      </c>
      <c r="I321" s="564">
        <v>24</v>
      </c>
      <c r="J321" s="564"/>
      <c r="K321" s="252">
        <v>0</v>
      </c>
      <c r="L321" s="253">
        <v>0</v>
      </c>
      <c r="M321" s="252">
        <v>357</v>
      </c>
      <c r="N321" s="253">
        <v>24</v>
      </c>
      <c r="O321" s="254">
        <v>646.5</v>
      </c>
      <c r="P321" s="250"/>
      <c r="Q321" s="252">
        <v>0</v>
      </c>
      <c r="R321" s="253">
        <v>0</v>
      </c>
      <c r="S321" s="252">
        <v>0</v>
      </c>
      <c r="T321" s="564">
        <v>0</v>
      </c>
      <c r="U321" s="564"/>
      <c r="V321" s="252">
        <v>0</v>
      </c>
      <c r="W321" s="250"/>
      <c r="X321" s="561">
        <v>646.5</v>
      </c>
      <c r="Y321" s="561"/>
      <c r="Z321" s="250"/>
      <c r="AA321" s="266">
        <v>8362800</v>
      </c>
      <c r="AB321" s="566">
        <v>71011</v>
      </c>
      <c r="AC321" s="566"/>
      <c r="AD321" s="242"/>
    </row>
    <row r="322" spans="1:30">
      <c r="A322" s="242"/>
      <c r="B322" s="559"/>
      <c r="C322" s="559"/>
      <c r="D322" s="247"/>
      <c r="E322" s="250"/>
      <c r="F322" s="554"/>
      <c r="G322" s="554"/>
      <c r="H322" s="250"/>
      <c r="I322" s="554"/>
      <c r="J322" s="554"/>
      <c r="K322" s="250"/>
      <c r="L322" s="250"/>
      <c r="M322" s="250"/>
      <c r="N322" s="250"/>
      <c r="O322" s="250"/>
      <c r="P322" s="250"/>
      <c r="Q322" s="250"/>
      <c r="R322" s="250"/>
      <c r="S322" s="250"/>
      <c r="T322" s="554"/>
      <c r="U322" s="554"/>
      <c r="V322" s="250"/>
      <c r="W322" s="250"/>
      <c r="X322" s="554"/>
      <c r="Y322" s="554"/>
      <c r="Z322" s="250"/>
      <c r="AA322" s="250"/>
      <c r="AB322" s="554"/>
      <c r="AC322" s="554"/>
      <c r="AD322" s="242"/>
    </row>
    <row r="323" spans="1:30">
      <c r="A323" s="242"/>
      <c r="B323" s="558">
        <v>39753</v>
      </c>
      <c r="C323" s="558"/>
      <c r="D323" s="247"/>
      <c r="E323" s="256">
        <v>145.19999999999999</v>
      </c>
      <c r="F323" s="557">
        <v>16</v>
      </c>
      <c r="G323" s="557"/>
      <c r="H323" s="256">
        <v>154</v>
      </c>
      <c r="I323" s="557">
        <v>13</v>
      </c>
      <c r="J323" s="557"/>
      <c r="K323" s="256">
        <v>0</v>
      </c>
      <c r="L323" s="257">
        <v>0</v>
      </c>
      <c r="M323" s="256">
        <v>256</v>
      </c>
      <c r="N323" s="257">
        <v>20</v>
      </c>
      <c r="O323" s="258">
        <v>555.20000000000005</v>
      </c>
      <c r="P323" s="250"/>
      <c r="Q323" s="256">
        <v>0</v>
      </c>
      <c r="R323" s="257">
        <v>0</v>
      </c>
      <c r="S323" s="256">
        <v>84</v>
      </c>
      <c r="T323" s="557">
        <v>8</v>
      </c>
      <c r="U323" s="557"/>
      <c r="V323" s="256">
        <v>84</v>
      </c>
      <c r="W323" s="250"/>
      <c r="X323" s="556">
        <v>639.20000000000005</v>
      </c>
      <c r="Y323" s="556"/>
      <c r="Z323" s="250"/>
      <c r="AA323" s="267">
        <v>4648800</v>
      </c>
      <c r="AB323" s="565">
        <v>123354</v>
      </c>
      <c r="AC323" s="565"/>
      <c r="AD323" s="242"/>
    </row>
    <row r="324" spans="1:30">
      <c r="A324" s="242"/>
      <c r="B324" s="559"/>
      <c r="C324" s="559"/>
      <c r="D324" s="247"/>
      <c r="E324" s="250"/>
      <c r="F324" s="554"/>
      <c r="G324" s="554"/>
      <c r="H324" s="250"/>
      <c r="I324" s="554"/>
      <c r="J324" s="554"/>
      <c r="K324" s="250"/>
      <c r="L324" s="250"/>
      <c r="M324" s="250"/>
      <c r="N324" s="250"/>
      <c r="O324" s="250"/>
      <c r="P324" s="250"/>
      <c r="Q324" s="250"/>
      <c r="R324" s="250"/>
      <c r="S324" s="250"/>
      <c r="T324" s="554"/>
      <c r="U324" s="554"/>
      <c r="V324" s="250"/>
      <c r="W324" s="250"/>
      <c r="X324" s="554"/>
      <c r="Y324" s="554"/>
      <c r="Z324" s="250"/>
      <c r="AA324" s="250"/>
      <c r="AB324" s="554"/>
      <c r="AC324" s="554"/>
      <c r="AD324" s="242"/>
    </row>
    <row r="325" spans="1:30">
      <c r="A325" s="242"/>
      <c r="B325" s="563">
        <v>39754</v>
      </c>
      <c r="C325" s="563"/>
      <c r="D325" s="247"/>
      <c r="E325" s="252">
        <v>233.6</v>
      </c>
      <c r="F325" s="564">
        <v>24</v>
      </c>
      <c r="G325" s="564"/>
      <c r="H325" s="252">
        <v>223.3</v>
      </c>
      <c r="I325" s="564">
        <v>21</v>
      </c>
      <c r="J325" s="564"/>
      <c r="K325" s="252">
        <v>0</v>
      </c>
      <c r="L325" s="253">
        <v>0</v>
      </c>
      <c r="M325" s="252">
        <v>177</v>
      </c>
      <c r="N325" s="253">
        <v>24</v>
      </c>
      <c r="O325" s="254">
        <v>633.9</v>
      </c>
      <c r="P325" s="250"/>
      <c r="Q325" s="252">
        <v>0</v>
      </c>
      <c r="R325" s="253">
        <v>0</v>
      </c>
      <c r="S325" s="252">
        <v>0</v>
      </c>
      <c r="T325" s="564">
        <v>0</v>
      </c>
      <c r="U325" s="564"/>
      <c r="V325" s="252">
        <v>0</v>
      </c>
      <c r="W325" s="250"/>
      <c r="X325" s="561">
        <v>633.9</v>
      </c>
      <c r="Y325" s="561"/>
      <c r="Z325" s="250"/>
      <c r="AA325" s="266">
        <v>3238500</v>
      </c>
      <c r="AB325" s="566">
        <v>221310</v>
      </c>
      <c r="AC325" s="566"/>
      <c r="AD325" s="242"/>
    </row>
    <row r="326" spans="1:30">
      <c r="A326" s="242"/>
      <c r="B326" s="559"/>
      <c r="C326" s="559"/>
      <c r="D326" s="247"/>
      <c r="E326" s="250"/>
      <c r="F326" s="554"/>
      <c r="G326" s="554"/>
      <c r="H326" s="250"/>
      <c r="I326" s="554"/>
      <c r="J326" s="554"/>
      <c r="K326" s="250"/>
      <c r="L326" s="250"/>
      <c r="M326" s="250"/>
      <c r="N326" s="250"/>
      <c r="O326" s="250"/>
      <c r="P326" s="250"/>
      <c r="Q326" s="250"/>
      <c r="R326" s="250"/>
      <c r="S326" s="250"/>
      <c r="T326" s="554"/>
      <c r="U326" s="554"/>
      <c r="V326" s="250"/>
      <c r="W326" s="250"/>
      <c r="X326" s="554"/>
      <c r="Y326" s="554"/>
      <c r="Z326" s="250"/>
      <c r="AA326" s="250"/>
      <c r="AB326" s="554"/>
      <c r="AC326" s="554"/>
      <c r="AD326" s="242"/>
    </row>
    <row r="327" spans="1:30">
      <c r="A327" s="242"/>
      <c r="B327" s="558">
        <v>39755</v>
      </c>
      <c r="C327" s="558"/>
      <c r="D327" s="247"/>
      <c r="E327" s="256">
        <v>192.9</v>
      </c>
      <c r="F327" s="557">
        <v>24</v>
      </c>
      <c r="G327" s="557"/>
      <c r="H327" s="256">
        <v>210.2</v>
      </c>
      <c r="I327" s="557">
        <v>24</v>
      </c>
      <c r="J327" s="557"/>
      <c r="K327" s="256"/>
      <c r="L327" s="257"/>
      <c r="M327" s="256">
        <v>130</v>
      </c>
      <c r="N327" s="257">
        <v>24</v>
      </c>
      <c r="O327" s="258">
        <v>533.1</v>
      </c>
      <c r="P327" s="250"/>
      <c r="Q327" s="256"/>
      <c r="R327" s="257"/>
      <c r="S327" s="256"/>
      <c r="T327" s="557"/>
      <c r="U327" s="557"/>
      <c r="V327" s="256"/>
      <c r="W327" s="250"/>
      <c r="X327" s="556">
        <v>533.1</v>
      </c>
      <c r="Y327" s="556"/>
      <c r="Z327" s="250"/>
      <c r="AA327" s="267">
        <v>5931900</v>
      </c>
      <c r="AB327" s="565">
        <v>108601</v>
      </c>
      <c r="AC327" s="565"/>
      <c r="AD327" s="242"/>
    </row>
    <row r="328" spans="1:30">
      <c r="A328" s="242"/>
      <c r="B328" s="559"/>
      <c r="C328" s="559"/>
      <c r="D328" s="247"/>
      <c r="E328" s="250"/>
      <c r="F328" s="554"/>
      <c r="G328" s="554"/>
      <c r="H328" s="250"/>
      <c r="I328" s="554"/>
      <c r="J328" s="554"/>
      <c r="K328" s="250"/>
      <c r="L328" s="250"/>
      <c r="M328" s="250"/>
      <c r="N328" s="250"/>
      <c r="O328" s="250"/>
      <c r="P328" s="250"/>
      <c r="Q328" s="250"/>
      <c r="R328" s="250"/>
      <c r="S328" s="250"/>
      <c r="T328" s="554"/>
      <c r="U328" s="554"/>
      <c r="V328" s="250"/>
      <c r="W328" s="250"/>
      <c r="X328" s="554"/>
      <c r="Y328" s="554"/>
      <c r="Z328" s="250"/>
      <c r="AA328" s="250"/>
      <c r="AB328" s="554"/>
      <c r="AC328" s="554"/>
      <c r="AD328" s="242"/>
    </row>
    <row r="329" spans="1:30">
      <c r="A329" s="242"/>
      <c r="B329" s="563">
        <v>39756</v>
      </c>
      <c r="C329" s="563"/>
      <c r="D329" s="247"/>
      <c r="E329" s="252">
        <v>209.8</v>
      </c>
      <c r="F329" s="564">
        <v>24</v>
      </c>
      <c r="G329" s="564"/>
      <c r="H329" s="252">
        <v>246.6</v>
      </c>
      <c r="I329" s="564">
        <v>24</v>
      </c>
      <c r="J329" s="564"/>
      <c r="K329" s="252">
        <v>0</v>
      </c>
      <c r="L329" s="253">
        <v>0</v>
      </c>
      <c r="M329" s="252">
        <v>117</v>
      </c>
      <c r="N329" s="253">
        <v>24</v>
      </c>
      <c r="O329" s="254">
        <v>573.4</v>
      </c>
      <c r="P329" s="250"/>
      <c r="Q329" s="252">
        <v>0</v>
      </c>
      <c r="R329" s="253">
        <v>0</v>
      </c>
      <c r="S329" s="252">
        <v>0</v>
      </c>
      <c r="T329" s="564">
        <v>0</v>
      </c>
      <c r="U329" s="564"/>
      <c r="V329" s="252">
        <v>0</v>
      </c>
      <c r="W329" s="250"/>
      <c r="X329" s="561">
        <v>573.4</v>
      </c>
      <c r="Y329" s="561"/>
      <c r="Z329" s="250"/>
      <c r="AA329" s="266">
        <v>7119400</v>
      </c>
      <c r="AB329" s="566">
        <v>77687</v>
      </c>
      <c r="AC329" s="566"/>
      <c r="AD329" s="242"/>
    </row>
    <row r="330" spans="1:30">
      <c r="A330" s="242"/>
      <c r="B330" s="559"/>
      <c r="C330" s="559"/>
      <c r="D330" s="247"/>
      <c r="E330" s="250"/>
      <c r="F330" s="554"/>
      <c r="G330" s="554"/>
      <c r="H330" s="250"/>
      <c r="I330" s="554"/>
      <c r="J330" s="554"/>
      <c r="K330" s="250"/>
      <c r="L330" s="250"/>
      <c r="M330" s="250"/>
      <c r="N330" s="250"/>
      <c r="O330" s="250"/>
      <c r="P330" s="250"/>
      <c r="Q330" s="250"/>
      <c r="R330" s="250"/>
      <c r="S330" s="250"/>
      <c r="T330" s="554"/>
      <c r="U330" s="554"/>
      <c r="V330" s="250"/>
      <c r="W330" s="250"/>
      <c r="X330" s="554"/>
      <c r="Y330" s="554"/>
      <c r="Z330" s="250"/>
      <c r="AA330" s="250"/>
      <c r="AB330" s="554"/>
      <c r="AC330" s="554"/>
      <c r="AD330" s="242"/>
    </row>
    <row r="331" spans="1:30">
      <c r="A331" s="242"/>
      <c r="B331" s="558">
        <v>39757</v>
      </c>
      <c r="C331" s="558"/>
      <c r="D331" s="247"/>
      <c r="E331" s="256">
        <v>209.7</v>
      </c>
      <c r="F331" s="557">
        <v>24</v>
      </c>
      <c r="G331" s="557"/>
      <c r="H331" s="256">
        <v>254.9</v>
      </c>
      <c r="I331" s="557">
        <v>24</v>
      </c>
      <c r="J331" s="557"/>
      <c r="K331" s="256">
        <v>0</v>
      </c>
      <c r="L331" s="257">
        <v>0</v>
      </c>
      <c r="M331" s="256">
        <v>128</v>
      </c>
      <c r="N331" s="257">
        <v>24</v>
      </c>
      <c r="O331" s="258">
        <v>592.6</v>
      </c>
      <c r="P331" s="250"/>
      <c r="Q331" s="256">
        <v>0</v>
      </c>
      <c r="R331" s="257">
        <v>0</v>
      </c>
      <c r="S331" s="256">
        <v>0</v>
      </c>
      <c r="T331" s="557">
        <v>0</v>
      </c>
      <c r="U331" s="557"/>
      <c r="V331" s="256">
        <v>0</v>
      </c>
      <c r="W331" s="250"/>
      <c r="X331" s="556">
        <v>592.6</v>
      </c>
      <c r="Y331" s="556"/>
      <c r="Z331" s="250"/>
      <c r="AA331" s="267">
        <v>7212400</v>
      </c>
      <c r="AB331" s="565">
        <v>82147</v>
      </c>
      <c r="AC331" s="565"/>
      <c r="AD331" s="242"/>
    </row>
    <row r="332" spans="1:30">
      <c r="A332" s="242"/>
      <c r="B332" s="559"/>
      <c r="C332" s="559"/>
      <c r="D332" s="247"/>
      <c r="E332" s="250"/>
      <c r="F332" s="554"/>
      <c r="G332" s="554"/>
      <c r="H332" s="250"/>
      <c r="I332" s="554"/>
      <c r="J332" s="554"/>
      <c r="K332" s="250"/>
      <c r="L332" s="250"/>
      <c r="M332" s="250"/>
      <c r="N332" s="250"/>
      <c r="O332" s="250"/>
      <c r="P332" s="250"/>
      <c r="Q332" s="250"/>
      <c r="R332" s="250"/>
      <c r="S332" s="250"/>
      <c r="T332" s="554"/>
      <c r="U332" s="554"/>
      <c r="V332" s="250"/>
      <c r="W332" s="250"/>
      <c r="X332" s="554"/>
      <c r="Y332" s="554"/>
      <c r="Z332" s="250"/>
      <c r="AA332" s="250"/>
      <c r="AB332" s="554"/>
      <c r="AC332" s="554"/>
      <c r="AD332" s="242"/>
    </row>
    <row r="333" spans="1:30">
      <c r="A333" s="242"/>
      <c r="B333" s="563">
        <v>39758</v>
      </c>
      <c r="C333" s="563"/>
      <c r="D333" s="247"/>
      <c r="E333" s="252">
        <v>220.3</v>
      </c>
      <c r="F333" s="564">
        <v>24</v>
      </c>
      <c r="G333" s="564"/>
      <c r="H333" s="252">
        <v>296.5</v>
      </c>
      <c r="I333" s="564">
        <v>24</v>
      </c>
      <c r="J333" s="564"/>
      <c r="K333" s="252">
        <v>0</v>
      </c>
      <c r="L333" s="253">
        <v>0</v>
      </c>
      <c r="M333" s="252">
        <v>5</v>
      </c>
      <c r="N333" s="253">
        <v>1</v>
      </c>
      <c r="O333" s="254">
        <v>521.79999999999995</v>
      </c>
      <c r="P333" s="250"/>
      <c r="Q333" s="252">
        <v>0</v>
      </c>
      <c r="R333" s="253">
        <v>0</v>
      </c>
      <c r="S333" s="252">
        <v>106</v>
      </c>
      <c r="T333" s="564">
        <v>23</v>
      </c>
      <c r="U333" s="564"/>
      <c r="V333" s="252">
        <v>106</v>
      </c>
      <c r="W333" s="250"/>
      <c r="X333" s="561">
        <v>627.79999999999995</v>
      </c>
      <c r="Y333" s="561"/>
      <c r="Z333" s="250"/>
      <c r="AA333" s="266">
        <v>7727800</v>
      </c>
      <c r="AB333" s="566">
        <v>2676</v>
      </c>
      <c r="AC333" s="566"/>
      <c r="AD333" s="242"/>
    </row>
    <row r="334" spans="1:30">
      <c r="A334" s="242"/>
      <c r="B334" s="559"/>
      <c r="C334" s="559"/>
      <c r="D334" s="247"/>
      <c r="E334" s="250"/>
      <c r="F334" s="554"/>
      <c r="G334" s="554"/>
      <c r="H334" s="250"/>
      <c r="I334" s="554"/>
      <c r="J334" s="554"/>
      <c r="K334" s="250"/>
      <c r="L334" s="250"/>
      <c r="M334" s="250"/>
      <c r="N334" s="250"/>
      <c r="O334" s="250"/>
      <c r="P334" s="250"/>
      <c r="Q334" s="250"/>
      <c r="R334" s="250"/>
      <c r="S334" s="250"/>
      <c r="T334" s="554"/>
      <c r="U334" s="554"/>
      <c r="V334" s="250"/>
      <c r="W334" s="250"/>
      <c r="X334" s="554"/>
      <c r="Y334" s="554"/>
      <c r="Z334" s="250"/>
      <c r="AA334" s="250"/>
      <c r="AB334" s="554"/>
      <c r="AC334" s="554"/>
      <c r="AD334" s="242"/>
    </row>
    <row r="335" spans="1:30">
      <c r="A335" s="242"/>
      <c r="B335" s="558">
        <v>39759</v>
      </c>
      <c r="C335" s="558"/>
      <c r="D335" s="247"/>
      <c r="E335" s="256">
        <v>242.4</v>
      </c>
      <c r="F335" s="557">
        <v>24</v>
      </c>
      <c r="G335" s="557"/>
      <c r="H335" s="256">
        <v>302.60000000000002</v>
      </c>
      <c r="I335" s="557">
        <v>24</v>
      </c>
      <c r="J335" s="557"/>
      <c r="K335" s="256">
        <v>0</v>
      </c>
      <c r="L335" s="257">
        <v>0</v>
      </c>
      <c r="M335" s="256">
        <v>0</v>
      </c>
      <c r="N335" s="257">
        <v>1</v>
      </c>
      <c r="O335" s="258">
        <v>545</v>
      </c>
      <c r="P335" s="250"/>
      <c r="Q335" s="256">
        <v>0</v>
      </c>
      <c r="R335" s="257">
        <v>0</v>
      </c>
      <c r="S335" s="256">
        <v>101</v>
      </c>
      <c r="T335" s="557">
        <v>24</v>
      </c>
      <c r="U335" s="557"/>
      <c r="V335" s="256">
        <v>101</v>
      </c>
      <c r="W335" s="250"/>
      <c r="X335" s="556">
        <v>646</v>
      </c>
      <c r="Y335" s="556"/>
      <c r="Z335" s="250"/>
      <c r="AA335" s="267">
        <v>7982200</v>
      </c>
      <c r="AB335" s="565">
        <v>499</v>
      </c>
      <c r="AC335" s="565"/>
      <c r="AD335" s="242"/>
    </row>
    <row r="336" spans="1:30">
      <c r="A336" s="242"/>
      <c r="B336" s="559"/>
      <c r="C336" s="559"/>
      <c r="D336" s="247"/>
      <c r="E336" s="250"/>
      <c r="F336" s="554"/>
      <c r="G336" s="554"/>
      <c r="H336" s="250"/>
      <c r="I336" s="554"/>
      <c r="J336" s="554"/>
      <c r="K336" s="250"/>
      <c r="L336" s="250"/>
      <c r="M336" s="250"/>
      <c r="N336" s="250"/>
      <c r="O336" s="250"/>
      <c r="P336" s="250"/>
      <c r="Q336" s="250"/>
      <c r="R336" s="250"/>
      <c r="S336" s="250"/>
      <c r="T336" s="554"/>
      <c r="U336" s="554"/>
      <c r="V336" s="250"/>
      <c r="W336" s="250"/>
      <c r="X336" s="554"/>
      <c r="Y336" s="554"/>
      <c r="Z336" s="250"/>
      <c r="AA336" s="250"/>
      <c r="AB336" s="554"/>
      <c r="AC336" s="554"/>
      <c r="AD336" s="242"/>
    </row>
    <row r="337" spans="1:30">
      <c r="A337" s="242"/>
      <c r="B337" s="563">
        <v>39760</v>
      </c>
      <c r="C337" s="563"/>
      <c r="D337" s="247"/>
      <c r="E337" s="252">
        <v>190</v>
      </c>
      <c r="F337" s="564">
        <v>24</v>
      </c>
      <c r="G337" s="564"/>
      <c r="H337" s="252">
        <v>274.39999999999998</v>
      </c>
      <c r="I337" s="564">
        <v>24</v>
      </c>
      <c r="J337" s="564"/>
      <c r="K337" s="252">
        <v>0</v>
      </c>
      <c r="L337" s="253">
        <v>0</v>
      </c>
      <c r="M337" s="252">
        <v>62</v>
      </c>
      <c r="N337" s="253">
        <v>10</v>
      </c>
      <c r="O337" s="254">
        <v>526.4</v>
      </c>
      <c r="P337" s="250"/>
      <c r="Q337" s="252">
        <v>0</v>
      </c>
      <c r="R337" s="253">
        <v>0</v>
      </c>
      <c r="S337" s="252">
        <v>90</v>
      </c>
      <c r="T337" s="564">
        <v>16</v>
      </c>
      <c r="U337" s="564"/>
      <c r="V337" s="252">
        <v>90</v>
      </c>
      <c r="W337" s="250"/>
      <c r="X337" s="561">
        <v>616.4</v>
      </c>
      <c r="Y337" s="561"/>
      <c r="Z337" s="250"/>
      <c r="AA337" s="266">
        <v>7338500</v>
      </c>
      <c r="AB337" s="566">
        <v>34928</v>
      </c>
      <c r="AC337" s="566"/>
      <c r="AD337" s="242"/>
    </row>
    <row r="338" spans="1:30">
      <c r="A338" s="242"/>
      <c r="B338" s="559"/>
      <c r="C338" s="559"/>
      <c r="D338" s="247"/>
      <c r="E338" s="250"/>
      <c r="F338" s="554"/>
      <c r="G338" s="554"/>
      <c r="H338" s="250"/>
      <c r="I338" s="554"/>
      <c r="J338" s="554"/>
      <c r="K338" s="250"/>
      <c r="L338" s="250"/>
      <c r="M338" s="250"/>
      <c r="N338" s="250"/>
      <c r="O338" s="250"/>
      <c r="P338" s="250"/>
      <c r="Q338" s="250"/>
      <c r="R338" s="250"/>
      <c r="S338" s="250"/>
      <c r="T338" s="554"/>
      <c r="U338" s="554"/>
      <c r="V338" s="250"/>
      <c r="W338" s="250"/>
      <c r="X338" s="554"/>
      <c r="Y338" s="554"/>
      <c r="Z338" s="250"/>
      <c r="AA338" s="250"/>
      <c r="AB338" s="554"/>
      <c r="AC338" s="554"/>
      <c r="AD338" s="242"/>
    </row>
    <row r="339" spans="1:30">
      <c r="A339" s="242"/>
      <c r="B339" s="558">
        <v>39761</v>
      </c>
      <c r="C339" s="558"/>
      <c r="D339" s="247"/>
      <c r="E339" s="256">
        <v>107.3</v>
      </c>
      <c r="F339" s="557">
        <v>24</v>
      </c>
      <c r="G339" s="557"/>
      <c r="H339" s="256">
        <v>122</v>
      </c>
      <c r="I339" s="557">
        <v>24</v>
      </c>
      <c r="J339" s="557"/>
      <c r="K339" s="256"/>
      <c r="L339" s="257"/>
      <c r="M339" s="256">
        <v>265</v>
      </c>
      <c r="N339" s="257">
        <v>24</v>
      </c>
      <c r="O339" s="258">
        <v>494.3</v>
      </c>
      <c r="P339" s="250"/>
      <c r="Q339" s="256"/>
      <c r="R339" s="257"/>
      <c r="S339" s="256"/>
      <c r="T339" s="557"/>
      <c r="U339" s="557"/>
      <c r="V339" s="256"/>
      <c r="W339" s="250"/>
      <c r="X339" s="556">
        <v>494.3</v>
      </c>
      <c r="Y339" s="556"/>
      <c r="Z339" s="250"/>
      <c r="AA339" s="267">
        <v>5506600</v>
      </c>
      <c r="AB339" s="565">
        <v>108011</v>
      </c>
      <c r="AC339" s="565"/>
      <c r="AD339" s="242"/>
    </row>
    <row r="340" spans="1:30">
      <c r="A340" s="242"/>
      <c r="B340" s="559"/>
      <c r="C340" s="559"/>
      <c r="D340" s="247"/>
      <c r="E340" s="250"/>
      <c r="F340" s="554"/>
      <c r="G340" s="554"/>
      <c r="H340" s="250"/>
      <c r="I340" s="554"/>
      <c r="J340" s="554"/>
      <c r="K340" s="250"/>
      <c r="L340" s="250"/>
      <c r="M340" s="250"/>
      <c r="N340" s="250"/>
      <c r="O340" s="250"/>
      <c r="P340" s="250"/>
      <c r="Q340" s="250"/>
      <c r="R340" s="250"/>
      <c r="S340" s="250"/>
      <c r="T340" s="554"/>
      <c r="U340" s="554"/>
      <c r="V340" s="250"/>
      <c r="W340" s="250"/>
      <c r="X340" s="554"/>
      <c r="Y340" s="554"/>
      <c r="Z340" s="250"/>
      <c r="AA340" s="250"/>
      <c r="AB340" s="554"/>
      <c r="AC340" s="554"/>
      <c r="AD340" s="242"/>
    </row>
    <row r="341" spans="1:30">
      <c r="A341" s="242"/>
      <c r="B341" s="563">
        <v>39762</v>
      </c>
      <c r="C341" s="563"/>
      <c r="D341" s="247"/>
      <c r="E341" s="252">
        <v>137.30000000000001</v>
      </c>
      <c r="F341" s="564">
        <v>24</v>
      </c>
      <c r="G341" s="564"/>
      <c r="H341" s="252">
        <v>154.5</v>
      </c>
      <c r="I341" s="564">
        <v>24</v>
      </c>
      <c r="J341" s="564"/>
      <c r="K341" s="252"/>
      <c r="L341" s="253"/>
      <c r="M341" s="252">
        <v>217</v>
      </c>
      <c r="N341" s="253">
        <v>24</v>
      </c>
      <c r="O341" s="254">
        <v>508.8</v>
      </c>
      <c r="P341" s="250"/>
      <c r="Q341" s="252"/>
      <c r="R341" s="253"/>
      <c r="S341" s="252"/>
      <c r="T341" s="564"/>
      <c r="U341" s="564"/>
      <c r="V341" s="252"/>
      <c r="W341" s="250"/>
      <c r="X341" s="561">
        <v>508.8</v>
      </c>
      <c r="Y341" s="561"/>
      <c r="Z341" s="250"/>
      <c r="AA341" s="266">
        <v>6020800</v>
      </c>
      <c r="AB341" s="566">
        <v>99692</v>
      </c>
      <c r="AC341" s="566"/>
      <c r="AD341" s="242"/>
    </row>
    <row r="342" spans="1:30">
      <c r="A342" s="242"/>
      <c r="B342" s="559"/>
      <c r="C342" s="559"/>
      <c r="D342" s="247"/>
      <c r="E342" s="250"/>
      <c r="F342" s="554"/>
      <c r="G342" s="554"/>
      <c r="H342" s="250"/>
      <c r="I342" s="554"/>
      <c r="J342" s="554"/>
      <c r="K342" s="250"/>
      <c r="L342" s="250"/>
      <c r="M342" s="250"/>
      <c r="N342" s="250"/>
      <c r="O342" s="250"/>
      <c r="P342" s="250"/>
      <c r="Q342" s="250"/>
      <c r="R342" s="250"/>
      <c r="S342" s="250"/>
      <c r="T342" s="554"/>
      <c r="U342" s="554"/>
      <c r="V342" s="250"/>
      <c r="W342" s="250"/>
      <c r="X342" s="554"/>
      <c r="Y342" s="554"/>
      <c r="Z342" s="250"/>
      <c r="AA342" s="250"/>
      <c r="AB342" s="554"/>
      <c r="AC342" s="554"/>
      <c r="AD342" s="242"/>
    </row>
    <row r="343" spans="1:30">
      <c r="A343" s="242"/>
      <c r="B343" s="558">
        <v>39763</v>
      </c>
      <c r="C343" s="558"/>
      <c r="D343" s="247"/>
      <c r="E343" s="256">
        <v>197.3</v>
      </c>
      <c r="F343" s="557">
        <v>24</v>
      </c>
      <c r="G343" s="557"/>
      <c r="H343" s="256">
        <v>225.3</v>
      </c>
      <c r="I343" s="557">
        <v>24</v>
      </c>
      <c r="J343" s="557"/>
      <c r="K343" s="256">
        <v>0</v>
      </c>
      <c r="L343" s="257">
        <v>0</v>
      </c>
      <c r="M343" s="256">
        <v>130</v>
      </c>
      <c r="N343" s="257">
        <v>14</v>
      </c>
      <c r="O343" s="258">
        <v>552.6</v>
      </c>
      <c r="P343" s="250"/>
      <c r="Q343" s="256">
        <v>0</v>
      </c>
      <c r="R343" s="257">
        <v>0</v>
      </c>
      <c r="S343" s="256">
        <v>2</v>
      </c>
      <c r="T343" s="557">
        <v>0</v>
      </c>
      <c r="U343" s="557"/>
      <c r="V343" s="256">
        <v>2</v>
      </c>
      <c r="W343" s="250"/>
      <c r="X343" s="556">
        <v>554.6</v>
      </c>
      <c r="Y343" s="556"/>
      <c r="Z343" s="250"/>
      <c r="AA343" s="267">
        <v>7001600</v>
      </c>
      <c r="AB343" s="565">
        <v>58333</v>
      </c>
      <c r="AC343" s="565"/>
      <c r="AD343" s="242"/>
    </row>
    <row r="344" spans="1:30">
      <c r="A344" s="242"/>
      <c r="B344" s="559"/>
      <c r="C344" s="559"/>
      <c r="D344" s="247"/>
      <c r="E344" s="250"/>
      <c r="F344" s="554"/>
      <c r="G344" s="554"/>
      <c r="H344" s="250"/>
      <c r="I344" s="554"/>
      <c r="J344" s="554"/>
      <c r="K344" s="250"/>
      <c r="L344" s="250"/>
      <c r="M344" s="250"/>
      <c r="N344" s="250"/>
      <c r="O344" s="250"/>
      <c r="P344" s="250"/>
      <c r="Q344" s="250"/>
      <c r="R344" s="250"/>
      <c r="S344" s="250"/>
      <c r="T344" s="554"/>
      <c r="U344" s="554"/>
      <c r="V344" s="250"/>
      <c r="W344" s="250"/>
      <c r="X344" s="554"/>
      <c r="Y344" s="554"/>
      <c r="Z344" s="250"/>
      <c r="AA344" s="250"/>
      <c r="AB344" s="554"/>
      <c r="AC344" s="554"/>
      <c r="AD344" s="242"/>
    </row>
    <row r="345" spans="1:30">
      <c r="A345" s="242"/>
      <c r="B345" s="563">
        <v>39764</v>
      </c>
      <c r="C345" s="563"/>
      <c r="D345" s="247"/>
      <c r="E345" s="252">
        <v>280.39999999999998</v>
      </c>
      <c r="F345" s="564">
        <v>24</v>
      </c>
      <c r="G345" s="564"/>
      <c r="H345" s="252">
        <v>315.2</v>
      </c>
      <c r="I345" s="564">
        <v>24</v>
      </c>
      <c r="J345" s="564"/>
      <c r="K345" s="252">
        <v>0</v>
      </c>
      <c r="L345" s="253">
        <v>0</v>
      </c>
      <c r="M345" s="252">
        <v>0</v>
      </c>
      <c r="N345" s="253">
        <v>0</v>
      </c>
      <c r="O345" s="254">
        <v>595.6</v>
      </c>
      <c r="P345" s="250"/>
      <c r="Q345" s="252">
        <v>0</v>
      </c>
      <c r="R345" s="253">
        <v>0</v>
      </c>
      <c r="S345" s="252">
        <v>0</v>
      </c>
      <c r="T345" s="564">
        <v>0</v>
      </c>
      <c r="U345" s="564"/>
      <c r="V345" s="252">
        <v>0</v>
      </c>
      <c r="W345" s="250"/>
      <c r="X345" s="561">
        <v>595.6</v>
      </c>
      <c r="Y345" s="561"/>
      <c r="Z345" s="250"/>
      <c r="AA345" s="266">
        <v>8427200</v>
      </c>
      <c r="AB345" s="566">
        <v>0</v>
      </c>
      <c r="AC345" s="566"/>
      <c r="AD345" s="242"/>
    </row>
    <row r="346" spans="1:30">
      <c r="A346" s="242"/>
      <c r="B346" s="559"/>
      <c r="C346" s="559"/>
      <c r="D346" s="247"/>
      <c r="E346" s="250"/>
      <c r="F346" s="554"/>
      <c r="G346" s="554"/>
      <c r="H346" s="250"/>
      <c r="I346" s="554"/>
      <c r="J346" s="554"/>
      <c r="K346" s="250"/>
      <c r="L346" s="250"/>
      <c r="M346" s="250"/>
      <c r="N346" s="250"/>
      <c r="O346" s="250"/>
      <c r="P346" s="250"/>
      <c r="Q346" s="250"/>
      <c r="R346" s="250"/>
      <c r="S346" s="250"/>
      <c r="T346" s="554"/>
      <c r="U346" s="554"/>
      <c r="V346" s="250"/>
      <c r="W346" s="250"/>
      <c r="X346" s="554"/>
      <c r="Y346" s="554"/>
      <c r="Z346" s="250"/>
      <c r="AA346" s="250"/>
      <c r="AB346" s="554"/>
      <c r="AC346" s="554"/>
      <c r="AD346" s="242"/>
    </row>
    <row r="347" spans="1:30">
      <c r="A347" s="242"/>
      <c r="B347" s="558">
        <v>39765</v>
      </c>
      <c r="C347" s="558"/>
      <c r="D347" s="247"/>
      <c r="E347" s="256">
        <v>269.5</v>
      </c>
      <c r="F347" s="557">
        <v>24</v>
      </c>
      <c r="G347" s="557"/>
      <c r="H347" s="256">
        <v>312</v>
      </c>
      <c r="I347" s="557">
        <v>24</v>
      </c>
      <c r="J347" s="557"/>
      <c r="K347" s="256">
        <v>0</v>
      </c>
      <c r="L347" s="257">
        <v>0</v>
      </c>
      <c r="M347" s="256">
        <v>0</v>
      </c>
      <c r="N347" s="257">
        <v>0</v>
      </c>
      <c r="O347" s="258">
        <v>581.5</v>
      </c>
      <c r="P347" s="250"/>
      <c r="Q347" s="256">
        <v>0</v>
      </c>
      <c r="R347" s="257">
        <v>0</v>
      </c>
      <c r="S347" s="256">
        <v>0</v>
      </c>
      <c r="T347" s="557">
        <v>0</v>
      </c>
      <c r="U347" s="557"/>
      <c r="V347" s="256">
        <v>0</v>
      </c>
      <c r="W347" s="250"/>
      <c r="X347" s="556">
        <v>581.5</v>
      </c>
      <c r="Y347" s="556"/>
      <c r="Z347" s="250"/>
      <c r="AA347" s="267">
        <v>8282800</v>
      </c>
      <c r="AB347" s="565">
        <v>0</v>
      </c>
      <c r="AC347" s="565"/>
      <c r="AD347" s="242"/>
    </row>
    <row r="348" spans="1:30">
      <c r="A348" s="242"/>
      <c r="B348" s="559"/>
      <c r="C348" s="559"/>
      <c r="D348" s="247"/>
      <c r="E348" s="250"/>
      <c r="F348" s="554"/>
      <c r="G348" s="554"/>
      <c r="H348" s="250"/>
      <c r="I348" s="554"/>
      <c r="J348" s="554"/>
      <c r="K348" s="250"/>
      <c r="L348" s="250"/>
      <c r="M348" s="250"/>
      <c r="N348" s="250"/>
      <c r="O348" s="250"/>
      <c r="P348" s="250"/>
      <c r="Q348" s="250"/>
      <c r="R348" s="250"/>
      <c r="S348" s="250"/>
      <c r="T348" s="554"/>
      <c r="U348" s="554"/>
      <c r="V348" s="250"/>
      <c r="W348" s="250"/>
      <c r="X348" s="554"/>
      <c r="Y348" s="554"/>
      <c r="Z348" s="250"/>
      <c r="AA348" s="250"/>
      <c r="AB348" s="554"/>
      <c r="AC348" s="554"/>
      <c r="AD348" s="242"/>
    </row>
    <row r="349" spans="1:30">
      <c r="A349" s="242"/>
      <c r="B349" s="563">
        <v>39766</v>
      </c>
      <c r="C349" s="563"/>
      <c r="D349" s="247"/>
      <c r="E349" s="252">
        <v>267.89999999999998</v>
      </c>
      <c r="F349" s="564">
        <v>24</v>
      </c>
      <c r="G349" s="564"/>
      <c r="H349" s="252">
        <v>302</v>
      </c>
      <c r="I349" s="564">
        <v>24</v>
      </c>
      <c r="J349" s="564"/>
      <c r="K349" s="252">
        <v>0</v>
      </c>
      <c r="L349" s="253">
        <v>0</v>
      </c>
      <c r="M349" s="252">
        <v>0</v>
      </c>
      <c r="N349" s="253">
        <v>0</v>
      </c>
      <c r="O349" s="254">
        <v>569.9</v>
      </c>
      <c r="P349" s="250"/>
      <c r="Q349" s="252">
        <v>0</v>
      </c>
      <c r="R349" s="253">
        <v>0</v>
      </c>
      <c r="S349" s="252">
        <v>0</v>
      </c>
      <c r="T349" s="564">
        <v>0</v>
      </c>
      <c r="U349" s="564"/>
      <c r="V349" s="252">
        <v>0</v>
      </c>
      <c r="W349" s="250"/>
      <c r="X349" s="561">
        <v>569.9</v>
      </c>
      <c r="Y349" s="561"/>
      <c r="Z349" s="250"/>
      <c r="AA349" s="266">
        <v>8296000</v>
      </c>
      <c r="AB349" s="566">
        <v>91</v>
      </c>
      <c r="AC349" s="566"/>
      <c r="AD349" s="242"/>
    </row>
    <row r="350" spans="1:30">
      <c r="A350" s="242"/>
      <c r="B350" s="559"/>
      <c r="C350" s="559"/>
      <c r="D350" s="247"/>
      <c r="E350" s="250"/>
      <c r="F350" s="554"/>
      <c r="G350" s="554"/>
      <c r="H350" s="250"/>
      <c r="I350" s="554"/>
      <c r="J350" s="554"/>
      <c r="K350" s="250"/>
      <c r="L350" s="250"/>
      <c r="M350" s="250"/>
      <c r="N350" s="250"/>
      <c r="O350" s="250"/>
      <c r="P350" s="250"/>
      <c r="Q350" s="250"/>
      <c r="R350" s="250"/>
      <c r="S350" s="250"/>
      <c r="T350" s="554"/>
      <c r="U350" s="554"/>
      <c r="V350" s="250"/>
      <c r="W350" s="250"/>
      <c r="X350" s="554"/>
      <c r="Y350" s="554"/>
      <c r="Z350" s="250"/>
      <c r="AA350" s="250"/>
      <c r="AB350" s="554"/>
      <c r="AC350" s="554"/>
      <c r="AD350" s="242"/>
    </row>
    <row r="351" spans="1:30">
      <c r="A351" s="242"/>
      <c r="B351" s="558">
        <v>39767</v>
      </c>
      <c r="C351" s="558"/>
      <c r="D351" s="247"/>
      <c r="E351" s="256">
        <v>299.7</v>
      </c>
      <c r="F351" s="557">
        <v>24</v>
      </c>
      <c r="G351" s="557"/>
      <c r="H351" s="256">
        <v>333</v>
      </c>
      <c r="I351" s="557">
        <v>24</v>
      </c>
      <c r="J351" s="557"/>
      <c r="K351" s="256">
        <v>0</v>
      </c>
      <c r="L351" s="257">
        <v>0</v>
      </c>
      <c r="M351" s="256">
        <v>0</v>
      </c>
      <c r="N351" s="257">
        <v>1</v>
      </c>
      <c r="O351" s="258">
        <v>632.70000000000005</v>
      </c>
      <c r="P351" s="250"/>
      <c r="Q351" s="256">
        <v>0</v>
      </c>
      <c r="R351" s="257">
        <v>0</v>
      </c>
      <c r="S351" s="256">
        <v>0</v>
      </c>
      <c r="T351" s="557">
        <v>0</v>
      </c>
      <c r="U351" s="557"/>
      <c r="V351" s="256">
        <v>0</v>
      </c>
      <c r="W351" s="250"/>
      <c r="X351" s="556">
        <v>632.70000000000005</v>
      </c>
      <c r="Y351" s="556"/>
      <c r="Z351" s="250"/>
      <c r="AA351" s="267">
        <v>8857800</v>
      </c>
      <c r="AB351" s="565">
        <v>1723</v>
      </c>
      <c r="AC351" s="565"/>
      <c r="AD351" s="242"/>
    </row>
    <row r="352" spans="1:30">
      <c r="A352" s="242"/>
      <c r="B352" s="559"/>
      <c r="C352" s="559"/>
      <c r="D352" s="247"/>
      <c r="E352" s="250"/>
      <c r="F352" s="554"/>
      <c r="G352" s="554"/>
      <c r="H352" s="250"/>
      <c r="I352" s="554"/>
      <c r="J352" s="554"/>
      <c r="K352" s="250"/>
      <c r="L352" s="250"/>
      <c r="M352" s="250"/>
      <c r="N352" s="250"/>
      <c r="O352" s="250"/>
      <c r="P352" s="250"/>
      <c r="Q352" s="250"/>
      <c r="R352" s="250"/>
      <c r="S352" s="250"/>
      <c r="T352" s="554"/>
      <c r="U352" s="554"/>
      <c r="V352" s="250"/>
      <c r="W352" s="250"/>
      <c r="X352" s="554"/>
      <c r="Y352" s="554"/>
      <c r="Z352" s="250"/>
      <c r="AA352" s="250"/>
      <c r="AB352" s="554"/>
      <c r="AC352" s="554"/>
      <c r="AD352" s="242"/>
    </row>
    <row r="353" spans="1:30">
      <c r="A353" s="242"/>
      <c r="B353" s="563">
        <v>39768</v>
      </c>
      <c r="C353" s="563"/>
      <c r="D353" s="247"/>
      <c r="E353" s="252">
        <v>302.89999999999998</v>
      </c>
      <c r="F353" s="564">
        <v>24</v>
      </c>
      <c r="G353" s="564"/>
      <c r="H353" s="252">
        <v>296.8</v>
      </c>
      <c r="I353" s="564">
        <v>24</v>
      </c>
      <c r="J353" s="564"/>
      <c r="K353" s="252"/>
      <c r="L353" s="253"/>
      <c r="M353" s="252"/>
      <c r="N353" s="253">
        <v>12</v>
      </c>
      <c r="O353" s="254">
        <v>599.70000000000005</v>
      </c>
      <c r="P353" s="250"/>
      <c r="Q353" s="252"/>
      <c r="R353" s="253"/>
      <c r="S353" s="252">
        <v>54</v>
      </c>
      <c r="T353" s="564">
        <v>7</v>
      </c>
      <c r="U353" s="564"/>
      <c r="V353" s="252">
        <v>54</v>
      </c>
      <c r="W353" s="250"/>
      <c r="X353" s="561">
        <v>653.70000000000005</v>
      </c>
      <c r="Y353" s="561"/>
      <c r="Z353" s="250"/>
      <c r="AA353" s="266">
        <v>9561600</v>
      </c>
      <c r="AB353" s="566">
        <v>2903</v>
      </c>
      <c r="AC353" s="566"/>
      <c r="AD353" s="242"/>
    </row>
    <row r="354" spans="1:30">
      <c r="A354" s="242"/>
      <c r="B354" s="559"/>
      <c r="C354" s="559"/>
      <c r="D354" s="247"/>
      <c r="E354" s="250"/>
      <c r="F354" s="554"/>
      <c r="G354" s="554"/>
      <c r="H354" s="250"/>
      <c r="I354" s="554"/>
      <c r="J354" s="554"/>
      <c r="K354" s="250"/>
      <c r="L354" s="250"/>
      <c r="M354" s="250"/>
      <c r="N354" s="250"/>
      <c r="O354" s="250"/>
      <c r="P354" s="250"/>
      <c r="Q354" s="250"/>
      <c r="R354" s="250"/>
      <c r="S354" s="250"/>
      <c r="T354" s="554"/>
      <c r="U354" s="554"/>
      <c r="V354" s="250"/>
      <c r="W354" s="250"/>
      <c r="X354" s="554"/>
      <c r="Y354" s="554"/>
      <c r="Z354" s="250"/>
      <c r="AA354" s="250"/>
      <c r="AB354" s="554"/>
      <c r="AC354" s="554"/>
      <c r="AD354" s="242"/>
    </row>
    <row r="355" spans="1:30">
      <c r="A355" s="242"/>
      <c r="B355" s="558">
        <v>39769</v>
      </c>
      <c r="C355" s="558"/>
      <c r="D355" s="247"/>
      <c r="E355" s="256">
        <v>283.39999999999998</v>
      </c>
      <c r="F355" s="557">
        <v>24</v>
      </c>
      <c r="G355" s="557"/>
      <c r="H355" s="256">
        <v>225.1</v>
      </c>
      <c r="I355" s="557">
        <v>24</v>
      </c>
      <c r="J355" s="557"/>
      <c r="K355" s="256"/>
      <c r="L355" s="257"/>
      <c r="M355" s="256"/>
      <c r="N355" s="257">
        <v>23</v>
      </c>
      <c r="O355" s="258">
        <v>508.5</v>
      </c>
      <c r="P355" s="250"/>
      <c r="Q355" s="256"/>
      <c r="R355" s="257"/>
      <c r="S355" s="256">
        <v>123</v>
      </c>
      <c r="T355" s="557">
        <v>16</v>
      </c>
      <c r="U355" s="557"/>
      <c r="V355" s="256">
        <v>123</v>
      </c>
      <c r="W355" s="250"/>
      <c r="X355" s="556">
        <v>631.5</v>
      </c>
      <c r="Y355" s="556"/>
      <c r="Z355" s="250"/>
      <c r="AA355" s="267">
        <v>8306900</v>
      </c>
      <c r="AB355" s="565">
        <v>31707</v>
      </c>
      <c r="AC355" s="565"/>
      <c r="AD355" s="242"/>
    </row>
    <row r="356" spans="1:30">
      <c r="A356" s="242"/>
      <c r="B356" s="559"/>
      <c r="C356" s="559"/>
      <c r="D356" s="247"/>
      <c r="E356" s="250"/>
      <c r="F356" s="554"/>
      <c r="G356" s="554"/>
      <c r="H356" s="250"/>
      <c r="I356" s="554"/>
      <c r="J356" s="554"/>
      <c r="K356" s="250"/>
      <c r="L356" s="250"/>
      <c r="M356" s="250"/>
      <c r="N356" s="250"/>
      <c r="O356" s="250"/>
      <c r="P356" s="250"/>
      <c r="Q356" s="250"/>
      <c r="R356" s="250"/>
      <c r="S356" s="250"/>
      <c r="T356" s="554"/>
      <c r="U356" s="554"/>
      <c r="V356" s="250"/>
      <c r="W356" s="250"/>
      <c r="X356" s="554"/>
      <c r="Y356" s="554"/>
      <c r="Z356" s="250"/>
      <c r="AA356" s="250"/>
      <c r="AB356" s="554"/>
      <c r="AC356" s="554"/>
      <c r="AD356" s="242"/>
    </row>
    <row r="357" spans="1:30">
      <c r="A357" s="242"/>
      <c r="B357" s="563">
        <v>39770</v>
      </c>
      <c r="C357" s="563"/>
      <c r="D357" s="247"/>
      <c r="E357" s="252">
        <v>269.39999999999998</v>
      </c>
      <c r="F357" s="564">
        <v>24</v>
      </c>
      <c r="G357" s="564"/>
      <c r="H357" s="252">
        <v>303.39999999999998</v>
      </c>
      <c r="I357" s="564">
        <v>24</v>
      </c>
      <c r="J357" s="564"/>
      <c r="K357" s="252">
        <v>0</v>
      </c>
      <c r="L357" s="253">
        <v>0</v>
      </c>
      <c r="M357" s="252">
        <v>9</v>
      </c>
      <c r="N357" s="253">
        <v>12</v>
      </c>
      <c r="O357" s="254">
        <v>581.79999999999995</v>
      </c>
      <c r="P357" s="250"/>
      <c r="Q357" s="252">
        <v>0</v>
      </c>
      <c r="R357" s="253">
        <v>0</v>
      </c>
      <c r="S357" s="252">
        <v>0</v>
      </c>
      <c r="T357" s="564">
        <v>0</v>
      </c>
      <c r="U357" s="564"/>
      <c r="V357" s="252">
        <v>0</v>
      </c>
      <c r="W357" s="250"/>
      <c r="X357" s="561">
        <v>581.79999999999995</v>
      </c>
      <c r="Y357" s="561"/>
      <c r="Z357" s="250"/>
      <c r="AA357" s="266">
        <v>8163300</v>
      </c>
      <c r="AB357" s="566">
        <v>32251</v>
      </c>
      <c r="AC357" s="566"/>
      <c r="AD357" s="242"/>
    </row>
    <row r="358" spans="1:30">
      <c r="A358" s="242"/>
      <c r="B358" s="559"/>
      <c r="C358" s="559"/>
      <c r="D358" s="247"/>
      <c r="E358" s="250"/>
      <c r="F358" s="554"/>
      <c r="G358" s="554"/>
      <c r="H358" s="250"/>
      <c r="I358" s="554"/>
      <c r="J358" s="554"/>
      <c r="K358" s="250"/>
      <c r="L358" s="250"/>
      <c r="M358" s="250"/>
      <c r="N358" s="250"/>
      <c r="O358" s="250"/>
      <c r="P358" s="250"/>
      <c r="Q358" s="250"/>
      <c r="R358" s="250"/>
      <c r="S358" s="250"/>
      <c r="T358" s="554"/>
      <c r="U358" s="554"/>
      <c r="V358" s="250"/>
      <c r="W358" s="250"/>
      <c r="X358" s="554"/>
      <c r="Y358" s="554"/>
      <c r="Z358" s="250"/>
      <c r="AA358" s="250"/>
      <c r="AB358" s="554"/>
      <c r="AC358" s="554"/>
      <c r="AD358" s="242"/>
    </row>
    <row r="359" spans="1:30">
      <c r="A359" s="242"/>
      <c r="B359" s="558">
        <v>39771</v>
      </c>
      <c r="C359" s="558"/>
      <c r="D359" s="247"/>
      <c r="E359" s="256">
        <v>294.39999999999998</v>
      </c>
      <c r="F359" s="557">
        <v>24</v>
      </c>
      <c r="G359" s="557"/>
      <c r="H359" s="256">
        <v>315.7</v>
      </c>
      <c r="I359" s="557">
        <v>24</v>
      </c>
      <c r="J359" s="557"/>
      <c r="K359" s="256">
        <v>0</v>
      </c>
      <c r="L359" s="257">
        <v>0</v>
      </c>
      <c r="M359" s="256">
        <v>0</v>
      </c>
      <c r="N359" s="257">
        <v>0</v>
      </c>
      <c r="O359" s="258">
        <v>610.1</v>
      </c>
      <c r="P359" s="250"/>
      <c r="Q359" s="256">
        <v>0</v>
      </c>
      <c r="R359" s="257">
        <v>0</v>
      </c>
      <c r="S359" s="256">
        <v>0</v>
      </c>
      <c r="T359" s="557">
        <v>0</v>
      </c>
      <c r="U359" s="557"/>
      <c r="V359" s="256">
        <v>0</v>
      </c>
      <c r="W359" s="250"/>
      <c r="X359" s="556">
        <v>610.1</v>
      </c>
      <c r="Y359" s="556"/>
      <c r="Z359" s="250"/>
      <c r="AA359" s="267">
        <v>8690700</v>
      </c>
      <c r="AB359" s="565">
        <v>0</v>
      </c>
      <c r="AC359" s="565"/>
      <c r="AD359" s="242"/>
    </row>
    <row r="360" spans="1:30">
      <c r="A360" s="242"/>
      <c r="B360" s="559"/>
      <c r="C360" s="559"/>
      <c r="D360" s="247"/>
      <c r="E360" s="250"/>
      <c r="F360" s="554"/>
      <c r="G360" s="554"/>
      <c r="H360" s="250"/>
      <c r="I360" s="554"/>
      <c r="J360" s="554"/>
      <c r="K360" s="250"/>
      <c r="L360" s="250"/>
      <c r="M360" s="250"/>
      <c r="N360" s="250"/>
      <c r="O360" s="250"/>
      <c r="P360" s="250"/>
      <c r="Q360" s="250"/>
      <c r="R360" s="250"/>
      <c r="S360" s="250"/>
      <c r="T360" s="554"/>
      <c r="U360" s="554"/>
      <c r="V360" s="250"/>
      <c r="W360" s="250"/>
      <c r="X360" s="554"/>
      <c r="Y360" s="554"/>
      <c r="Z360" s="250"/>
      <c r="AA360" s="250"/>
      <c r="AB360" s="554"/>
      <c r="AC360" s="554"/>
      <c r="AD360" s="242"/>
    </row>
    <row r="361" spans="1:30">
      <c r="A361" s="242"/>
      <c r="B361" s="563">
        <v>39772</v>
      </c>
      <c r="C361" s="563"/>
      <c r="D361" s="247"/>
      <c r="E361" s="252">
        <v>257.8</v>
      </c>
      <c r="F361" s="564">
        <v>24</v>
      </c>
      <c r="G361" s="564"/>
      <c r="H361" s="252">
        <v>310.5</v>
      </c>
      <c r="I361" s="564">
        <v>24</v>
      </c>
      <c r="J361" s="564"/>
      <c r="K361" s="252">
        <v>0</v>
      </c>
      <c r="L361" s="253">
        <v>0</v>
      </c>
      <c r="M361" s="252">
        <v>0</v>
      </c>
      <c r="N361" s="253">
        <v>0</v>
      </c>
      <c r="O361" s="254">
        <v>568.29999999999995</v>
      </c>
      <c r="P361" s="250"/>
      <c r="Q361" s="252">
        <v>0</v>
      </c>
      <c r="R361" s="253">
        <v>0</v>
      </c>
      <c r="S361" s="252">
        <v>0</v>
      </c>
      <c r="T361" s="564">
        <v>0</v>
      </c>
      <c r="U361" s="564"/>
      <c r="V361" s="252">
        <v>0</v>
      </c>
      <c r="W361" s="250"/>
      <c r="X361" s="561">
        <v>568.29999999999995</v>
      </c>
      <c r="Y361" s="561"/>
      <c r="Z361" s="250"/>
      <c r="AA361" s="266">
        <v>8297100</v>
      </c>
      <c r="AB361" s="566">
        <v>0</v>
      </c>
      <c r="AC361" s="566"/>
      <c r="AD361" s="242"/>
    </row>
    <row r="362" spans="1:30">
      <c r="A362" s="242"/>
      <c r="B362" s="559"/>
      <c r="C362" s="559"/>
      <c r="D362" s="247"/>
      <c r="E362" s="250"/>
      <c r="F362" s="554"/>
      <c r="G362" s="554"/>
      <c r="H362" s="250"/>
      <c r="I362" s="554"/>
      <c r="J362" s="554"/>
      <c r="K362" s="250"/>
      <c r="L362" s="250"/>
      <c r="M362" s="250"/>
      <c r="N362" s="250"/>
      <c r="O362" s="250"/>
      <c r="P362" s="250"/>
      <c r="Q362" s="250"/>
      <c r="R362" s="250"/>
      <c r="S362" s="250"/>
      <c r="T362" s="554"/>
      <c r="U362" s="554"/>
      <c r="V362" s="250"/>
      <c r="W362" s="250"/>
      <c r="X362" s="554"/>
      <c r="Y362" s="554"/>
      <c r="Z362" s="250"/>
      <c r="AA362" s="250"/>
      <c r="AB362" s="554"/>
      <c r="AC362" s="554"/>
      <c r="AD362" s="242"/>
    </row>
    <row r="363" spans="1:30">
      <c r="A363" s="242"/>
      <c r="B363" s="558">
        <v>39773</v>
      </c>
      <c r="C363" s="558"/>
      <c r="D363" s="247"/>
      <c r="E363" s="256">
        <v>211.3</v>
      </c>
      <c r="F363" s="557">
        <v>24</v>
      </c>
      <c r="G363" s="557"/>
      <c r="H363" s="256">
        <v>275.2</v>
      </c>
      <c r="I363" s="557">
        <v>24</v>
      </c>
      <c r="J363" s="557"/>
      <c r="K363" s="256">
        <v>0</v>
      </c>
      <c r="L363" s="257">
        <v>0</v>
      </c>
      <c r="M363" s="256">
        <v>0</v>
      </c>
      <c r="N363" s="257">
        <v>0</v>
      </c>
      <c r="O363" s="258">
        <v>486.5</v>
      </c>
      <c r="P363" s="250"/>
      <c r="Q363" s="256">
        <v>0</v>
      </c>
      <c r="R363" s="257">
        <v>0</v>
      </c>
      <c r="S363" s="256">
        <v>5000</v>
      </c>
      <c r="T363" s="557">
        <v>1</v>
      </c>
      <c r="U363" s="557"/>
      <c r="V363" s="256">
        <v>5000</v>
      </c>
      <c r="W363" s="250"/>
      <c r="X363" s="556">
        <v>5486.5</v>
      </c>
      <c r="Y363" s="556"/>
      <c r="Z363" s="250"/>
      <c r="AA363" s="267">
        <v>7802500</v>
      </c>
      <c r="AB363" s="565">
        <v>0</v>
      </c>
      <c r="AC363" s="565"/>
      <c r="AD363" s="242"/>
    </row>
    <row r="364" spans="1:30">
      <c r="A364" s="242"/>
      <c r="B364" s="559"/>
      <c r="C364" s="559"/>
      <c r="D364" s="247"/>
      <c r="E364" s="250"/>
      <c r="F364" s="554"/>
      <c r="G364" s="554"/>
      <c r="H364" s="250"/>
      <c r="I364" s="554"/>
      <c r="J364" s="554"/>
      <c r="K364" s="250"/>
      <c r="L364" s="250"/>
      <c r="M364" s="250"/>
      <c r="N364" s="250"/>
      <c r="O364" s="250"/>
      <c r="P364" s="250"/>
      <c r="Q364" s="250"/>
      <c r="R364" s="250"/>
      <c r="S364" s="250"/>
      <c r="T364" s="554"/>
      <c r="U364" s="554"/>
      <c r="V364" s="250"/>
      <c r="W364" s="250"/>
      <c r="X364" s="554"/>
      <c r="Y364" s="554"/>
      <c r="Z364" s="250"/>
      <c r="AA364" s="250"/>
      <c r="AB364" s="554"/>
      <c r="AC364" s="554"/>
      <c r="AD364" s="242"/>
    </row>
    <row r="365" spans="1:30">
      <c r="A365" s="242"/>
      <c r="B365" s="563">
        <v>39774</v>
      </c>
      <c r="C365" s="563"/>
      <c r="D365" s="247"/>
      <c r="E365" s="252">
        <v>226.9</v>
      </c>
      <c r="F365" s="564">
        <v>24</v>
      </c>
      <c r="G365" s="564"/>
      <c r="H365" s="252">
        <v>298.89999999999998</v>
      </c>
      <c r="I365" s="564">
        <v>24</v>
      </c>
      <c r="J365" s="564"/>
      <c r="K365" s="252">
        <v>0</v>
      </c>
      <c r="L365" s="253">
        <v>0</v>
      </c>
      <c r="M365" s="252">
        <v>0</v>
      </c>
      <c r="N365" s="253">
        <v>7</v>
      </c>
      <c r="O365" s="254">
        <v>525.79999999999995</v>
      </c>
      <c r="P365" s="250"/>
      <c r="Q365" s="252">
        <v>0</v>
      </c>
      <c r="R365" s="253">
        <v>0</v>
      </c>
      <c r="S365" s="252">
        <v>0</v>
      </c>
      <c r="T365" s="564">
        <v>0</v>
      </c>
      <c r="U365" s="564"/>
      <c r="V365" s="252">
        <v>0</v>
      </c>
      <c r="W365" s="250"/>
      <c r="X365" s="561">
        <v>525.79999999999995</v>
      </c>
      <c r="Y365" s="561"/>
      <c r="Z365" s="250"/>
      <c r="AA365" s="266">
        <v>7990200</v>
      </c>
      <c r="AB365" s="566">
        <v>16829</v>
      </c>
      <c r="AC365" s="566"/>
      <c r="AD365" s="242"/>
    </row>
    <row r="366" spans="1:30">
      <c r="A366" s="242"/>
      <c r="B366" s="559"/>
      <c r="C366" s="559"/>
      <c r="D366" s="247"/>
      <c r="E366" s="250"/>
      <c r="F366" s="554"/>
      <c r="G366" s="554"/>
      <c r="H366" s="250"/>
      <c r="I366" s="554"/>
      <c r="J366" s="554"/>
      <c r="K366" s="250"/>
      <c r="L366" s="250"/>
      <c r="M366" s="250"/>
      <c r="N366" s="250"/>
      <c r="O366" s="250"/>
      <c r="P366" s="250"/>
      <c r="Q366" s="250"/>
      <c r="R366" s="250"/>
      <c r="S366" s="250"/>
      <c r="T366" s="554"/>
      <c r="U366" s="554"/>
      <c r="V366" s="250"/>
      <c r="W366" s="250"/>
      <c r="X366" s="554"/>
      <c r="Y366" s="554"/>
      <c r="Z366" s="250"/>
      <c r="AA366" s="250"/>
      <c r="AB366" s="554"/>
      <c r="AC366" s="554"/>
      <c r="AD366" s="242"/>
    </row>
    <row r="367" spans="1:30">
      <c r="A367" s="242"/>
      <c r="B367" s="558">
        <v>39775</v>
      </c>
      <c r="C367" s="558"/>
      <c r="D367" s="247"/>
      <c r="E367" s="256">
        <v>199.3</v>
      </c>
      <c r="F367" s="557">
        <v>24</v>
      </c>
      <c r="G367" s="557"/>
      <c r="H367" s="256">
        <v>243.7</v>
      </c>
      <c r="I367" s="557">
        <v>24</v>
      </c>
      <c r="J367" s="557"/>
      <c r="K367" s="256"/>
      <c r="L367" s="257"/>
      <c r="M367" s="256">
        <v>132</v>
      </c>
      <c r="N367" s="257">
        <v>24</v>
      </c>
      <c r="O367" s="258">
        <v>575</v>
      </c>
      <c r="P367" s="250"/>
      <c r="Q367" s="256"/>
      <c r="R367" s="257"/>
      <c r="S367" s="256"/>
      <c r="T367" s="557"/>
      <c r="U367" s="557"/>
      <c r="V367" s="256"/>
      <c r="W367" s="250"/>
      <c r="X367" s="556">
        <v>575</v>
      </c>
      <c r="Y367" s="556"/>
      <c r="Z367" s="250"/>
      <c r="AA367" s="267">
        <v>7256400</v>
      </c>
      <c r="AB367" s="565">
        <v>83008</v>
      </c>
      <c r="AC367" s="565"/>
      <c r="AD367" s="242"/>
    </row>
    <row r="368" spans="1:30">
      <c r="A368" s="242"/>
      <c r="B368" s="559"/>
      <c r="C368" s="559"/>
      <c r="D368" s="247"/>
      <c r="E368" s="250"/>
      <c r="F368" s="554"/>
      <c r="G368" s="554"/>
      <c r="H368" s="250"/>
      <c r="I368" s="554"/>
      <c r="J368" s="554"/>
      <c r="K368" s="250"/>
      <c r="L368" s="250"/>
      <c r="M368" s="250"/>
      <c r="N368" s="250"/>
      <c r="O368" s="250"/>
      <c r="P368" s="250"/>
      <c r="Q368" s="250"/>
      <c r="R368" s="250"/>
      <c r="S368" s="250"/>
      <c r="T368" s="554"/>
      <c r="U368" s="554"/>
      <c r="V368" s="250"/>
      <c r="W368" s="250"/>
      <c r="X368" s="554"/>
      <c r="Y368" s="554"/>
      <c r="Z368" s="250"/>
      <c r="AA368" s="250"/>
      <c r="AB368" s="554"/>
      <c r="AC368" s="554"/>
      <c r="AD368" s="242"/>
    </row>
    <row r="369" spans="1:30">
      <c r="A369" s="242"/>
      <c r="B369" s="563">
        <v>39776</v>
      </c>
      <c r="C369" s="563"/>
      <c r="D369" s="247"/>
      <c r="E369" s="252">
        <v>154.80000000000001</v>
      </c>
      <c r="F369" s="564">
        <v>24</v>
      </c>
      <c r="G369" s="564"/>
      <c r="H369" s="252">
        <v>165.2</v>
      </c>
      <c r="I369" s="564">
        <v>24</v>
      </c>
      <c r="J369" s="564"/>
      <c r="K369" s="252"/>
      <c r="L369" s="253"/>
      <c r="M369" s="252">
        <v>234</v>
      </c>
      <c r="N369" s="253">
        <v>24</v>
      </c>
      <c r="O369" s="254">
        <v>554</v>
      </c>
      <c r="P369" s="250"/>
      <c r="Q369" s="252"/>
      <c r="R369" s="253"/>
      <c r="S369" s="252"/>
      <c r="T369" s="564"/>
      <c r="U369" s="564"/>
      <c r="V369" s="252"/>
      <c r="W369" s="250"/>
      <c r="X369" s="561">
        <v>554</v>
      </c>
      <c r="Y369" s="561"/>
      <c r="Z369" s="250"/>
      <c r="AA369" s="266">
        <v>2572200</v>
      </c>
      <c r="AB369" s="566">
        <v>233118</v>
      </c>
      <c r="AC369" s="566"/>
      <c r="AD369" s="242"/>
    </row>
    <row r="370" spans="1:30">
      <c r="A370" s="242"/>
      <c r="B370" s="559"/>
      <c r="C370" s="559"/>
      <c r="D370" s="247"/>
      <c r="E370" s="250"/>
      <c r="F370" s="554"/>
      <c r="G370" s="554"/>
      <c r="H370" s="250"/>
      <c r="I370" s="554"/>
      <c r="J370" s="554"/>
      <c r="K370" s="250"/>
      <c r="L370" s="250"/>
      <c r="M370" s="250"/>
      <c r="N370" s="250"/>
      <c r="O370" s="250"/>
      <c r="P370" s="250"/>
      <c r="Q370" s="250"/>
      <c r="R370" s="250"/>
      <c r="S370" s="250"/>
      <c r="T370" s="554"/>
      <c r="U370" s="554"/>
      <c r="V370" s="250"/>
      <c r="W370" s="250"/>
      <c r="X370" s="554"/>
      <c r="Y370" s="554"/>
      <c r="Z370" s="250"/>
      <c r="AA370" s="250"/>
      <c r="AB370" s="554"/>
      <c r="AC370" s="554"/>
      <c r="AD370" s="242"/>
    </row>
    <row r="371" spans="1:30">
      <c r="A371" s="242"/>
      <c r="B371" s="558">
        <v>39777</v>
      </c>
      <c r="C371" s="558"/>
      <c r="D371" s="247"/>
      <c r="E371" s="256">
        <v>241.2</v>
      </c>
      <c r="F371" s="557">
        <v>24</v>
      </c>
      <c r="G371" s="557"/>
      <c r="H371" s="256">
        <v>256.39999999999998</v>
      </c>
      <c r="I371" s="557">
        <v>24</v>
      </c>
      <c r="J371" s="557"/>
      <c r="K371" s="256">
        <v>0</v>
      </c>
      <c r="L371" s="257">
        <v>0</v>
      </c>
      <c r="M371" s="256">
        <v>74</v>
      </c>
      <c r="N371" s="257">
        <v>7</v>
      </c>
      <c r="O371" s="258">
        <v>571.6</v>
      </c>
      <c r="P371" s="250"/>
      <c r="Q371" s="256">
        <v>0</v>
      </c>
      <c r="R371" s="257">
        <v>0</v>
      </c>
      <c r="S371" s="256">
        <v>98</v>
      </c>
      <c r="T371" s="557">
        <v>16</v>
      </c>
      <c r="U371" s="557"/>
      <c r="V371" s="256">
        <v>98</v>
      </c>
      <c r="W371" s="250"/>
      <c r="X371" s="556">
        <v>669.6</v>
      </c>
      <c r="Y371" s="556"/>
      <c r="Z371" s="250"/>
      <c r="AA371" s="267">
        <v>2647500</v>
      </c>
      <c r="AB371" s="565">
        <v>204648</v>
      </c>
      <c r="AC371" s="565"/>
      <c r="AD371" s="242"/>
    </row>
    <row r="372" spans="1:30">
      <c r="A372" s="242"/>
      <c r="B372" s="559"/>
      <c r="C372" s="559"/>
      <c r="D372" s="247"/>
      <c r="E372" s="250"/>
      <c r="F372" s="554"/>
      <c r="G372" s="554"/>
      <c r="H372" s="250"/>
      <c r="I372" s="554"/>
      <c r="J372" s="554"/>
      <c r="K372" s="250"/>
      <c r="L372" s="250"/>
      <c r="M372" s="250"/>
      <c r="N372" s="250"/>
      <c r="O372" s="250"/>
      <c r="P372" s="250"/>
      <c r="Q372" s="250"/>
      <c r="R372" s="250"/>
      <c r="S372" s="250"/>
      <c r="T372" s="554"/>
      <c r="U372" s="554"/>
      <c r="V372" s="250"/>
      <c r="W372" s="250"/>
      <c r="X372" s="554"/>
      <c r="Y372" s="554"/>
      <c r="Z372" s="250"/>
      <c r="AA372" s="250"/>
      <c r="AB372" s="554"/>
      <c r="AC372" s="554"/>
      <c r="AD372" s="242"/>
    </row>
    <row r="373" spans="1:30">
      <c r="A373" s="242"/>
      <c r="B373" s="563">
        <v>39778</v>
      </c>
      <c r="C373" s="563"/>
      <c r="D373" s="247"/>
      <c r="E373" s="252">
        <v>233</v>
      </c>
      <c r="F373" s="564">
        <v>24</v>
      </c>
      <c r="G373" s="564"/>
      <c r="H373" s="252">
        <v>255.6</v>
      </c>
      <c r="I373" s="564">
        <v>24</v>
      </c>
      <c r="J373" s="564"/>
      <c r="K373" s="252">
        <v>0</v>
      </c>
      <c r="L373" s="253">
        <v>0</v>
      </c>
      <c r="M373" s="252">
        <v>0</v>
      </c>
      <c r="N373" s="253">
        <v>6</v>
      </c>
      <c r="O373" s="254">
        <v>488.6</v>
      </c>
      <c r="P373" s="250"/>
      <c r="Q373" s="252">
        <v>0</v>
      </c>
      <c r="R373" s="253">
        <v>0</v>
      </c>
      <c r="S373" s="252">
        <v>96</v>
      </c>
      <c r="T373" s="564">
        <v>19</v>
      </c>
      <c r="U373" s="564"/>
      <c r="V373" s="252">
        <v>96</v>
      </c>
      <c r="W373" s="250"/>
      <c r="X373" s="561">
        <v>584.6</v>
      </c>
      <c r="Y373" s="561"/>
      <c r="Z373" s="250"/>
      <c r="AA373" s="266">
        <v>3410200</v>
      </c>
      <c r="AB373" s="566">
        <v>162208</v>
      </c>
      <c r="AC373" s="566"/>
      <c r="AD373" s="242"/>
    </row>
    <row r="374" spans="1:30">
      <c r="A374" s="242"/>
      <c r="B374" s="559"/>
      <c r="C374" s="559"/>
      <c r="D374" s="247"/>
      <c r="E374" s="250"/>
      <c r="F374" s="554"/>
      <c r="G374" s="554"/>
      <c r="H374" s="250"/>
      <c r="I374" s="554"/>
      <c r="J374" s="554"/>
      <c r="K374" s="250"/>
      <c r="L374" s="250"/>
      <c r="M374" s="250"/>
      <c r="N374" s="250"/>
      <c r="O374" s="250"/>
      <c r="P374" s="250"/>
      <c r="Q374" s="250"/>
      <c r="R374" s="250"/>
      <c r="S374" s="250"/>
      <c r="T374" s="554"/>
      <c r="U374" s="554"/>
      <c r="V374" s="250"/>
      <c r="W374" s="250"/>
      <c r="X374" s="554"/>
      <c r="Y374" s="554"/>
      <c r="Z374" s="250"/>
      <c r="AA374" s="250"/>
      <c r="AB374" s="554"/>
      <c r="AC374" s="554"/>
      <c r="AD374" s="242"/>
    </row>
    <row r="375" spans="1:30">
      <c r="A375" s="242"/>
      <c r="B375" s="558">
        <v>39779</v>
      </c>
      <c r="C375" s="558"/>
      <c r="D375" s="247"/>
      <c r="E375" s="256">
        <v>223</v>
      </c>
      <c r="F375" s="557">
        <v>24</v>
      </c>
      <c r="G375" s="557"/>
      <c r="H375" s="256">
        <v>262.5</v>
      </c>
      <c r="I375" s="557">
        <v>24</v>
      </c>
      <c r="J375" s="557"/>
      <c r="K375" s="256">
        <v>0</v>
      </c>
      <c r="L375" s="257">
        <v>0</v>
      </c>
      <c r="M375" s="256">
        <v>68</v>
      </c>
      <c r="N375" s="257">
        <v>9</v>
      </c>
      <c r="O375" s="258">
        <v>553.5</v>
      </c>
      <c r="P375" s="250"/>
      <c r="Q375" s="256">
        <v>0</v>
      </c>
      <c r="R375" s="257">
        <v>0</v>
      </c>
      <c r="S375" s="256">
        <v>0</v>
      </c>
      <c r="T375" s="557">
        <v>0</v>
      </c>
      <c r="U375" s="557"/>
      <c r="V375" s="256">
        <v>0</v>
      </c>
      <c r="W375" s="250"/>
      <c r="X375" s="556">
        <v>553.5</v>
      </c>
      <c r="Y375" s="556"/>
      <c r="Z375" s="250"/>
      <c r="AA375" s="267">
        <v>445300</v>
      </c>
      <c r="AB375" s="565">
        <v>311079</v>
      </c>
      <c r="AC375" s="565"/>
      <c r="AD375" s="242"/>
    </row>
    <row r="376" spans="1:30">
      <c r="A376" s="242"/>
      <c r="B376" s="559"/>
      <c r="C376" s="559"/>
      <c r="D376" s="247"/>
      <c r="E376" s="250"/>
      <c r="F376" s="554"/>
      <c r="G376" s="554"/>
      <c r="H376" s="250"/>
      <c r="I376" s="554"/>
      <c r="J376" s="554"/>
      <c r="K376" s="250"/>
      <c r="L376" s="250"/>
      <c r="M376" s="250"/>
      <c r="N376" s="250"/>
      <c r="O376" s="250"/>
      <c r="P376" s="250"/>
      <c r="Q376" s="250"/>
      <c r="R376" s="250"/>
      <c r="S376" s="250"/>
      <c r="T376" s="554"/>
      <c r="U376" s="554"/>
      <c r="V376" s="250"/>
      <c r="W376" s="250"/>
      <c r="X376" s="554"/>
      <c r="Y376" s="554"/>
      <c r="Z376" s="250"/>
      <c r="AA376" s="250"/>
      <c r="AB376" s="554"/>
      <c r="AC376" s="554"/>
      <c r="AD376" s="242"/>
    </row>
    <row r="377" spans="1:30">
      <c r="A377" s="242"/>
      <c r="B377" s="563">
        <v>39780</v>
      </c>
      <c r="C377" s="563"/>
      <c r="D377" s="247"/>
      <c r="E377" s="252">
        <v>243</v>
      </c>
      <c r="F377" s="564">
        <v>24</v>
      </c>
      <c r="G377" s="564"/>
      <c r="H377" s="252">
        <v>294.7</v>
      </c>
      <c r="I377" s="564">
        <v>24</v>
      </c>
      <c r="J377" s="564"/>
      <c r="K377" s="252">
        <v>0</v>
      </c>
      <c r="L377" s="253">
        <v>0</v>
      </c>
      <c r="M377" s="252">
        <v>52</v>
      </c>
      <c r="N377" s="253">
        <v>9</v>
      </c>
      <c r="O377" s="254">
        <v>589.70000000000005</v>
      </c>
      <c r="P377" s="250"/>
      <c r="Q377" s="252">
        <v>0</v>
      </c>
      <c r="R377" s="253">
        <v>0</v>
      </c>
      <c r="S377" s="252">
        <v>12</v>
      </c>
      <c r="T377" s="564">
        <v>3</v>
      </c>
      <c r="U377" s="564"/>
      <c r="V377" s="252">
        <v>12</v>
      </c>
      <c r="W377" s="250"/>
      <c r="X377" s="561">
        <v>601.70000000000005</v>
      </c>
      <c r="Y377" s="561"/>
      <c r="Z377" s="250"/>
      <c r="AA377" s="266">
        <v>0</v>
      </c>
      <c r="AB377" s="566">
        <v>306330</v>
      </c>
      <c r="AC377" s="566"/>
      <c r="AD377" s="242"/>
    </row>
    <row r="378" spans="1:30">
      <c r="A378" s="242"/>
      <c r="B378" s="559"/>
      <c r="C378" s="559"/>
      <c r="D378" s="247"/>
      <c r="E378" s="250"/>
      <c r="F378" s="554"/>
      <c r="G378" s="554"/>
      <c r="H378" s="250"/>
      <c r="I378" s="554"/>
      <c r="J378" s="554"/>
      <c r="K378" s="250"/>
      <c r="L378" s="250"/>
      <c r="M378" s="250"/>
      <c r="N378" s="250"/>
      <c r="O378" s="250"/>
      <c r="P378" s="250"/>
      <c r="Q378" s="250"/>
      <c r="R378" s="250"/>
      <c r="S378" s="250"/>
      <c r="T378" s="554"/>
      <c r="U378" s="554"/>
      <c r="V378" s="250"/>
      <c r="W378" s="250"/>
      <c r="X378" s="554"/>
      <c r="Y378" s="554"/>
      <c r="Z378" s="250"/>
      <c r="AA378" s="250"/>
      <c r="AB378" s="554"/>
      <c r="AC378" s="554"/>
      <c r="AD378" s="242"/>
    </row>
    <row r="379" spans="1:30">
      <c r="A379" s="242"/>
      <c r="B379" s="558">
        <v>39781</v>
      </c>
      <c r="C379" s="558"/>
      <c r="D379" s="247"/>
      <c r="E379" s="256">
        <v>258.8</v>
      </c>
      <c r="F379" s="557">
        <v>24</v>
      </c>
      <c r="G379" s="557"/>
      <c r="H379" s="256">
        <v>315.5</v>
      </c>
      <c r="I379" s="557">
        <v>24</v>
      </c>
      <c r="J379" s="557"/>
      <c r="K379" s="256">
        <v>0</v>
      </c>
      <c r="L379" s="257">
        <v>0</v>
      </c>
      <c r="M379" s="256">
        <v>22</v>
      </c>
      <c r="N379" s="257">
        <v>5</v>
      </c>
      <c r="O379" s="258">
        <v>596.29999999999995</v>
      </c>
      <c r="P379" s="250"/>
      <c r="Q379" s="256">
        <v>0</v>
      </c>
      <c r="R379" s="257">
        <v>0</v>
      </c>
      <c r="S379" s="256">
        <v>0</v>
      </c>
      <c r="T379" s="557">
        <v>0</v>
      </c>
      <c r="U379" s="557"/>
      <c r="V379" s="256">
        <v>0</v>
      </c>
      <c r="W379" s="250"/>
      <c r="X379" s="556">
        <v>596.29999999999995</v>
      </c>
      <c r="Y379" s="556"/>
      <c r="Z379" s="250"/>
      <c r="AA379" s="267">
        <v>553600</v>
      </c>
      <c r="AB379" s="565">
        <v>285828</v>
      </c>
      <c r="AC379" s="565"/>
      <c r="AD379" s="242"/>
    </row>
    <row r="380" spans="1:30">
      <c r="A380" s="242"/>
      <c r="B380" s="559"/>
      <c r="C380" s="559"/>
      <c r="D380" s="247"/>
      <c r="E380" s="250"/>
      <c r="F380" s="554"/>
      <c r="G380" s="554"/>
      <c r="H380" s="250"/>
      <c r="I380" s="554"/>
      <c r="J380" s="554"/>
      <c r="K380" s="250"/>
      <c r="L380" s="250"/>
      <c r="M380" s="250"/>
      <c r="N380" s="250"/>
      <c r="O380" s="250"/>
      <c r="P380" s="250"/>
      <c r="Q380" s="250"/>
      <c r="R380" s="250"/>
      <c r="S380" s="250"/>
      <c r="T380" s="554"/>
      <c r="U380" s="554"/>
      <c r="V380" s="250"/>
      <c r="W380" s="250"/>
      <c r="X380" s="554"/>
      <c r="Y380" s="554"/>
      <c r="Z380" s="250"/>
      <c r="AA380" s="250"/>
      <c r="AB380" s="554"/>
      <c r="AC380" s="554"/>
      <c r="AD380" s="242"/>
    </row>
    <row r="381" spans="1:30">
      <c r="A381" s="242"/>
      <c r="B381" s="563">
        <v>39782</v>
      </c>
      <c r="C381" s="563"/>
      <c r="D381" s="247"/>
      <c r="E381" s="252">
        <v>262.7</v>
      </c>
      <c r="F381" s="564">
        <v>24</v>
      </c>
      <c r="G381" s="564"/>
      <c r="H381" s="252">
        <v>305.8</v>
      </c>
      <c r="I381" s="564">
        <v>24</v>
      </c>
      <c r="J381" s="564"/>
      <c r="K381" s="252">
        <v>0</v>
      </c>
      <c r="L381" s="253">
        <v>0</v>
      </c>
      <c r="M381" s="252">
        <v>88</v>
      </c>
      <c r="N381" s="253">
        <v>14</v>
      </c>
      <c r="O381" s="254">
        <v>656.5</v>
      </c>
      <c r="P381" s="250"/>
      <c r="Q381" s="252">
        <v>0</v>
      </c>
      <c r="R381" s="253">
        <v>0</v>
      </c>
      <c r="S381" s="252">
        <v>0</v>
      </c>
      <c r="T381" s="564">
        <v>0</v>
      </c>
      <c r="U381" s="564"/>
      <c r="V381" s="252">
        <v>0</v>
      </c>
      <c r="W381" s="250"/>
      <c r="X381" s="561">
        <v>656.5</v>
      </c>
      <c r="Y381" s="561"/>
      <c r="Z381" s="250"/>
      <c r="AA381" s="266">
        <v>1637900</v>
      </c>
      <c r="AB381" s="566">
        <v>281997</v>
      </c>
      <c r="AC381" s="566"/>
      <c r="AD381" s="242"/>
    </row>
    <row r="382" spans="1:30">
      <c r="A382" s="242"/>
      <c r="B382" s="559"/>
      <c r="C382" s="559"/>
      <c r="D382" s="247"/>
      <c r="E382" s="250"/>
      <c r="F382" s="554"/>
      <c r="G382" s="554"/>
      <c r="H382" s="250"/>
      <c r="I382" s="554"/>
      <c r="J382" s="554"/>
      <c r="K382" s="250"/>
      <c r="L382" s="250"/>
      <c r="M382" s="250"/>
      <c r="N382" s="250"/>
      <c r="O382" s="250"/>
      <c r="P382" s="250"/>
      <c r="Q382" s="250"/>
      <c r="R382" s="250"/>
      <c r="S382" s="250"/>
      <c r="T382" s="554"/>
      <c r="U382" s="554"/>
      <c r="V382" s="250"/>
      <c r="W382" s="250"/>
      <c r="X382" s="554"/>
      <c r="Y382" s="554"/>
      <c r="Z382" s="250"/>
      <c r="AA382" s="250"/>
      <c r="AB382" s="554"/>
      <c r="AC382" s="554"/>
      <c r="AD382" s="242"/>
    </row>
    <row r="383" spans="1:30">
      <c r="A383" s="242"/>
      <c r="B383" s="558">
        <v>39783</v>
      </c>
      <c r="C383" s="558"/>
      <c r="D383" s="247"/>
      <c r="E383" s="256">
        <v>142.5</v>
      </c>
      <c r="F383" s="557">
        <v>24</v>
      </c>
      <c r="G383" s="557"/>
      <c r="H383" s="256">
        <v>205.5</v>
      </c>
      <c r="I383" s="557">
        <v>24</v>
      </c>
      <c r="J383" s="557"/>
      <c r="K383" s="256"/>
      <c r="L383" s="257"/>
      <c r="M383" s="256">
        <v>303</v>
      </c>
      <c r="N383" s="257"/>
      <c r="O383" s="258">
        <v>651</v>
      </c>
      <c r="P383" s="250"/>
      <c r="Q383" s="256"/>
      <c r="R383" s="257"/>
      <c r="S383" s="256"/>
      <c r="T383" s="557"/>
      <c r="U383" s="557"/>
      <c r="V383" s="256"/>
      <c r="W383" s="250"/>
      <c r="X383" s="556">
        <v>651</v>
      </c>
      <c r="Y383" s="556"/>
      <c r="Z383" s="250"/>
      <c r="AA383" s="267">
        <v>4124600</v>
      </c>
      <c r="AB383" s="565">
        <v>224805</v>
      </c>
      <c r="AC383" s="565"/>
      <c r="AD383" s="242"/>
    </row>
    <row r="384" spans="1:30">
      <c r="A384" s="242"/>
      <c r="B384" s="559"/>
      <c r="C384" s="559"/>
      <c r="D384" s="247"/>
      <c r="E384" s="250"/>
      <c r="F384" s="554"/>
      <c r="G384" s="554"/>
      <c r="H384" s="250"/>
      <c r="I384" s="554"/>
      <c r="J384" s="554"/>
      <c r="K384" s="250"/>
      <c r="L384" s="250"/>
      <c r="M384" s="250"/>
      <c r="N384" s="250"/>
      <c r="O384" s="250"/>
      <c r="P384" s="250"/>
      <c r="Q384" s="250"/>
      <c r="R384" s="250"/>
      <c r="S384" s="250"/>
      <c r="T384" s="554"/>
      <c r="U384" s="554"/>
      <c r="V384" s="250"/>
      <c r="W384" s="250"/>
      <c r="X384" s="554"/>
      <c r="Y384" s="554"/>
      <c r="Z384" s="250"/>
      <c r="AA384" s="250"/>
      <c r="AB384" s="554"/>
      <c r="AC384" s="554"/>
      <c r="AD384" s="242"/>
    </row>
    <row r="385" spans="1:30">
      <c r="A385" s="242"/>
      <c r="B385" s="563">
        <v>39784</v>
      </c>
      <c r="C385" s="563"/>
      <c r="D385" s="247"/>
      <c r="E385" s="252">
        <v>3.6</v>
      </c>
      <c r="F385" s="564">
        <v>24</v>
      </c>
      <c r="G385" s="564"/>
      <c r="H385" s="252">
        <v>277.2</v>
      </c>
      <c r="I385" s="564">
        <v>24</v>
      </c>
      <c r="J385" s="564"/>
      <c r="K385" s="252">
        <v>0</v>
      </c>
      <c r="L385" s="253">
        <v>0</v>
      </c>
      <c r="M385" s="252">
        <v>436</v>
      </c>
      <c r="N385" s="253">
        <v>24</v>
      </c>
      <c r="O385" s="254">
        <v>716.8</v>
      </c>
      <c r="P385" s="250"/>
      <c r="Q385" s="252">
        <v>0</v>
      </c>
      <c r="R385" s="253">
        <v>0</v>
      </c>
      <c r="S385" s="252">
        <v>0</v>
      </c>
      <c r="T385" s="564">
        <v>0</v>
      </c>
      <c r="U385" s="564"/>
      <c r="V385" s="252">
        <v>0</v>
      </c>
      <c r="W385" s="250"/>
      <c r="X385" s="561">
        <v>716.8</v>
      </c>
      <c r="Y385" s="561"/>
      <c r="Z385" s="250"/>
      <c r="AA385" s="266">
        <v>7669200</v>
      </c>
      <c r="AB385" s="566">
        <v>123020</v>
      </c>
      <c r="AC385" s="566"/>
      <c r="AD385" s="242"/>
    </row>
    <row r="386" spans="1:30">
      <c r="A386" s="242"/>
      <c r="B386" s="559"/>
      <c r="C386" s="559"/>
      <c r="D386" s="247"/>
      <c r="E386" s="250"/>
      <c r="F386" s="554"/>
      <c r="G386" s="554"/>
      <c r="H386" s="250"/>
      <c r="I386" s="554"/>
      <c r="J386" s="554"/>
      <c r="K386" s="250"/>
      <c r="L386" s="250"/>
      <c r="M386" s="250"/>
      <c r="N386" s="250"/>
      <c r="O386" s="250"/>
      <c r="P386" s="250"/>
      <c r="Q386" s="250"/>
      <c r="R386" s="250"/>
      <c r="S386" s="250"/>
      <c r="T386" s="554"/>
      <c r="U386" s="554"/>
      <c r="V386" s="250"/>
      <c r="W386" s="250"/>
      <c r="X386" s="554"/>
      <c r="Y386" s="554"/>
      <c r="Z386" s="250"/>
      <c r="AA386" s="250"/>
      <c r="AB386" s="554"/>
      <c r="AC386" s="554"/>
      <c r="AD386" s="242"/>
    </row>
    <row r="387" spans="1:30">
      <c r="A387" s="242"/>
      <c r="B387" s="558">
        <v>39785</v>
      </c>
      <c r="C387" s="558"/>
      <c r="D387" s="247"/>
      <c r="E387" s="256">
        <v>0</v>
      </c>
      <c r="F387" s="557">
        <v>6</v>
      </c>
      <c r="G387" s="557"/>
      <c r="H387" s="256">
        <v>204.8</v>
      </c>
      <c r="I387" s="557">
        <v>24</v>
      </c>
      <c r="J387" s="557"/>
      <c r="K387" s="256">
        <v>0</v>
      </c>
      <c r="L387" s="257">
        <v>0</v>
      </c>
      <c r="M387" s="256">
        <v>406</v>
      </c>
      <c r="N387" s="257">
        <v>24</v>
      </c>
      <c r="O387" s="258">
        <v>610.79999999999995</v>
      </c>
      <c r="P387" s="250"/>
      <c r="Q387" s="256">
        <v>0</v>
      </c>
      <c r="R387" s="257">
        <v>0</v>
      </c>
      <c r="S387" s="256">
        <v>0</v>
      </c>
      <c r="T387" s="557">
        <v>0</v>
      </c>
      <c r="U387" s="557"/>
      <c r="V387" s="256">
        <v>0</v>
      </c>
      <c r="W387" s="250"/>
      <c r="X387" s="556">
        <v>610.79999999999995</v>
      </c>
      <c r="Y387" s="556"/>
      <c r="Z387" s="250"/>
      <c r="AA387" s="267">
        <v>8418800</v>
      </c>
      <c r="AB387" s="565">
        <v>18599</v>
      </c>
      <c r="AC387" s="565"/>
      <c r="AD387" s="242"/>
    </row>
    <row r="388" spans="1:30">
      <c r="A388" s="242"/>
      <c r="B388" s="559"/>
      <c r="C388" s="559"/>
      <c r="D388" s="247"/>
      <c r="E388" s="250"/>
      <c r="F388" s="554"/>
      <c r="G388" s="554"/>
      <c r="H388" s="250"/>
      <c r="I388" s="554"/>
      <c r="J388" s="554"/>
      <c r="K388" s="250"/>
      <c r="L388" s="250"/>
      <c r="M388" s="250"/>
      <c r="N388" s="250"/>
      <c r="O388" s="250"/>
      <c r="P388" s="250"/>
      <c r="Q388" s="250"/>
      <c r="R388" s="250"/>
      <c r="S388" s="250"/>
      <c r="T388" s="554"/>
      <c r="U388" s="554"/>
      <c r="V388" s="250"/>
      <c r="W388" s="250"/>
      <c r="X388" s="554"/>
      <c r="Y388" s="554"/>
      <c r="Z388" s="250"/>
      <c r="AA388" s="250"/>
      <c r="AB388" s="554"/>
      <c r="AC388" s="554"/>
      <c r="AD388" s="242"/>
    </row>
    <row r="389" spans="1:30">
      <c r="A389" s="242"/>
      <c r="B389" s="563">
        <v>39786</v>
      </c>
      <c r="C389" s="563"/>
      <c r="D389" s="247"/>
      <c r="E389" s="252">
        <v>0</v>
      </c>
      <c r="F389" s="564">
        <v>0</v>
      </c>
      <c r="G389" s="564"/>
      <c r="H389" s="252">
        <v>139.5</v>
      </c>
      <c r="I389" s="564">
        <v>24</v>
      </c>
      <c r="J389" s="564"/>
      <c r="K389" s="252">
        <v>0</v>
      </c>
      <c r="L389" s="253">
        <v>0</v>
      </c>
      <c r="M389" s="252">
        <v>449</v>
      </c>
      <c r="N389" s="253">
        <v>24</v>
      </c>
      <c r="O389" s="254">
        <v>588.5</v>
      </c>
      <c r="P389" s="250"/>
      <c r="Q389" s="252">
        <v>0</v>
      </c>
      <c r="R389" s="253">
        <v>0</v>
      </c>
      <c r="S389" s="252">
        <v>0</v>
      </c>
      <c r="T389" s="564">
        <v>0</v>
      </c>
      <c r="U389" s="564"/>
      <c r="V389" s="252">
        <v>0</v>
      </c>
      <c r="W389" s="250"/>
      <c r="X389" s="561">
        <v>588.5</v>
      </c>
      <c r="Y389" s="561"/>
      <c r="Z389" s="250"/>
      <c r="AA389" s="266">
        <v>8210500</v>
      </c>
      <c r="AB389" s="566">
        <v>0</v>
      </c>
      <c r="AC389" s="566"/>
      <c r="AD389" s="242"/>
    </row>
    <row r="390" spans="1:30">
      <c r="A390" s="242"/>
      <c r="B390" s="559"/>
      <c r="C390" s="559"/>
      <c r="D390" s="247"/>
      <c r="E390" s="250"/>
      <c r="F390" s="554"/>
      <c r="G390" s="554"/>
      <c r="H390" s="250"/>
      <c r="I390" s="554"/>
      <c r="J390" s="554"/>
      <c r="K390" s="250"/>
      <c r="L390" s="250"/>
      <c r="M390" s="250"/>
      <c r="N390" s="250"/>
      <c r="O390" s="250"/>
      <c r="P390" s="250"/>
      <c r="Q390" s="250"/>
      <c r="R390" s="250"/>
      <c r="S390" s="250"/>
      <c r="T390" s="554"/>
      <c r="U390" s="554"/>
      <c r="V390" s="250"/>
      <c r="W390" s="250"/>
      <c r="X390" s="554"/>
      <c r="Y390" s="554"/>
      <c r="Z390" s="250"/>
      <c r="AA390" s="250"/>
      <c r="AB390" s="554"/>
      <c r="AC390" s="554"/>
      <c r="AD390" s="242"/>
    </row>
    <row r="391" spans="1:30">
      <c r="A391" s="242"/>
      <c r="B391" s="558">
        <v>39787</v>
      </c>
      <c r="C391" s="558"/>
      <c r="D391" s="247"/>
      <c r="E391" s="256">
        <v>0</v>
      </c>
      <c r="F391" s="557">
        <v>0</v>
      </c>
      <c r="G391" s="557"/>
      <c r="H391" s="256">
        <v>178.8</v>
      </c>
      <c r="I391" s="557">
        <v>24</v>
      </c>
      <c r="J391" s="557"/>
      <c r="K391" s="256">
        <v>0</v>
      </c>
      <c r="L391" s="257">
        <v>0</v>
      </c>
      <c r="M391" s="256">
        <v>450</v>
      </c>
      <c r="N391" s="257">
        <v>24</v>
      </c>
      <c r="O391" s="258">
        <v>628.79999999999995</v>
      </c>
      <c r="P391" s="250"/>
      <c r="Q391" s="256">
        <v>0</v>
      </c>
      <c r="R391" s="257">
        <v>0</v>
      </c>
      <c r="S391" s="256">
        <v>0</v>
      </c>
      <c r="T391" s="557">
        <v>0</v>
      </c>
      <c r="U391" s="557"/>
      <c r="V391" s="256">
        <v>0</v>
      </c>
      <c r="W391" s="250"/>
      <c r="X391" s="556">
        <v>628.79999999999995</v>
      </c>
      <c r="Y391" s="556"/>
      <c r="Z391" s="250"/>
      <c r="AA391" s="267">
        <v>7428300</v>
      </c>
      <c r="AB391" s="565">
        <v>0</v>
      </c>
      <c r="AC391" s="565"/>
      <c r="AD391" s="242"/>
    </row>
    <row r="392" spans="1:30">
      <c r="A392" s="242"/>
      <c r="B392" s="559"/>
      <c r="C392" s="559"/>
      <c r="D392" s="247"/>
      <c r="E392" s="250"/>
      <c r="F392" s="554"/>
      <c r="G392" s="554"/>
      <c r="H392" s="250"/>
      <c r="I392" s="554"/>
      <c r="J392" s="554"/>
      <c r="K392" s="250"/>
      <c r="L392" s="250"/>
      <c r="M392" s="250"/>
      <c r="N392" s="250"/>
      <c r="O392" s="250"/>
      <c r="P392" s="250"/>
      <c r="Q392" s="250"/>
      <c r="R392" s="250"/>
      <c r="S392" s="250"/>
      <c r="T392" s="554"/>
      <c r="U392" s="554"/>
      <c r="V392" s="250"/>
      <c r="W392" s="250"/>
      <c r="X392" s="554"/>
      <c r="Y392" s="554"/>
      <c r="Z392" s="250"/>
      <c r="AA392" s="250"/>
      <c r="AB392" s="554"/>
      <c r="AC392" s="554"/>
      <c r="AD392" s="242"/>
    </row>
    <row r="393" spans="1:30">
      <c r="A393" s="242"/>
      <c r="B393" s="563">
        <v>39788</v>
      </c>
      <c r="C393" s="563"/>
      <c r="D393" s="247"/>
      <c r="E393" s="252">
        <v>0</v>
      </c>
      <c r="F393" s="564">
        <v>0</v>
      </c>
      <c r="G393" s="564"/>
      <c r="H393" s="252">
        <v>212.2</v>
      </c>
      <c r="I393" s="564">
        <v>24</v>
      </c>
      <c r="J393" s="564"/>
      <c r="K393" s="252">
        <v>0</v>
      </c>
      <c r="L393" s="253">
        <v>0</v>
      </c>
      <c r="M393" s="252">
        <v>449</v>
      </c>
      <c r="N393" s="253">
        <v>24</v>
      </c>
      <c r="O393" s="254">
        <v>661.2</v>
      </c>
      <c r="P393" s="250"/>
      <c r="Q393" s="252">
        <v>0</v>
      </c>
      <c r="R393" s="253">
        <v>0</v>
      </c>
      <c r="S393" s="252">
        <v>0</v>
      </c>
      <c r="T393" s="564">
        <v>0</v>
      </c>
      <c r="U393" s="564"/>
      <c r="V393" s="252">
        <v>0</v>
      </c>
      <c r="W393" s="250"/>
      <c r="X393" s="561">
        <v>661.2</v>
      </c>
      <c r="Y393" s="561"/>
      <c r="Z393" s="250"/>
      <c r="AA393" s="266">
        <v>9773100</v>
      </c>
      <c r="AB393" s="566">
        <v>1493</v>
      </c>
      <c r="AC393" s="566"/>
      <c r="AD393" s="242"/>
    </row>
    <row r="394" spans="1:30">
      <c r="A394" s="242"/>
      <c r="B394" s="559"/>
      <c r="C394" s="559"/>
      <c r="D394" s="247"/>
      <c r="E394" s="250"/>
      <c r="F394" s="554"/>
      <c r="G394" s="554"/>
      <c r="H394" s="250"/>
      <c r="I394" s="554"/>
      <c r="J394" s="554"/>
      <c r="K394" s="250"/>
      <c r="L394" s="250"/>
      <c r="M394" s="250"/>
      <c r="N394" s="250"/>
      <c r="O394" s="250"/>
      <c r="P394" s="250"/>
      <c r="Q394" s="250"/>
      <c r="R394" s="250"/>
      <c r="S394" s="250"/>
      <c r="T394" s="554"/>
      <c r="U394" s="554"/>
      <c r="V394" s="250"/>
      <c r="W394" s="250"/>
      <c r="X394" s="554"/>
      <c r="Y394" s="554"/>
      <c r="Z394" s="250"/>
      <c r="AA394" s="250"/>
      <c r="AB394" s="554"/>
      <c r="AC394" s="554"/>
      <c r="AD394" s="242"/>
    </row>
    <row r="395" spans="1:30">
      <c r="A395" s="242"/>
      <c r="B395" s="558">
        <v>39789</v>
      </c>
      <c r="C395" s="558"/>
      <c r="D395" s="247"/>
      <c r="E395" s="256"/>
      <c r="F395" s="557"/>
      <c r="G395" s="557"/>
      <c r="H395" s="256">
        <v>263</v>
      </c>
      <c r="I395" s="557">
        <v>24</v>
      </c>
      <c r="J395" s="557"/>
      <c r="K395" s="256"/>
      <c r="L395" s="257"/>
      <c r="M395" s="256">
        <v>451</v>
      </c>
      <c r="N395" s="257">
        <v>24</v>
      </c>
      <c r="O395" s="258">
        <v>714</v>
      </c>
      <c r="P395" s="250"/>
      <c r="Q395" s="256"/>
      <c r="R395" s="257"/>
      <c r="S395" s="256"/>
      <c r="T395" s="557"/>
      <c r="U395" s="557"/>
      <c r="V395" s="256"/>
      <c r="W395" s="250"/>
      <c r="X395" s="556">
        <v>714</v>
      </c>
      <c r="Y395" s="556"/>
      <c r="Z395" s="250"/>
      <c r="AA395" s="267">
        <v>9133200</v>
      </c>
      <c r="AB395" s="565"/>
      <c r="AC395" s="565"/>
      <c r="AD395" s="242"/>
    </row>
    <row r="396" spans="1:30">
      <c r="A396" s="242"/>
      <c r="B396" s="559"/>
      <c r="C396" s="559"/>
      <c r="D396" s="247"/>
      <c r="E396" s="250"/>
      <c r="F396" s="554"/>
      <c r="G396" s="554"/>
      <c r="H396" s="250"/>
      <c r="I396" s="554"/>
      <c r="J396" s="554"/>
      <c r="K396" s="250"/>
      <c r="L396" s="250"/>
      <c r="M396" s="250"/>
      <c r="N396" s="250"/>
      <c r="O396" s="250"/>
      <c r="P396" s="250"/>
      <c r="Q396" s="250"/>
      <c r="R396" s="250"/>
      <c r="S396" s="250"/>
      <c r="T396" s="554"/>
      <c r="U396" s="554"/>
      <c r="V396" s="250"/>
      <c r="W396" s="250"/>
      <c r="X396" s="554"/>
      <c r="Y396" s="554"/>
      <c r="Z396" s="250"/>
      <c r="AA396" s="250"/>
      <c r="AB396" s="554"/>
      <c r="AC396" s="554"/>
      <c r="AD396" s="242"/>
    </row>
    <row r="397" spans="1:30">
      <c r="A397" s="242"/>
      <c r="B397" s="563">
        <v>39790</v>
      </c>
      <c r="C397" s="563"/>
      <c r="D397" s="247"/>
      <c r="E397" s="252"/>
      <c r="F397" s="564"/>
      <c r="G397" s="564"/>
      <c r="H397" s="252">
        <v>239.4</v>
      </c>
      <c r="I397" s="564">
        <v>24</v>
      </c>
      <c r="J397" s="564"/>
      <c r="K397" s="252"/>
      <c r="L397" s="253"/>
      <c r="M397" s="252">
        <v>463</v>
      </c>
      <c r="N397" s="253">
        <v>24</v>
      </c>
      <c r="O397" s="254">
        <v>702.4</v>
      </c>
      <c r="P397" s="250"/>
      <c r="Q397" s="252"/>
      <c r="R397" s="253"/>
      <c r="S397" s="252"/>
      <c r="T397" s="564"/>
      <c r="U397" s="564"/>
      <c r="V397" s="252"/>
      <c r="W397" s="250"/>
      <c r="X397" s="561">
        <v>702.4</v>
      </c>
      <c r="Y397" s="561"/>
      <c r="Z397" s="250"/>
      <c r="AA397" s="266">
        <v>9056000</v>
      </c>
      <c r="AB397" s="566"/>
      <c r="AC397" s="566"/>
      <c r="AD397" s="242"/>
    </row>
    <row r="398" spans="1:30">
      <c r="A398" s="242"/>
      <c r="B398" s="559"/>
      <c r="C398" s="559"/>
      <c r="D398" s="247"/>
      <c r="E398" s="250"/>
      <c r="F398" s="554"/>
      <c r="G398" s="554"/>
      <c r="H398" s="250"/>
      <c r="I398" s="554"/>
      <c r="J398" s="554"/>
      <c r="K398" s="250"/>
      <c r="L398" s="250"/>
      <c r="M398" s="250"/>
      <c r="N398" s="250"/>
      <c r="O398" s="250"/>
      <c r="P398" s="250"/>
      <c r="Q398" s="250"/>
      <c r="R398" s="250"/>
      <c r="S398" s="250"/>
      <c r="T398" s="554"/>
      <c r="U398" s="554"/>
      <c r="V398" s="250"/>
      <c r="W398" s="250"/>
      <c r="X398" s="554"/>
      <c r="Y398" s="554"/>
      <c r="Z398" s="250"/>
      <c r="AA398" s="250"/>
      <c r="AB398" s="554"/>
      <c r="AC398" s="554"/>
      <c r="AD398" s="242"/>
    </row>
    <row r="399" spans="1:30">
      <c r="A399" s="242"/>
      <c r="B399" s="558">
        <v>39791</v>
      </c>
      <c r="C399" s="558"/>
      <c r="D399" s="247"/>
      <c r="E399" s="256">
        <v>0</v>
      </c>
      <c r="F399" s="557">
        <v>0</v>
      </c>
      <c r="G399" s="557"/>
      <c r="H399" s="256">
        <v>253.4</v>
      </c>
      <c r="I399" s="557">
        <v>24</v>
      </c>
      <c r="J399" s="557"/>
      <c r="K399" s="256">
        <v>0</v>
      </c>
      <c r="L399" s="257">
        <v>0</v>
      </c>
      <c r="M399" s="256">
        <v>457</v>
      </c>
      <c r="N399" s="257">
        <v>24</v>
      </c>
      <c r="O399" s="258">
        <v>710.4</v>
      </c>
      <c r="P399" s="250"/>
      <c r="Q399" s="256">
        <v>0</v>
      </c>
      <c r="R399" s="257">
        <v>0</v>
      </c>
      <c r="S399" s="256">
        <v>0</v>
      </c>
      <c r="T399" s="557">
        <v>0</v>
      </c>
      <c r="U399" s="557"/>
      <c r="V399" s="256">
        <v>0</v>
      </c>
      <c r="W399" s="250"/>
      <c r="X399" s="556">
        <v>710.4</v>
      </c>
      <c r="Y399" s="556"/>
      <c r="Z399" s="250"/>
      <c r="AA399" s="267">
        <v>9115300</v>
      </c>
      <c r="AB399" s="565">
        <v>0</v>
      </c>
      <c r="AC399" s="565"/>
      <c r="AD399" s="242"/>
    </row>
    <row r="400" spans="1:30">
      <c r="A400" s="242"/>
      <c r="B400" s="559"/>
      <c r="C400" s="559"/>
      <c r="D400" s="247"/>
      <c r="E400" s="250"/>
      <c r="F400" s="554"/>
      <c r="G400" s="554"/>
      <c r="H400" s="250"/>
      <c r="I400" s="554"/>
      <c r="J400" s="554"/>
      <c r="K400" s="250"/>
      <c r="L400" s="250"/>
      <c r="M400" s="250"/>
      <c r="N400" s="250"/>
      <c r="O400" s="250"/>
      <c r="P400" s="250"/>
      <c r="Q400" s="250"/>
      <c r="R400" s="250"/>
      <c r="S400" s="250"/>
      <c r="T400" s="554"/>
      <c r="U400" s="554"/>
      <c r="V400" s="250"/>
      <c r="W400" s="250"/>
      <c r="X400" s="554"/>
      <c r="Y400" s="554"/>
      <c r="Z400" s="250"/>
      <c r="AA400" s="250"/>
      <c r="AB400" s="554"/>
      <c r="AC400" s="554"/>
      <c r="AD400" s="242"/>
    </row>
    <row r="401" spans="1:30">
      <c r="A401" s="242"/>
      <c r="B401" s="563">
        <v>39792</v>
      </c>
      <c r="C401" s="563"/>
      <c r="D401" s="247"/>
      <c r="E401" s="252">
        <v>0</v>
      </c>
      <c r="F401" s="564">
        <v>0</v>
      </c>
      <c r="G401" s="564"/>
      <c r="H401" s="252">
        <v>267.2</v>
      </c>
      <c r="I401" s="564">
        <v>24</v>
      </c>
      <c r="J401" s="564"/>
      <c r="K401" s="252">
        <v>0</v>
      </c>
      <c r="L401" s="253">
        <v>0</v>
      </c>
      <c r="M401" s="252">
        <v>388</v>
      </c>
      <c r="N401" s="253">
        <v>24</v>
      </c>
      <c r="O401" s="254">
        <v>655.20000000000005</v>
      </c>
      <c r="P401" s="250"/>
      <c r="Q401" s="252">
        <v>0</v>
      </c>
      <c r="R401" s="253">
        <v>0</v>
      </c>
      <c r="S401" s="252">
        <v>0</v>
      </c>
      <c r="T401" s="564">
        <v>0</v>
      </c>
      <c r="U401" s="564"/>
      <c r="V401" s="252">
        <v>0</v>
      </c>
      <c r="W401" s="250"/>
      <c r="X401" s="561">
        <v>655.20000000000005</v>
      </c>
      <c r="Y401" s="561"/>
      <c r="Z401" s="250"/>
      <c r="AA401" s="266">
        <v>8611700</v>
      </c>
      <c r="AB401" s="566">
        <v>0</v>
      </c>
      <c r="AC401" s="566"/>
      <c r="AD401" s="242"/>
    </row>
    <row r="402" spans="1:30">
      <c r="A402" s="242"/>
      <c r="B402" s="559"/>
      <c r="C402" s="559"/>
      <c r="D402" s="247"/>
      <c r="E402" s="250"/>
      <c r="F402" s="554"/>
      <c r="G402" s="554"/>
      <c r="H402" s="250"/>
      <c r="I402" s="554"/>
      <c r="J402" s="554"/>
      <c r="K402" s="250"/>
      <c r="L402" s="250"/>
      <c r="M402" s="250"/>
      <c r="N402" s="250"/>
      <c r="O402" s="250"/>
      <c r="P402" s="250"/>
      <c r="Q402" s="250"/>
      <c r="R402" s="250"/>
      <c r="S402" s="250"/>
      <c r="T402" s="554"/>
      <c r="U402" s="554"/>
      <c r="V402" s="250"/>
      <c r="W402" s="250"/>
      <c r="X402" s="554"/>
      <c r="Y402" s="554"/>
      <c r="Z402" s="250"/>
      <c r="AA402" s="250"/>
      <c r="AB402" s="554"/>
      <c r="AC402" s="554"/>
      <c r="AD402" s="242"/>
    </row>
    <row r="403" spans="1:30">
      <c r="A403" s="242"/>
      <c r="B403" s="558">
        <v>39793</v>
      </c>
      <c r="C403" s="558"/>
      <c r="D403" s="247"/>
      <c r="E403" s="256">
        <v>0</v>
      </c>
      <c r="F403" s="557">
        <v>0</v>
      </c>
      <c r="G403" s="557"/>
      <c r="H403" s="256">
        <v>255.5</v>
      </c>
      <c r="I403" s="557">
        <v>24</v>
      </c>
      <c r="J403" s="557"/>
      <c r="K403" s="256">
        <v>0</v>
      </c>
      <c r="L403" s="257">
        <v>0</v>
      </c>
      <c r="M403" s="256">
        <v>330</v>
      </c>
      <c r="N403" s="257">
        <v>24</v>
      </c>
      <c r="O403" s="258">
        <v>585.5</v>
      </c>
      <c r="P403" s="250"/>
      <c r="Q403" s="256">
        <v>0</v>
      </c>
      <c r="R403" s="257">
        <v>0</v>
      </c>
      <c r="S403" s="256">
        <v>0</v>
      </c>
      <c r="T403" s="557">
        <v>0</v>
      </c>
      <c r="U403" s="557"/>
      <c r="V403" s="256">
        <v>0</v>
      </c>
      <c r="W403" s="250"/>
      <c r="X403" s="556">
        <v>585.5</v>
      </c>
      <c r="Y403" s="556"/>
      <c r="Z403" s="250"/>
      <c r="AA403" s="267">
        <v>7913500</v>
      </c>
      <c r="AB403" s="565">
        <v>0</v>
      </c>
      <c r="AC403" s="565"/>
      <c r="AD403" s="242"/>
    </row>
    <row r="404" spans="1:30">
      <c r="A404" s="242"/>
      <c r="B404" s="559"/>
      <c r="C404" s="559"/>
      <c r="D404" s="247"/>
      <c r="E404" s="250"/>
      <c r="F404" s="554"/>
      <c r="G404" s="554"/>
      <c r="H404" s="250"/>
      <c r="I404" s="554"/>
      <c r="J404" s="554"/>
      <c r="K404" s="250"/>
      <c r="L404" s="250"/>
      <c r="M404" s="250"/>
      <c r="N404" s="250"/>
      <c r="O404" s="250"/>
      <c r="P404" s="250"/>
      <c r="Q404" s="250"/>
      <c r="R404" s="250"/>
      <c r="S404" s="250"/>
      <c r="T404" s="554"/>
      <c r="U404" s="554"/>
      <c r="V404" s="250"/>
      <c r="W404" s="250"/>
      <c r="X404" s="554"/>
      <c r="Y404" s="554"/>
      <c r="Z404" s="250"/>
      <c r="AA404" s="250"/>
      <c r="AB404" s="554"/>
      <c r="AC404" s="554"/>
      <c r="AD404" s="242"/>
    </row>
    <row r="405" spans="1:30">
      <c r="A405" s="242"/>
      <c r="B405" s="563">
        <v>39794</v>
      </c>
      <c r="C405" s="563"/>
      <c r="D405" s="247"/>
      <c r="E405" s="252">
        <v>128.1</v>
      </c>
      <c r="F405" s="564">
        <v>16</v>
      </c>
      <c r="G405" s="564"/>
      <c r="H405" s="252">
        <v>249.9</v>
      </c>
      <c r="I405" s="564">
        <v>24</v>
      </c>
      <c r="J405" s="564"/>
      <c r="K405" s="252"/>
      <c r="L405" s="253"/>
      <c r="M405" s="252">
        <v>226</v>
      </c>
      <c r="N405" s="253">
        <v>24</v>
      </c>
      <c r="O405" s="254">
        <v>604</v>
      </c>
      <c r="P405" s="250"/>
      <c r="Q405" s="252"/>
      <c r="R405" s="253"/>
      <c r="S405" s="252"/>
      <c r="T405" s="564"/>
      <c r="U405" s="564"/>
      <c r="V405" s="252"/>
      <c r="W405" s="250"/>
      <c r="X405" s="561">
        <v>604</v>
      </c>
      <c r="Y405" s="561"/>
      <c r="Z405" s="250"/>
      <c r="AA405" s="266">
        <v>9536500</v>
      </c>
      <c r="AB405" s="566">
        <v>325</v>
      </c>
      <c r="AC405" s="566"/>
      <c r="AD405" s="242"/>
    </row>
    <row r="406" spans="1:30">
      <c r="A406" s="242"/>
      <c r="B406" s="559"/>
      <c r="C406" s="559"/>
      <c r="D406" s="247"/>
      <c r="E406" s="250"/>
      <c r="F406" s="554"/>
      <c r="G406" s="554"/>
      <c r="H406" s="250"/>
      <c r="I406" s="554"/>
      <c r="J406" s="554"/>
      <c r="K406" s="250"/>
      <c r="L406" s="250"/>
      <c r="M406" s="250"/>
      <c r="N406" s="250"/>
      <c r="O406" s="250"/>
      <c r="P406" s="250"/>
      <c r="Q406" s="250"/>
      <c r="R406" s="250"/>
      <c r="S406" s="250"/>
      <c r="T406" s="554"/>
      <c r="U406" s="554"/>
      <c r="V406" s="250"/>
      <c r="W406" s="250"/>
      <c r="X406" s="554"/>
      <c r="Y406" s="554"/>
      <c r="Z406" s="250"/>
      <c r="AA406" s="250"/>
      <c r="AB406" s="554"/>
      <c r="AC406" s="554"/>
      <c r="AD406" s="242"/>
    </row>
    <row r="407" spans="1:30">
      <c r="A407" s="242"/>
      <c r="B407" s="558">
        <v>39795</v>
      </c>
      <c r="C407" s="558"/>
      <c r="D407" s="247"/>
      <c r="E407" s="256">
        <v>244.9</v>
      </c>
      <c r="F407" s="557">
        <v>24</v>
      </c>
      <c r="G407" s="557"/>
      <c r="H407" s="256">
        <v>282.39999999999998</v>
      </c>
      <c r="I407" s="557">
        <v>24</v>
      </c>
      <c r="J407" s="557"/>
      <c r="K407" s="256">
        <v>0</v>
      </c>
      <c r="L407" s="257">
        <v>0</v>
      </c>
      <c r="M407" s="256">
        <v>50</v>
      </c>
      <c r="N407" s="257">
        <v>8</v>
      </c>
      <c r="O407" s="258">
        <v>577.29999999999995</v>
      </c>
      <c r="P407" s="250"/>
      <c r="Q407" s="256">
        <v>0</v>
      </c>
      <c r="R407" s="257">
        <v>0</v>
      </c>
      <c r="S407" s="256">
        <v>0</v>
      </c>
      <c r="T407" s="557">
        <v>0</v>
      </c>
      <c r="U407" s="557"/>
      <c r="V407" s="256">
        <v>0</v>
      </c>
      <c r="W407" s="250"/>
      <c r="X407" s="556">
        <v>577.29999999999995</v>
      </c>
      <c r="Y407" s="556"/>
      <c r="Z407" s="250"/>
      <c r="AA407" s="267">
        <v>8891400</v>
      </c>
      <c r="AB407" s="565">
        <v>0</v>
      </c>
      <c r="AC407" s="565"/>
      <c r="AD407" s="242"/>
    </row>
    <row r="408" spans="1:30">
      <c r="A408" s="242"/>
      <c r="B408" s="559"/>
      <c r="C408" s="559"/>
      <c r="D408" s="247"/>
      <c r="E408" s="250"/>
      <c r="F408" s="554"/>
      <c r="G408" s="554"/>
      <c r="H408" s="250"/>
      <c r="I408" s="554"/>
      <c r="J408" s="554"/>
      <c r="K408" s="250"/>
      <c r="L408" s="250"/>
      <c r="M408" s="250"/>
      <c r="N408" s="250"/>
      <c r="O408" s="250"/>
      <c r="P408" s="250"/>
      <c r="Q408" s="250"/>
      <c r="R408" s="250"/>
      <c r="S408" s="250"/>
      <c r="T408" s="554"/>
      <c r="U408" s="554"/>
      <c r="V408" s="250"/>
      <c r="W408" s="250"/>
      <c r="X408" s="554"/>
      <c r="Y408" s="554"/>
      <c r="Z408" s="250"/>
      <c r="AA408" s="250"/>
      <c r="AB408" s="554"/>
      <c r="AC408" s="554"/>
      <c r="AD408" s="242"/>
    </row>
    <row r="409" spans="1:30">
      <c r="A409" s="242"/>
      <c r="B409" s="563">
        <v>39796</v>
      </c>
      <c r="C409" s="563"/>
      <c r="D409" s="247"/>
      <c r="E409" s="252">
        <v>282</v>
      </c>
      <c r="F409" s="564">
        <v>24</v>
      </c>
      <c r="G409" s="564"/>
      <c r="H409" s="252">
        <v>309.8</v>
      </c>
      <c r="I409" s="564">
        <v>24</v>
      </c>
      <c r="J409" s="564"/>
      <c r="K409" s="252"/>
      <c r="L409" s="253"/>
      <c r="M409" s="252"/>
      <c r="N409" s="253"/>
      <c r="O409" s="254">
        <v>591.79999999999995</v>
      </c>
      <c r="P409" s="250"/>
      <c r="Q409" s="252"/>
      <c r="R409" s="253"/>
      <c r="S409" s="252"/>
      <c r="T409" s="564"/>
      <c r="U409" s="564"/>
      <c r="V409" s="252"/>
      <c r="W409" s="250"/>
      <c r="X409" s="561">
        <v>591.79999999999995</v>
      </c>
      <c r="Y409" s="561"/>
      <c r="Z409" s="250"/>
      <c r="AA409" s="266">
        <v>8249800</v>
      </c>
      <c r="AB409" s="566"/>
      <c r="AC409" s="566"/>
      <c r="AD409" s="242"/>
    </row>
    <row r="410" spans="1:30">
      <c r="A410" s="242"/>
      <c r="B410" s="559"/>
      <c r="C410" s="559"/>
      <c r="D410" s="247"/>
      <c r="E410" s="250"/>
      <c r="F410" s="554"/>
      <c r="G410" s="554"/>
      <c r="H410" s="250"/>
      <c r="I410" s="554"/>
      <c r="J410" s="554"/>
      <c r="K410" s="250"/>
      <c r="L410" s="250"/>
      <c r="M410" s="250"/>
      <c r="N410" s="250"/>
      <c r="O410" s="250"/>
      <c r="P410" s="250"/>
      <c r="Q410" s="250"/>
      <c r="R410" s="250"/>
      <c r="S410" s="250"/>
      <c r="T410" s="554"/>
      <c r="U410" s="554"/>
      <c r="V410" s="250"/>
      <c r="W410" s="250"/>
      <c r="X410" s="554"/>
      <c r="Y410" s="554"/>
      <c r="Z410" s="250"/>
      <c r="AA410" s="250"/>
      <c r="AB410" s="554"/>
      <c r="AC410" s="554"/>
      <c r="AD410" s="242"/>
    </row>
    <row r="411" spans="1:30">
      <c r="A411" s="242"/>
      <c r="B411" s="558">
        <v>39797</v>
      </c>
      <c r="C411" s="558"/>
      <c r="D411" s="247"/>
      <c r="E411" s="256">
        <v>266.60000000000002</v>
      </c>
      <c r="F411" s="557">
        <v>24</v>
      </c>
      <c r="G411" s="557"/>
      <c r="H411" s="256">
        <v>312.3</v>
      </c>
      <c r="I411" s="557">
        <v>24</v>
      </c>
      <c r="J411" s="557"/>
      <c r="K411" s="256"/>
      <c r="L411" s="257"/>
      <c r="M411" s="256"/>
      <c r="N411" s="257"/>
      <c r="O411" s="258">
        <v>578.9</v>
      </c>
      <c r="P411" s="250"/>
      <c r="Q411" s="256"/>
      <c r="R411" s="257"/>
      <c r="S411" s="256"/>
      <c r="T411" s="557"/>
      <c r="U411" s="557"/>
      <c r="V411" s="256"/>
      <c r="W411" s="250"/>
      <c r="X411" s="556">
        <v>578.9</v>
      </c>
      <c r="Y411" s="556"/>
      <c r="Z411" s="250"/>
      <c r="AA411" s="267">
        <v>8284400</v>
      </c>
      <c r="AB411" s="565"/>
      <c r="AC411" s="565"/>
      <c r="AD411" s="242"/>
    </row>
    <row r="412" spans="1:30">
      <c r="A412" s="242"/>
      <c r="B412" s="559"/>
      <c r="C412" s="559"/>
      <c r="D412" s="247"/>
      <c r="E412" s="250"/>
      <c r="F412" s="554"/>
      <c r="G412" s="554"/>
      <c r="H412" s="250"/>
      <c r="I412" s="554"/>
      <c r="J412" s="554"/>
      <c r="K412" s="250"/>
      <c r="L412" s="250"/>
      <c r="M412" s="250"/>
      <c r="N412" s="250"/>
      <c r="O412" s="250"/>
      <c r="P412" s="250"/>
      <c r="Q412" s="250"/>
      <c r="R412" s="250"/>
      <c r="S412" s="250"/>
      <c r="T412" s="554"/>
      <c r="U412" s="554"/>
      <c r="V412" s="250"/>
      <c r="W412" s="250"/>
      <c r="X412" s="554"/>
      <c r="Y412" s="554"/>
      <c r="Z412" s="250"/>
      <c r="AA412" s="250"/>
      <c r="AB412" s="554"/>
      <c r="AC412" s="554"/>
      <c r="AD412" s="242"/>
    </row>
    <row r="413" spans="1:30">
      <c r="A413" s="242"/>
      <c r="B413" s="563">
        <v>39798</v>
      </c>
      <c r="C413" s="563"/>
      <c r="D413" s="247"/>
      <c r="E413" s="252">
        <v>251.2</v>
      </c>
      <c r="F413" s="564">
        <v>24</v>
      </c>
      <c r="G413" s="564"/>
      <c r="H413" s="252">
        <v>294.60000000000002</v>
      </c>
      <c r="I413" s="564">
        <v>24</v>
      </c>
      <c r="J413" s="564"/>
      <c r="K413" s="252">
        <v>0</v>
      </c>
      <c r="L413" s="253">
        <v>0</v>
      </c>
      <c r="M413" s="252">
        <v>0</v>
      </c>
      <c r="N413" s="253">
        <v>0</v>
      </c>
      <c r="O413" s="254">
        <v>545.79999999999995</v>
      </c>
      <c r="P413" s="250"/>
      <c r="Q413" s="252">
        <v>0</v>
      </c>
      <c r="R413" s="253">
        <v>0</v>
      </c>
      <c r="S413" s="252">
        <v>0</v>
      </c>
      <c r="T413" s="564">
        <v>0</v>
      </c>
      <c r="U413" s="564"/>
      <c r="V413" s="252">
        <v>0</v>
      </c>
      <c r="W413" s="250"/>
      <c r="X413" s="561">
        <v>545.79999999999995</v>
      </c>
      <c r="Y413" s="561"/>
      <c r="Z413" s="250"/>
      <c r="AA413" s="266">
        <v>8180000</v>
      </c>
      <c r="AB413" s="566">
        <v>0</v>
      </c>
      <c r="AC413" s="566"/>
      <c r="AD413" s="242"/>
    </row>
    <row r="414" spans="1:30">
      <c r="A414" s="242"/>
      <c r="B414" s="559"/>
      <c r="C414" s="559"/>
      <c r="D414" s="247"/>
      <c r="E414" s="250"/>
      <c r="F414" s="554"/>
      <c r="G414" s="554"/>
      <c r="H414" s="250"/>
      <c r="I414" s="554"/>
      <c r="J414" s="554"/>
      <c r="K414" s="250"/>
      <c r="L414" s="250"/>
      <c r="M414" s="250"/>
      <c r="N414" s="250"/>
      <c r="O414" s="250"/>
      <c r="P414" s="250"/>
      <c r="Q414" s="250"/>
      <c r="R414" s="250"/>
      <c r="S414" s="250"/>
      <c r="T414" s="554"/>
      <c r="U414" s="554"/>
      <c r="V414" s="250"/>
      <c r="W414" s="250"/>
      <c r="X414" s="554"/>
      <c r="Y414" s="554"/>
      <c r="Z414" s="250"/>
      <c r="AA414" s="250"/>
      <c r="AB414" s="554"/>
      <c r="AC414" s="554"/>
      <c r="AD414" s="242"/>
    </row>
    <row r="415" spans="1:30">
      <c r="A415" s="242"/>
      <c r="B415" s="558">
        <v>39799</v>
      </c>
      <c r="C415" s="558"/>
      <c r="D415" s="247"/>
      <c r="E415" s="256">
        <v>302.10000000000002</v>
      </c>
      <c r="F415" s="557">
        <v>24</v>
      </c>
      <c r="G415" s="557"/>
      <c r="H415" s="256">
        <v>324.5</v>
      </c>
      <c r="I415" s="557">
        <v>24</v>
      </c>
      <c r="J415" s="557"/>
      <c r="K415" s="256">
        <v>0</v>
      </c>
      <c r="L415" s="257">
        <v>0</v>
      </c>
      <c r="M415" s="256">
        <v>0</v>
      </c>
      <c r="N415" s="257">
        <v>0</v>
      </c>
      <c r="O415" s="258">
        <v>626.6</v>
      </c>
      <c r="P415" s="250"/>
      <c r="Q415" s="256">
        <v>0</v>
      </c>
      <c r="R415" s="257">
        <v>0</v>
      </c>
      <c r="S415" s="256">
        <v>0</v>
      </c>
      <c r="T415" s="557">
        <v>0</v>
      </c>
      <c r="U415" s="557"/>
      <c r="V415" s="256">
        <v>0</v>
      </c>
      <c r="W415" s="250"/>
      <c r="X415" s="556">
        <v>626.6</v>
      </c>
      <c r="Y415" s="556"/>
      <c r="Z415" s="250"/>
      <c r="AA415" s="267">
        <v>8903000</v>
      </c>
      <c r="AB415" s="565">
        <v>0</v>
      </c>
      <c r="AC415" s="565"/>
      <c r="AD415" s="242"/>
    </row>
    <row r="416" spans="1:30">
      <c r="A416" s="242"/>
      <c r="B416" s="559"/>
      <c r="C416" s="559"/>
      <c r="D416" s="247"/>
      <c r="E416" s="250"/>
      <c r="F416" s="554"/>
      <c r="G416" s="554"/>
      <c r="H416" s="250"/>
      <c r="I416" s="554"/>
      <c r="J416" s="554"/>
      <c r="K416" s="250"/>
      <c r="L416" s="250"/>
      <c r="M416" s="250"/>
      <c r="N416" s="250"/>
      <c r="O416" s="250"/>
      <c r="P416" s="250"/>
      <c r="Q416" s="250"/>
      <c r="R416" s="250"/>
      <c r="S416" s="250"/>
      <c r="T416" s="554"/>
      <c r="U416" s="554"/>
      <c r="V416" s="250"/>
      <c r="W416" s="250"/>
      <c r="X416" s="554"/>
      <c r="Y416" s="554"/>
      <c r="Z416" s="250"/>
      <c r="AA416" s="250"/>
      <c r="AB416" s="554"/>
      <c r="AC416" s="554"/>
      <c r="AD416" s="242"/>
    </row>
    <row r="417" spans="1:30">
      <c r="A417" s="242"/>
      <c r="B417" s="563">
        <v>39800</v>
      </c>
      <c r="C417" s="563"/>
      <c r="D417" s="247"/>
      <c r="E417" s="252">
        <v>305.5</v>
      </c>
      <c r="F417" s="564">
        <v>24</v>
      </c>
      <c r="G417" s="564"/>
      <c r="H417" s="252">
        <v>346</v>
      </c>
      <c r="I417" s="564">
        <v>24</v>
      </c>
      <c r="J417" s="564"/>
      <c r="K417" s="252">
        <v>0</v>
      </c>
      <c r="L417" s="253">
        <v>0</v>
      </c>
      <c r="M417" s="252">
        <v>0</v>
      </c>
      <c r="N417" s="253">
        <v>0</v>
      </c>
      <c r="O417" s="254">
        <v>651.5</v>
      </c>
      <c r="P417" s="250"/>
      <c r="Q417" s="252">
        <v>0</v>
      </c>
      <c r="R417" s="253">
        <v>0</v>
      </c>
      <c r="S417" s="252">
        <v>42</v>
      </c>
      <c r="T417" s="564">
        <v>6</v>
      </c>
      <c r="U417" s="564"/>
      <c r="V417" s="252">
        <v>42</v>
      </c>
      <c r="W417" s="250"/>
      <c r="X417" s="561">
        <v>693.5</v>
      </c>
      <c r="Y417" s="561"/>
      <c r="Z417" s="250"/>
      <c r="AA417" s="266">
        <v>9109900</v>
      </c>
      <c r="AB417" s="566">
        <v>0</v>
      </c>
      <c r="AC417" s="566"/>
      <c r="AD417" s="242"/>
    </row>
    <row r="418" spans="1:30">
      <c r="A418" s="242"/>
      <c r="B418" s="559"/>
      <c r="C418" s="559"/>
      <c r="D418" s="247"/>
      <c r="E418" s="250"/>
      <c r="F418" s="554"/>
      <c r="G418" s="554"/>
      <c r="H418" s="250"/>
      <c r="I418" s="554"/>
      <c r="J418" s="554"/>
      <c r="K418" s="250"/>
      <c r="L418" s="250"/>
      <c r="M418" s="250"/>
      <c r="N418" s="250"/>
      <c r="O418" s="250"/>
      <c r="P418" s="250"/>
      <c r="Q418" s="250"/>
      <c r="R418" s="250"/>
      <c r="S418" s="250"/>
      <c r="T418" s="554"/>
      <c r="U418" s="554"/>
      <c r="V418" s="250"/>
      <c r="W418" s="250"/>
      <c r="X418" s="554"/>
      <c r="Y418" s="554"/>
      <c r="Z418" s="250"/>
      <c r="AA418" s="250"/>
      <c r="AB418" s="554"/>
      <c r="AC418" s="554"/>
      <c r="AD418" s="242"/>
    </row>
    <row r="419" spans="1:30">
      <c r="A419" s="242"/>
      <c r="B419" s="558">
        <v>39801</v>
      </c>
      <c r="C419" s="558"/>
      <c r="D419" s="247"/>
      <c r="E419" s="256">
        <v>242.5</v>
      </c>
      <c r="F419" s="557">
        <v>24</v>
      </c>
      <c r="G419" s="557"/>
      <c r="H419" s="256">
        <v>262</v>
      </c>
      <c r="I419" s="557">
        <v>24</v>
      </c>
      <c r="J419" s="557"/>
      <c r="K419" s="256">
        <v>0</v>
      </c>
      <c r="L419" s="257">
        <v>0</v>
      </c>
      <c r="M419" s="256">
        <v>0</v>
      </c>
      <c r="N419" s="257">
        <v>0</v>
      </c>
      <c r="O419" s="258">
        <v>504.5</v>
      </c>
      <c r="P419" s="250"/>
      <c r="Q419" s="256">
        <v>0</v>
      </c>
      <c r="R419" s="257">
        <v>0</v>
      </c>
      <c r="S419" s="256">
        <v>197</v>
      </c>
      <c r="T419" s="557">
        <v>24</v>
      </c>
      <c r="U419" s="557"/>
      <c r="V419" s="256">
        <v>197</v>
      </c>
      <c r="W419" s="250"/>
      <c r="X419" s="556">
        <v>701.5</v>
      </c>
      <c r="Y419" s="556"/>
      <c r="Z419" s="250"/>
      <c r="AA419" s="267">
        <v>7910100</v>
      </c>
      <c r="AB419" s="565">
        <v>0</v>
      </c>
      <c r="AC419" s="565"/>
      <c r="AD419" s="242"/>
    </row>
    <row r="420" spans="1:30">
      <c r="A420" s="242"/>
      <c r="B420" s="559"/>
      <c r="C420" s="559"/>
      <c r="D420" s="247"/>
      <c r="E420" s="250"/>
      <c r="F420" s="554"/>
      <c r="G420" s="554"/>
      <c r="H420" s="250"/>
      <c r="I420" s="554"/>
      <c r="J420" s="554"/>
      <c r="K420" s="250"/>
      <c r="L420" s="250"/>
      <c r="M420" s="250"/>
      <c r="N420" s="250"/>
      <c r="O420" s="250"/>
      <c r="P420" s="250"/>
      <c r="Q420" s="250"/>
      <c r="R420" s="250"/>
      <c r="S420" s="250"/>
      <c r="T420" s="554"/>
      <c r="U420" s="554"/>
      <c r="V420" s="250"/>
      <c r="W420" s="250"/>
      <c r="X420" s="554"/>
      <c r="Y420" s="554"/>
      <c r="Z420" s="250"/>
      <c r="AA420" s="250"/>
      <c r="AB420" s="554"/>
      <c r="AC420" s="554"/>
      <c r="AD420" s="242"/>
    </row>
    <row r="421" spans="1:30">
      <c r="A421" s="242"/>
      <c r="B421" s="563">
        <v>39802</v>
      </c>
      <c r="C421" s="563"/>
      <c r="D421" s="247"/>
      <c r="E421" s="252">
        <v>245</v>
      </c>
      <c r="F421" s="564">
        <v>24</v>
      </c>
      <c r="G421" s="564"/>
      <c r="H421" s="252">
        <v>267.7</v>
      </c>
      <c r="I421" s="564">
        <v>24</v>
      </c>
      <c r="J421" s="564"/>
      <c r="K421" s="252">
        <v>0</v>
      </c>
      <c r="L421" s="253">
        <v>0</v>
      </c>
      <c r="M421" s="252">
        <v>0</v>
      </c>
      <c r="N421" s="253">
        <v>0</v>
      </c>
      <c r="O421" s="254">
        <v>512.70000000000005</v>
      </c>
      <c r="P421" s="250"/>
      <c r="Q421" s="252">
        <v>0</v>
      </c>
      <c r="R421" s="253">
        <v>0</v>
      </c>
      <c r="S421" s="252">
        <v>205</v>
      </c>
      <c r="T421" s="564">
        <v>24</v>
      </c>
      <c r="U421" s="564"/>
      <c r="V421" s="252">
        <v>205</v>
      </c>
      <c r="W421" s="250"/>
      <c r="X421" s="561">
        <v>717.7</v>
      </c>
      <c r="Y421" s="561"/>
      <c r="Z421" s="250"/>
      <c r="AA421" s="266">
        <v>8017100</v>
      </c>
      <c r="AB421" s="566">
        <v>0</v>
      </c>
      <c r="AC421" s="566"/>
      <c r="AD421" s="242"/>
    </row>
    <row r="422" spans="1:30">
      <c r="A422" s="242"/>
      <c r="B422" s="559"/>
      <c r="C422" s="559"/>
      <c r="D422" s="247"/>
      <c r="E422" s="250"/>
      <c r="F422" s="554"/>
      <c r="G422" s="554"/>
      <c r="H422" s="250"/>
      <c r="I422" s="554"/>
      <c r="J422" s="554"/>
      <c r="K422" s="250"/>
      <c r="L422" s="250"/>
      <c r="M422" s="250"/>
      <c r="N422" s="250"/>
      <c r="O422" s="250"/>
      <c r="P422" s="250"/>
      <c r="Q422" s="250"/>
      <c r="R422" s="250"/>
      <c r="S422" s="250"/>
      <c r="T422" s="554"/>
      <c r="U422" s="554"/>
      <c r="V422" s="250"/>
      <c r="W422" s="250"/>
      <c r="X422" s="554"/>
      <c r="Y422" s="554"/>
      <c r="Z422" s="250"/>
      <c r="AA422" s="250"/>
      <c r="AB422" s="554"/>
      <c r="AC422" s="554"/>
      <c r="AD422" s="242"/>
    </row>
    <row r="423" spans="1:30">
      <c r="A423" s="242"/>
      <c r="B423" s="558">
        <v>39803</v>
      </c>
      <c r="C423" s="558"/>
      <c r="D423" s="247"/>
      <c r="E423" s="256">
        <v>261.5</v>
      </c>
      <c r="F423" s="557">
        <v>24</v>
      </c>
      <c r="G423" s="557"/>
      <c r="H423" s="256">
        <v>294.3</v>
      </c>
      <c r="I423" s="557">
        <v>24</v>
      </c>
      <c r="J423" s="557"/>
      <c r="K423" s="256"/>
      <c r="L423" s="257"/>
      <c r="M423" s="256"/>
      <c r="N423" s="257"/>
      <c r="O423" s="258">
        <v>555.79999999999995</v>
      </c>
      <c r="P423" s="250"/>
      <c r="Q423" s="256"/>
      <c r="R423" s="257"/>
      <c r="S423" s="256">
        <v>202</v>
      </c>
      <c r="T423" s="557">
        <v>24</v>
      </c>
      <c r="U423" s="557"/>
      <c r="V423" s="256">
        <v>202</v>
      </c>
      <c r="W423" s="250"/>
      <c r="X423" s="556">
        <v>757.8</v>
      </c>
      <c r="Y423" s="556"/>
      <c r="Z423" s="250"/>
      <c r="AA423" s="267">
        <v>8293400</v>
      </c>
      <c r="AB423" s="565"/>
      <c r="AC423" s="565"/>
      <c r="AD423" s="242"/>
    </row>
    <row r="424" spans="1:30">
      <c r="A424" s="242"/>
      <c r="B424" s="559"/>
      <c r="C424" s="559"/>
      <c r="D424" s="247"/>
      <c r="E424" s="250"/>
      <c r="F424" s="554"/>
      <c r="G424" s="554"/>
      <c r="H424" s="250"/>
      <c r="I424" s="554"/>
      <c r="J424" s="554"/>
      <c r="K424" s="250"/>
      <c r="L424" s="250"/>
      <c r="M424" s="250"/>
      <c r="N424" s="250"/>
      <c r="O424" s="250"/>
      <c r="P424" s="250"/>
      <c r="Q424" s="250"/>
      <c r="R424" s="250"/>
      <c r="S424" s="250"/>
      <c r="T424" s="554"/>
      <c r="U424" s="554"/>
      <c r="V424" s="250"/>
      <c r="W424" s="250"/>
      <c r="X424" s="554"/>
      <c r="Y424" s="554"/>
      <c r="Z424" s="250"/>
      <c r="AA424" s="250"/>
      <c r="AB424" s="554"/>
      <c r="AC424" s="554"/>
      <c r="AD424" s="242"/>
    </row>
    <row r="425" spans="1:30">
      <c r="A425" s="242"/>
      <c r="B425" s="563">
        <v>39804</v>
      </c>
      <c r="C425" s="563"/>
      <c r="D425" s="247"/>
      <c r="E425" s="252">
        <v>268.89999999999998</v>
      </c>
      <c r="F425" s="564">
        <v>24</v>
      </c>
      <c r="G425" s="564"/>
      <c r="H425" s="252">
        <v>288.60000000000002</v>
      </c>
      <c r="I425" s="564">
        <v>24</v>
      </c>
      <c r="J425" s="564"/>
      <c r="K425" s="252"/>
      <c r="L425" s="253"/>
      <c r="M425" s="252"/>
      <c r="N425" s="253"/>
      <c r="O425" s="254">
        <v>557.5</v>
      </c>
      <c r="P425" s="250"/>
      <c r="Q425" s="252"/>
      <c r="R425" s="253"/>
      <c r="S425" s="252">
        <v>193</v>
      </c>
      <c r="T425" s="564">
        <v>24</v>
      </c>
      <c r="U425" s="564"/>
      <c r="V425" s="252">
        <v>193</v>
      </c>
      <c r="W425" s="250"/>
      <c r="X425" s="561">
        <v>750.5</v>
      </c>
      <c r="Y425" s="561"/>
      <c r="Z425" s="250"/>
      <c r="AA425" s="266">
        <v>8363600</v>
      </c>
      <c r="AB425" s="566"/>
      <c r="AC425" s="566"/>
      <c r="AD425" s="242"/>
    </row>
    <row r="426" spans="1:30">
      <c r="A426" s="242"/>
      <c r="B426" s="559"/>
      <c r="C426" s="559"/>
      <c r="D426" s="247"/>
      <c r="E426" s="250"/>
      <c r="F426" s="554"/>
      <c r="G426" s="554"/>
      <c r="H426" s="250"/>
      <c r="I426" s="554"/>
      <c r="J426" s="554"/>
      <c r="K426" s="250"/>
      <c r="L426" s="250"/>
      <c r="M426" s="250"/>
      <c r="N426" s="250"/>
      <c r="O426" s="250"/>
      <c r="P426" s="250"/>
      <c r="Q426" s="250"/>
      <c r="R426" s="250"/>
      <c r="S426" s="250"/>
      <c r="T426" s="554"/>
      <c r="U426" s="554"/>
      <c r="V426" s="250"/>
      <c r="W426" s="250"/>
      <c r="X426" s="554"/>
      <c r="Y426" s="554"/>
      <c r="Z426" s="250"/>
      <c r="AA426" s="250"/>
      <c r="AB426" s="554"/>
      <c r="AC426" s="554"/>
      <c r="AD426" s="242"/>
    </row>
    <row r="427" spans="1:30">
      <c r="A427" s="242"/>
      <c r="B427" s="558">
        <v>39805</v>
      </c>
      <c r="C427" s="558"/>
      <c r="D427" s="247"/>
      <c r="E427" s="256">
        <v>246.2</v>
      </c>
      <c r="F427" s="557">
        <v>24</v>
      </c>
      <c r="G427" s="557"/>
      <c r="H427" s="256">
        <v>268.5</v>
      </c>
      <c r="I427" s="557">
        <v>24</v>
      </c>
      <c r="J427" s="557"/>
      <c r="K427" s="256">
        <v>0</v>
      </c>
      <c r="L427" s="257">
        <v>0</v>
      </c>
      <c r="M427" s="256">
        <v>0</v>
      </c>
      <c r="N427" s="257">
        <v>0</v>
      </c>
      <c r="O427" s="258">
        <v>514.70000000000005</v>
      </c>
      <c r="P427" s="250"/>
      <c r="Q427" s="256">
        <v>0</v>
      </c>
      <c r="R427" s="257">
        <v>0</v>
      </c>
      <c r="S427" s="256">
        <v>180</v>
      </c>
      <c r="T427" s="557">
        <v>24</v>
      </c>
      <c r="U427" s="557"/>
      <c r="V427" s="256">
        <v>180</v>
      </c>
      <c r="W427" s="250"/>
      <c r="X427" s="556">
        <v>694.7</v>
      </c>
      <c r="Y427" s="556"/>
      <c r="Z427" s="250"/>
      <c r="AA427" s="267">
        <v>7976000</v>
      </c>
      <c r="AB427" s="565">
        <v>0</v>
      </c>
      <c r="AC427" s="565"/>
      <c r="AD427" s="242"/>
    </row>
    <row r="428" spans="1:30">
      <c r="A428" s="242"/>
      <c r="B428" s="559"/>
      <c r="C428" s="559"/>
      <c r="D428" s="247"/>
      <c r="E428" s="250"/>
      <c r="F428" s="554"/>
      <c r="G428" s="554"/>
      <c r="H428" s="250"/>
      <c r="I428" s="554"/>
      <c r="J428" s="554"/>
      <c r="K428" s="250"/>
      <c r="L428" s="250"/>
      <c r="M428" s="250"/>
      <c r="N428" s="250"/>
      <c r="O428" s="250"/>
      <c r="P428" s="250"/>
      <c r="Q428" s="250"/>
      <c r="R428" s="250"/>
      <c r="S428" s="250"/>
      <c r="T428" s="554"/>
      <c r="U428" s="554"/>
      <c r="V428" s="250"/>
      <c r="W428" s="250"/>
      <c r="X428" s="554"/>
      <c r="Y428" s="554"/>
      <c r="Z428" s="250"/>
      <c r="AA428" s="250"/>
      <c r="AB428" s="554"/>
      <c r="AC428" s="554"/>
      <c r="AD428" s="242"/>
    </row>
    <row r="429" spans="1:30">
      <c r="A429" s="242"/>
      <c r="B429" s="563">
        <v>39806</v>
      </c>
      <c r="C429" s="563"/>
      <c r="D429" s="247"/>
      <c r="E429" s="252">
        <v>227.4</v>
      </c>
      <c r="F429" s="564">
        <v>24</v>
      </c>
      <c r="G429" s="564"/>
      <c r="H429" s="252">
        <v>246.7</v>
      </c>
      <c r="I429" s="564">
        <v>24</v>
      </c>
      <c r="J429" s="564"/>
      <c r="K429" s="252">
        <v>0</v>
      </c>
      <c r="L429" s="253">
        <v>0</v>
      </c>
      <c r="M429" s="252">
        <v>0</v>
      </c>
      <c r="N429" s="253">
        <v>0</v>
      </c>
      <c r="O429" s="254">
        <v>474.1</v>
      </c>
      <c r="P429" s="250"/>
      <c r="Q429" s="252">
        <v>0</v>
      </c>
      <c r="R429" s="253">
        <v>0</v>
      </c>
      <c r="S429" s="252">
        <v>185</v>
      </c>
      <c r="T429" s="564">
        <v>24</v>
      </c>
      <c r="U429" s="564"/>
      <c r="V429" s="252">
        <v>185</v>
      </c>
      <c r="W429" s="250"/>
      <c r="X429" s="561">
        <v>659.1</v>
      </c>
      <c r="Y429" s="561"/>
      <c r="Z429" s="250"/>
      <c r="AA429" s="266">
        <v>7675300</v>
      </c>
      <c r="AB429" s="566">
        <v>0</v>
      </c>
      <c r="AC429" s="566"/>
      <c r="AD429" s="242"/>
    </row>
    <row r="430" spans="1:30">
      <c r="A430" s="242"/>
      <c r="B430" s="559"/>
      <c r="C430" s="559"/>
      <c r="D430" s="247"/>
      <c r="E430" s="250"/>
      <c r="F430" s="554"/>
      <c r="G430" s="554"/>
      <c r="H430" s="250"/>
      <c r="I430" s="554"/>
      <c r="J430" s="554"/>
      <c r="K430" s="250"/>
      <c r="L430" s="250"/>
      <c r="M430" s="250"/>
      <c r="N430" s="250"/>
      <c r="O430" s="250"/>
      <c r="P430" s="250"/>
      <c r="Q430" s="250"/>
      <c r="R430" s="250"/>
      <c r="S430" s="250"/>
      <c r="T430" s="554"/>
      <c r="U430" s="554"/>
      <c r="V430" s="250"/>
      <c r="W430" s="250"/>
      <c r="X430" s="554"/>
      <c r="Y430" s="554"/>
      <c r="Z430" s="250"/>
      <c r="AA430" s="250"/>
      <c r="AB430" s="554"/>
      <c r="AC430" s="554"/>
      <c r="AD430" s="242"/>
    </row>
    <row r="431" spans="1:30">
      <c r="A431" s="242"/>
      <c r="B431" s="558">
        <v>39807</v>
      </c>
      <c r="C431" s="558"/>
      <c r="D431" s="247"/>
      <c r="E431" s="256">
        <v>198.5</v>
      </c>
      <c r="F431" s="557">
        <v>24</v>
      </c>
      <c r="G431" s="557"/>
      <c r="H431" s="256">
        <v>220.2</v>
      </c>
      <c r="I431" s="557">
        <v>24</v>
      </c>
      <c r="J431" s="557"/>
      <c r="K431" s="256">
        <v>0</v>
      </c>
      <c r="L431" s="257">
        <v>0</v>
      </c>
      <c r="M431" s="256">
        <v>0</v>
      </c>
      <c r="N431" s="257">
        <v>0</v>
      </c>
      <c r="O431" s="258">
        <v>418.7</v>
      </c>
      <c r="P431" s="250"/>
      <c r="Q431" s="256">
        <v>0</v>
      </c>
      <c r="R431" s="257">
        <v>0</v>
      </c>
      <c r="S431" s="256">
        <v>188</v>
      </c>
      <c r="T431" s="557">
        <v>24</v>
      </c>
      <c r="U431" s="557"/>
      <c r="V431" s="256">
        <v>188</v>
      </c>
      <c r="W431" s="250"/>
      <c r="X431" s="556">
        <v>606.70000000000005</v>
      </c>
      <c r="Y431" s="556"/>
      <c r="Z431" s="250"/>
      <c r="AA431" s="267">
        <v>7252500</v>
      </c>
      <c r="AB431" s="565">
        <v>0</v>
      </c>
      <c r="AC431" s="565"/>
      <c r="AD431" s="242"/>
    </row>
    <row r="432" spans="1:30">
      <c r="A432" s="242"/>
      <c r="B432" s="559"/>
      <c r="C432" s="559"/>
      <c r="D432" s="247"/>
      <c r="E432" s="250"/>
      <c r="F432" s="554"/>
      <c r="G432" s="554"/>
      <c r="H432" s="250"/>
      <c r="I432" s="554"/>
      <c r="J432" s="554"/>
      <c r="K432" s="250"/>
      <c r="L432" s="250"/>
      <c r="M432" s="250"/>
      <c r="N432" s="250"/>
      <c r="O432" s="250"/>
      <c r="P432" s="250"/>
      <c r="Q432" s="250"/>
      <c r="R432" s="250"/>
      <c r="S432" s="250"/>
      <c r="T432" s="554"/>
      <c r="U432" s="554"/>
      <c r="V432" s="250"/>
      <c r="W432" s="250"/>
      <c r="X432" s="554"/>
      <c r="Y432" s="554"/>
      <c r="Z432" s="250"/>
      <c r="AA432" s="250"/>
      <c r="AB432" s="554"/>
      <c r="AC432" s="554"/>
      <c r="AD432" s="242"/>
    </row>
    <row r="433" spans="1:30">
      <c r="A433" s="242"/>
      <c r="B433" s="563">
        <v>39808</v>
      </c>
      <c r="C433" s="563"/>
      <c r="D433" s="247"/>
      <c r="E433" s="252">
        <v>192.5</v>
      </c>
      <c r="F433" s="564">
        <v>24</v>
      </c>
      <c r="G433" s="564"/>
      <c r="H433" s="252">
        <v>225</v>
      </c>
      <c r="I433" s="564">
        <v>24</v>
      </c>
      <c r="J433" s="564"/>
      <c r="K433" s="252">
        <v>0</v>
      </c>
      <c r="L433" s="253">
        <v>0</v>
      </c>
      <c r="M433" s="252">
        <v>0</v>
      </c>
      <c r="N433" s="253">
        <v>0</v>
      </c>
      <c r="O433" s="254">
        <v>417.5</v>
      </c>
      <c r="P433" s="250"/>
      <c r="Q433" s="252">
        <v>0</v>
      </c>
      <c r="R433" s="253">
        <v>0</v>
      </c>
      <c r="S433" s="252">
        <v>153</v>
      </c>
      <c r="T433" s="564">
        <v>24</v>
      </c>
      <c r="U433" s="564"/>
      <c r="V433" s="252">
        <v>153</v>
      </c>
      <c r="W433" s="250"/>
      <c r="X433" s="561">
        <v>570.5</v>
      </c>
      <c r="Y433" s="561"/>
      <c r="Z433" s="250"/>
      <c r="AA433" s="266">
        <v>7191900</v>
      </c>
      <c r="AB433" s="566">
        <v>0</v>
      </c>
      <c r="AC433" s="566"/>
      <c r="AD433" s="242"/>
    </row>
    <row r="434" spans="1:30">
      <c r="A434" s="242"/>
      <c r="B434" s="559"/>
      <c r="C434" s="559"/>
      <c r="D434" s="247"/>
      <c r="E434" s="250"/>
      <c r="F434" s="554"/>
      <c r="G434" s="554"/>
      <c r="H434" s="250"/>
      <c r="I434" s="554"/>
      <c r="J434" s="554"/>
      <c r="K434" s="250"/>
      <c r="L434" s="250"/>
      <c r="M434" s="250"/>
      <c r="N434" s="250"/>
      <c r="O434" s="250"/>
      <c r="P434" s="250"/>
      <c r="Q434" s="250"/>
      <c r="R434" s="250"/>
      <c r="S434" s="250"/>
      <c r="T434" s="554"/>
      <c r="U434" s="554"/>
      <c r="V434" s="250"/>
      <c r="W434" s="250"/>
      <c r="X434" s="554"/>
      <c r="Y434" s="554"/>
      <c r="Z434" s="250"/>
      <c r="AA434" s="250"/>
      <c r="AB434" s="554"/>
      <c r="AC434" s="554"/>
      <c r="AD434" s="242"/>
    </row>
    <row r="435" spans="1:30">
      <c r="A435" s="242"/>
      <c r="B435" s="558">
        <v>39809</v>
      </c>
      <c r="C435" s="558"/>
      <c r="D435" s="247"/>
      <c r="E435" s="256">
        <v>191.8</v>
      </c>
      <c r="F435" s="557">
        <v>24</v>
      </c>
      <c r="G435" s="557"/>
      <c r="H435" s="256">
        <v>225.2</v>
      </c>
      <c r="I435" s="557">
        <v>24</v>
      </c>
      <c r="J435" s="557"/>
      <c r="K435" s="256">
        <v>0</v>
      </c>
      <c r="L435" s="257">
        <v>0</v>
      </c>
      <c r="M435" s="256">
        <v>0</v>
      </c>
      <c r="N435" s="257">
        <v>0</v>
      </c>
      <c r="O435" s="258">
        <v>417</v>
      </c>
      <c r="P435" s="250"/>
      <c r="Q435" s="256">
        <v>0</v>
      </c>
      <c r="R435" s="257">
        <v>0</v>
      </c>
      <c r="S435" s="256">
        <v>158</v>
      </c>
      <c r="T435" s="557">
        <v>24</v>
      </c>
      <c r="U435" s="557"/>
      <c r="V435" s="256">
        <v>158</v>
      </c>
      <c r="W435" s="250"/>
      <c r="X435" s="556">
        <v>575</v>
      </c>
      <c r="Y435" s="556"/>
      <c r="Z435" s="250"/>
      <c r="AA435" s="267">
        <v>7207400</v>
      </c>
      <c r="AB435" s="565">
        <v>0</v>
      </c>
      <c r="AC435" s="565"/>
      <c r="AD435" s="242"/>
    </row>
    <row r="436" spans="1:30">
      <c r="A436" s="242"/>
      <c r="B436" s="559"/>
      <c r="C436" s="559"/>
      <c r="D436" s="247"/>
      <c r="E436" s="250"/>
      <c r="F436" s="554"/>
      <c r="G436" s="554"/>
      <c r="H436" s="250"/>
      <c r="I436" s="554"/>
      <c r="J436" s="554"/>
      <c r="K436" s="250"/>
      <c r="L436" s="250"/>
      <c r="M436" s="250"/>
      <c r="N436" s="250"/>
      <c r="O436" s="250"/>
      <c r="P436" s="250"/>
      <c r="Q436" s="250"/>
      <c r="R436" s="250"/>
      <c r="S436" s="250"/>
      <c r="T436" s="554"/>
      <c r="U436" s="554"/>
      <c r="V436" s="250"/>
      <c r="W436" s="250"/>
      <c r="X436" s="554"/>
      <c r="Y436" s="554"/>
      <c r="Z436" s="250"/>
      <c r="AA436" s="250"/>
      <c r="AB436" s="554"/>
      <c r="AC436" s="554"/>
      <c r="AD436" s="242"/>
    </row>
    <row r="437" spans="1:30">
      <c r="A437" s="242"/>
      <c r="B437" s="563">
        <v>39810</v>
      </c>
      <c r="C437" s="563"/>
      <c r="D437" s="247"/>
      <c r="E437" s="252">
        <v>181.7</v>
      </c>
      <c r="F437" s="564">
        <v>24</v>
      </c>
      <c r="G437" s="564"/>
      <c r="H437" s="252">
        <v>213.8</v>
      </c>
      <c r="I437" s="564">
        <v>24</v>
      </c>
      <c r="J437" s="564"/>
      <c r="K437" s="252"/>
      <c r="L437" s="253"/>
      <c r="M437" s="252"/>
      <c r="N437" s="253"/>
      <c r="O437" s="254">
        <v>395.5</v>
      </c>
      <c r="P437" s="250"/>
      <c r="Q437" s="252"/>
      <c r="R437" s="253"/>
      <c r="S437" s="252">
        <v>134</v>
      </c>
      <c r="T437" s="564">
        <v>24</v>
      </c>
      <c r="U437" s="564"/>
      <c r="V437" s="252">
        <v>134</v>
      </c>
      <c r="W437" s="250"/>
      <c r="X437" s="561">
        <v>529.5</v>
      </c>
      <c r="Y437" s="561"/>
      <c r="Z437" s="250"/>
      <c r="AA437" s="266">
        <v>7012800</v>
      </c>
      <c r="AB437" s="566"/>
      <c r="AC437" s="566"/>
      <c r="AD437" s="242"/>
    </row>
    <row r="438" spans="1:30">
      <c r="A438" s="242"/>
      <c r="B438" s="559"/>
      <c r="C438" s="559"/>
      <c r="D438" s="247"/>
      <c r="E438" s="250"/>
      <c r="F438" s="554"/>
      <c r="G438" s="554"/>
      <c r="H438" s="250"/>
      <c r="I438" s="554"/>
      <c r="J438" s="554"/>
      <c r="K438" s="250"/>
      <c r="L438" s="250"/>
      <c r="M438" s="250"/>
      <c r="N438" s="250"/>
      <c r="O438" s="250"/>
      <c r="P438" s="250"/>
      <c r="Q438" s="250"/>
      <c r="R438" s="250"/>
      <c r="S438" s="250"/>
      <c r="T438" s="554"/>
      <c r="U438" s="554"/>
      <c r="V438" s="250"/>
      <c r="W438" s="250"/>
      <c r="X438" s="554"/>
      <c r="Y438" s="554"/>
      <c r="Z438" s="250"/>
      <c r="AA438" s="250"/>
      <c r="AB438" s="554"/>
      <c r="AC438" s="554"/>
      <c r="AD438" s="242"/>
    </row>
    <row r="439" spans="1:30">
      <c r="A439" s="242"/>
      <c r="B439" s="558">
        <v>39811</v>
      </c>
      <c r="C439" s="558"/>
      <c r="D439" s="247"/>
      <c r="E439" s="256">
        <v>158.30000000000001</v>
      </c>
      <c r="F439" s="557">
        <v>24</v>
      </c>
      <c r="G439" s="557"/>
      <c r="H439" s="256">
        <v>186.8</v>
      </c>
      <c r="I439" s="557">
        <v>24</v>
      </c>
      <c r="J439" s="557"/>
      <c r="K439" s="256"/>
      <c r="L439" s="257"/>
      <c r="M439" s="256"/>
      <c r="N439" s="257"/>
      <c r="O439" s="258">
        <v>345.1</v>
      </c>
      <c r="P439" s="250"/>
      <c r="Q439" s="256"/>
      <c r="R439" s="257"/>
      <c r="S439" s="256">
        <v>178</v>
      </c>
      <c r="T439" s="557">
        <v>24</v>
      </c>
      <c r="U439" s="557"/>
      <c r="V439" s="256">
        <v>178</v>
      </c>
      <c r="W439" s="250"/>
      <c r="X439" s="556">
        <v>523.1</v>
      </c>
      <c r="Y439" s="556"/>
      <c r="Z439" s="250"/>
      <c r="AA439" s="267">
        <v>6567900</v>
      </c>
      <c r="AB439" s="565"/>
      <c r="AC439" s="565"/>
      <c r="AD439" s="242"/>
    </row>
    <row r="440" spans="1:30">
      <c r="A440" s="242"/>
      <c r="B440" s="559"/>
      <c r="C440" s="559"/>
      <c r="D440" s="247"/>
      <c r="E440" s="250"/>
      <c r="F440" s="554"/>
      <c r="G440" s="554"/>
      <c r="H440" s="250"/>
      <c r="I440" s="554"/>
      <c r="J440" s="554"/>
      <c r="K440" s="250"/>
      <c r="L440" s="250"/>
      <c r="M440" s="250"/>
      <c r="N440" s="250"/>
      <c r="O440" s="250"/>
      <c r="P440" s="250"/>
      <c r="Q440" s="250"/>
      <c r="R440" s="250"/>
      <c r="S440" s="250"/>
      <c r="T440" s="554"/>
      <c r="U440" s="554"/>
      <c r="V440" s="250"/>
      <c r="W440" s="250"/>
      <c r="X440" s="554"/>
      <c r="Y440" s="554"/>
      <c r="Z440" s="250"/>
      <c r="AA440" s="250"/>
      <c r="AB440" s="554"/>
      <c r="AC440" s="554"/>
      <c r="AD440" s="242"/>
    </row>
    <row r="441" spans="1:30">
      <c r="A441" s="242"/>
      <c r="B441" s="563">
        <v>39812</v>
      </c>
      <c r="C441" s="563"/>
      <c r="D441" s="247"/>
      <c r="E441" s="252">
        <v>192</v>
      </c>
      <c r="F441" s="564">
        <v>24</v>
      </c>
      <c r="G441" s="564"/>
      <c r="H441" s="252">
        <v>232.8</v>
      </c>
      <c r="I441" s="564">
        <v>24</v>
      </c>
      <c r="J441" s="564"/>
      <c r="K441" s="252">
        <v>0</v>
      </c>
      <c r="L441" s="253">
        <v>0</v>
      </c>
      <c r="M441" s="252">
        <v>0</v>
      </c>
      <c r="N441" s="253">
        <v>0</v>
      </c>
      <c r="O441" s="254">
        <v>424.8</v>
      </c>
      <c r="P441" s="250"/>
      <c r="Q441" s="252">
        <v>0</v>
      </c>
      <c r="R441" s="253">
        <v>0</v>
      </c>
      <c r="S441" s="252">
        <v>174</v>
      </c>
      <c r="T441" s="564">
        <v>24</v>
      </c>
      <c r="U441" s="564"/>
      <c r="V441" s="252">
        <v>174</v>
      </c>
      <c r="W441" s="250"/>
      <c r="X441" s="561">
        <v>598.79999999999995</v>
      </c>
      <c r="Y441" s="561"/>
      <c r="Z441" s="250"/>
      <c r="AA441" s="266">
        <v>7297600</v>
      </c>
      <c r="AB441" s="566">
        <v>0</v>
      </c>
      <c r="AC441" s="566"/>
      <c r="AD441" s="242"/>
    </row>
    <row r="442" spans="1:30">
      <c r="A442" s="242"/>
      <c r="B442" s="559"/>
      <c r="C442" s="559"/>
      <c r="D442" s="247"/>
      <c r="E442" s="250"/>
      <c r="F442" s="554"/>
      <c r="G442" s="554"/>
      <c r="H442" s="250"/>
      <c r="I442" s="554"/>
      <c r="J442" s="554"/>
      <c r="K442" s="250"/>
      <c r="L442" s="250"/>
      <c r="M442" s="250"/>
      <c r="N442" s="250"/>
      <c r="O442" s="250"/>
      <c r="P442" s="250"/>
      <c r="Q442" s="250"/>
      <c r="R442" s="250"/>
      <c r="S442" s="250"/>
      <c r="T442" s="554"/>
      <c r="U442" s="554"/>
      <c r="V442" s="250"/>
      <c r="W442" s="250"/>
      <c r="X442" s="554"/>
      <c r="Y442" s="554"/>
      <c r="Z442" s="250"/>
      <c r="AA442" s="250"/>
      <c r="AB442" s="554"/>
      <c r="AC442" s="554"/>
      <c r="AD442" s="242"/>
    </row>
    <row r="443" spans="1:30">
      <c r="A443" s="242"/>
      <c r="B443" s="558">
        <v>39813</v>
      </c>
      <c r="C443" s="558"/>
      <c r="D443" s="247"/>
      <c r="E443" s="256">
        <v>181.7</v>
      </c>
      <c r="F443" s="557">
        <v>24</v>
      </c>
      <c r="G443" s="557"/>
      <c r="H443" s="256">
        <v>218.4</v>
      </c>
      <c r="I443" s="557">
        <v>24</v>
      </c>
      <c r="J443" s="557"/>
      <c r="K443" s="256">
        <v>0</v>
      </c>
      <c r="L443" s="257">
        <v>0</v>
      </c>
      <c r="M443" s="256">
        <v>0</v>
      </c>
      <c r="N443" s="257">
        <v>0</v>
      </c>
      <c r="O443" s="258">
        <v>400.1</v>
      </c>
      <c r="P443" s="250"/>
      <c r="Q443" s="256">
        <v>0</v>
      </c>
      <c r="R443" s="257">
        <v>0</v>
      </c>
      <c r="S443" s="256">
        <v>162</v>
      </c>
      <c r="T443" s="557">
        <v>24</v>
      </c>
      <c r="U443" s="557"/>
      <c r="V443" s="256">
        <v>162</v>
      </c>
      <c r="W443" s="250"/>
      <c r="X443" s="556">
        <v>562.1</v>
      </c>
      <c r="Y443" s="556"/>
      <c r="Z443" s="250"/>
      <c r="AA443" s="267">
        <v>6330100</v>
      </c>
      <c r="AB443" s="565">
        <v>23899</v>
      </c>
      <c r="AC443" s="565"/>
      <c r="AD443" s="242"/>
    </row>
    <row r="444" spans="1:30">
      <c r="A444" s="242"/>
      <c r="B444" s="559"/>
      <c r="C444" s="559"/>
      <c r="D444" s="247"/>
      <c r="E444" s="247"/>
      <c r="F444" s="559"/>
      <c r="G444" s="559"/>
      <c r="H444" s="247"/>
      <c r="I444" s="559"/>
      <c r="J444" s="559"/>
      <c r="K444" s="247"/>
      <c r="L444" s="247"/>
      <c r="M444" s="247"/>
      <c r="N444" s="247"/>
      <c r="O444" s="247"/>
      <c r="P444" s="247"/>
      <c r="Q444" s="247"/>
      <c r="R444" s="247"/>
      <c r="S444" s="247"/>
      <c r="T444" s="559"/>
      <c r="U444" s="559"/>
      <c r="V444" s="247"/>
      <c r="W444" s="247"/>
      <c r="X444" s="559"/>
      <c r="Y444" s="559"/>
      <c r="Z444" s="247"/>
      <c r="AA444" s="247"/>
      <c r="AB444" s="559"/>
      <c r="AC444" s="559"/>
      <c r="AD444" s="242"/>
    </row>
    <row r="445" spans="1:30">
      <c r="A445" s="242"/>
      <c r="B445" s="548" t="s">
        <v>396</v>
      </c>
      <c r="C445" s="548"/>
      <c r="D445" s="247"/>
      <c r="E445" s="260">
        <v>20311.5</v>
      </c>
      <c r="F445" s="549">
        <v>2827</v>
      </c>
      <c r="G445" s="549"/>
      <c r="H445" s="260">
        <v>41637.699999999997</v>
      </c>
      <c r="I445" s="549">
        <v>4563</v>
      </c>
      <c r="J445" s="549"/>
      <c r="K445" s="260">
        <v>0</v>
      </c>
      <c r="L445" s="261">
        <v>12</v>
      </c>
      <c r="M445" s="260">
        <v>52300</v>
      </c>
      <c r="N445" s="261">
        <v>3990</v>
      </c>
      <c r="O445" s="262">
        <v>114249.2</v>
      </c>
      <c r="P445" s="247"/>
      <c r="Q445" s="260">
        <v>10837</v>
      </c>
      <c r="R445" s="261">
        <v>1428</v>
      </c>
      <c r="S445" s="260">
        <v>14800</v>
      </c>
      <c r="T445" s="549">
        <v>1273</v>
      </c>
      <c r="U445" s="549"/>
      <c r="V445" s="260">
        <v>25637</v>
      </c>
      <c r="W445" s="247"/>
      <c r="X445" s="550">
        <v>139886.20000000001</v>
      </c>
      <c r="Y445" s="550"/>
      <c r="Z445" s="247"/>
      <c r="AA445" s="263">
        <v>1583363793</v>
      </c>
      <c r="AB445" s="551">
        <v>4822312</v>
      </c>
      <c r="AC445" s="551"/>
      <c r="AD445" s="242"/>
    </row>
    <row r="446" spans="1:30">
      <c r="A446" s="242"/>
      <c r="B446" s="548" t="s">
        <v>397</v>
      </c>
      <c r="C446" s="548"/>
      <c r="D446" s="247"/>
      <c r="E446" s="260">
        <v>105.7890625</v>
      </c>
      <c r="F446" s="549">
        <v>14.277777777777777</v>
      </c>
      <c r="G446" s="549"/>
      <c r="H446" s="260">
        <v>199.22344497607654</v>
      </c>
      <c r="I446" s="549">
        <v>21.728571428571428</v>
      </c>
      <c r="J446" s="549"/>
      <c r="K446" s="260">
        <v>0</v>
      </c>
      <c r="L446" s="261">
        <v>7.3619631901840496E-2</v>
      </c>
      <c r="M446" s="260">
        <v>255.1219512195122</v>
      </c>
      <c r="N446" s="261">
        <v>19.275362318840578</v>
      </c>
      <c r="O446" s="262">
        <v>533.8747663551402</v>
      </c>
      <c r="P446" s="247"/>
      <c r="Q446" s="260">
        <v>61.225988700564976</v>
      </c>
      <c r="R446" s="261">
        <v>8.0677966101694913</v>
      </c>
      <c r="S446" s="260">
        <v>85.057471264367805</v>
      </c>
      <c r="T446" s="549">
        <v>7.3160919540229887</v>
      </c>
      <c r="U446" s="549"/>
      <c r="V446" s="260">
        <v>135.64550264550263</v>
      </c>
      <c r="W446" s="247"/>
      <c r="X446" s="550">
        <v>653.67383177570093</v>
      </c>
      <c r="Y446" s="550"/>
      <c r="Z446" s="247"/>
      <c r="AA446" s="263">
        <v>7398896.2289719628</v>
      </c>
      <c r="AB446" s="551">
        <v>27244.70056497175</v>
      </c>
      <c r="AC446" s="551"/>
      <c r="AD446" s="242"/>
    </row>
    <row r="447" spans="1:30">
      <c r="A447" s="242"/>
      <c r="B447" s="548" t="s">
        <v>398</v>
      </c>
      <c r="C447" s="548"/>
      <c r="D447" s="247"/>
      <c r="E447" s="260">
        <v>305.5</v>
      </c>
      <c r="F447" s="549">
        <v>24</v>
      </c>
      <c r="G447" s="549"/>
      <c r="H447" s="260">
        <v>346</v>
      </c>
      <c r="I447" s="549">
        <v>24</v>
      </c>
      <c r="J447" s="549"/>
      <c r="K447" s="260">
        <v>0</v>
      </c>
      <c r="L447" s="261">
        <v>8</v>
      </c>
      <c r="M447" s="260">
        <v>463</v>
      </c>
      <c r="N447" s="261">
        <v>24</v>
      </c>
      <c r="O447" s="262">
        <v>756.1</v>
      </c>
      <c r="P447" s="247"/>
      <c r="Q447" s="260">
        <v>230</v>
      </c>
      <c r="R447" s="261">
        <v>24</v>
      </c>
      <c r="S447" s="260">
        <v>5000</v>
      </c>
      <c r="T447" s="549">
        <v>24</v>
      </c>
      <c r="U447" s="549"/>
      <c r="V447" s="260">
        <v>5000</v>
      </c>
      <c r="W447" s="247"/>
      <c r="X447" s="550">
        <v>5486.5</v>
      </c>
      <c r="Y447" s="550"/>
      <c r="Z447" s="247"/>
      <c r="AA447" s="263">
        <v>11269100</v>
      </c>
      <c r="AB447" s="551">
        <v>311079</v>
      </c>
      <c r="AC447" s="551"/>
      <c r="AD447" s="242"/>
    </row>
    <row r="448" spans="1:30">
      <c r="A448" s="242"/>
      <c r="B448" s="548" t="s">
        <v>399</v>
      </c>
      <c r="C448" s="548"/>
      <c r="D448" s="247"/>
      <c r="E448" s="260">
        <v>0</v>
      </c>
      <c r="F448" s="549">
        <v>0</v>
      </c>
      <c r="G448" s="549"/>
      <c r="H448" s="260">
        <v>0</v>
      </c>
      <c r="I448" s="549">
        <v>0</v>
      </c>
      <c r="J448" s="549"/>
      <c r="K448" s="260">
        <v>0</v>
      </c>
      <c r="L448" s="261">
        <v>0</v>
      </c>
      <c r="M448" s="260">
        <v>0</v>
      </c>
      <c r="N448" s="261">
        <v>0</v>
      </c>
      <c r="O448" s="262">
        <v>345.1</v>
      </c>
      <c r="P448" s="247"/>
      <c r="Q448" s="260">
        <v>0</v>
      </c>
      <c r="R448" s="261">
        <v>0</v>
      </c>
      <c r="S448" s="260">
        <v>0</v>
      </c>
      <c r="T448" s="549">
        <v>0</v>
      </c>
      <c r="U448" s="549"/>
      <c r="V448" s="260">
        <v>0</v>
      </c>
      <c r="W448" s="247"/>
      <c r="X448" s="550">
        <v>494.3</v>
      </c>
      <c r="Y448" s="550"/>
      <c r="Z448" s="247"/>
      <c r="AA448" s="263">
        <v>0</v>
      </c>
      <c r="AB448" s="551">
        <v>0</v>
      </c>
      <c r="AC448" s="551"/>
      <c r="AD448" s="242"/>
    </row>
    <row r="449" spans="1:30">
      <c r="A449" s="242"/>
      <c r="B449" s="552"/>
      <c r="C449" s="552"/>
      <c r="D449" s="247"/>
      <c r="E449" s="265"/>
      <c r="F449" s="547"/>
      <c r="G449" s="547"/>
      <c r="H449" s="265"/>
      <c r="I449" s="547"/>
      <c r="J449" s="547"/>
      <c r="K449" s="265"/>
      <c r="L449" s="265"/>
      <c r="M449" s="265"/>
      <c r="N449" s="265"/>
      <c r="O449" s="265"/>
      <c r="P449" s="247"/>
      <c r="Q449" s="265"/>
      <c r="R449" s="265"/>
      <c r="S449" s="265"/>
      <c r="T449" s="547"/>
      <c r="U449" s="547"/>
      <c r="V449" s="265"/>
      <c r="W449" s="247"/>
      <c r="X449" s="547"/>
      <c r="Y449" s="547"/>
      <c r="Z449" s="247"/>
      <c r="AA449" s="265"/>
      <c r="AB449" s="547"/>
      <c r="AC449" s="547"/>
      <c r="AD449" s="242"/>
    </row>
    <row r="450" spans="1:30">
      <c r="A450" s="242"/>
      <c r="B450" s="552"/>
      <c r="C450" s="552"/>
      <c r="D450" s="247"/>
      <c r="E450" s="265"/>
      <c r="F450" s="547"/>
      <c r="G450" s="547"/>
      <c r="H450" s="265"/>
      <c r="I450" s="547"/>
      <c r="J450" s="547"/>
      <c r="K450" s="265"/>
      <c r="L450" s="265"/>
      <c r="M450" s="265"/>
      <c r="N450" s="265"/>
      <c r="O450" s="265"/>
      <c r="P450" s="247"/>
      <c r="Q450" s="250"/>
      <c r="R450" s="265"/>
      <c r="S450" s="265"/>
      <c r="T450" s="547"/>
      <c r="U450" s="547"/>
      <c r="V450" s="553" t="s">
        <v>400</v>
      </c>
      <c r="W450" s="553"/>
      <c r="X450" s="553"/>
      <c r="Y450" s="553"/>
      <c r="Z450" s="553"/>
      <c r="AA450" s="553"/>
      <c r="AB450" s="269">
        <v>30335.302295444963</v>
      </c>
      <c r="AC450" s="269"/>
      <c r="AD450" s="242"/>
    </row>
    <row r="451" spans="1:30" ht="14.1" customHeight="1">
      <c r="A451" s="242"/>
      <c r="B451" s="242"/>
      <c r="C451" s="242"/>
      <c r="D451" s="242"/>
      <c r="E451" s="588" t="s">
        <v>215</v>
      </c>
      <c r="F451" s="588"/>
      <c r="G451" s="588"/>
      <c r="H451" s="588"/>
      <c r="I451" s="574" t="s">
        <v>147</v>
      </c>
      <c r="J451" s="574"/>
      <c r="K451" s="414">
        <f>SUM('Elec Gene jan-jun 2008'!O17:O319)+'Elec Gene jul-dec 2008'!O445</f>
        <v>202017.75</v>
      </c>
      <c r="L451" s="242"/>
      <c r="M451" s="242"/>
      <c r="N451" s="242"/>
      <c r="O451" s="242"/>
      <c r="P451" s="242"/>
      <c r="Q451" s="242"/>
      <c r="R451" s="242"/>
      <c r="S451" s="242"/>
      <c r="T451" s="242"/>
      <c r="U451" s="242"/>
      <c r="V451" s="242"/>
      <c r="W451" s="242"/>
      <c r="X451" s="242"/>
      <c r="Y451" s="242"/>
      <c r="Z451" s="242"/>
      <c r="AA451" s="242"/>
      <c r="AB451" s="242"/>
      <c r="AC451" s="242"/>
      <c r="AD451" s="242"/>
    </row>
    <row r="452" spans="1:30" ht="26.4">
      <c r="E452" s="588" t="s">
        <v>220</v>
      </c>
      <c r="F452" s="588"/>
      <c r="G452" s="588"/>
      <c r="H452" s="588"/>
      <c r="I452" s="574" t="s">
        <v>148</v>
      </c>
      <c r="J452" s="574"/>
      <c r="K452" s="413">
        <f>AA445+SUM('Elec Gene jan-jun 2008'!AA17:AA319)</f>
        <v>2266387011</v>
      </c>
      <c r="AA452" s="243" t="s">
        <v>213</v>
      </c>
      <c r="AB452" s="243">
        <f>AB450/AB445</f>
        <v>6.2906137751860443E-3</v>
      </c>
    </row>
    <row r="453" spans="1:30">
      <c r="E453" s="588"/>
      <c r="F453" s="588"/>
      <c r="G453" s="588"/>
      <c r="H453" s="588"/>
      <c r="I453" s="574" t="s">
        <v>157</v>
      </c>
      <c r="J453" s="574"/>
      <c r="K453" s="413">
        <f>K452*'Initial Data'!C8/1000000</f>
        <v>2977125.9776495998</v>
      </c>
      <c r="AB453" s="243">
        <f>1/AB452</f>
        <v>158.96700000000001</v>
      </c>
    </row>
    <row r="454" spans="1:30">
      <c r="E454" s="588"/>
      <c r="F454" s="588"/>
      <c r="G454" s="588"/>
      <c r="H454" s="588"/>
      <c r="I454" s="574" t="s">
        <v>152</v>
      </c>
      <c r="J454" s="575"/>
      <c r="K454" s="413">
        <f>K453/'Initial Data'!C28</f>
        <v>3138.9327745348714</v>
      </c>
    </row>
    <row r="455" spans="1:30">
      <c r="E455" s="588" t="s">
        <v>216</v>
      </c>
      <c r="F455" s="588">
        <v>0</v>
      </c>
      <c r="G455" s="588">
        <f>+F455</f>
        <v>0</v>
      </c>
      <c r="H455" s="588"/>
      <c r="I455" s="574" t="s">
        <v>153</v>
      </c>
      <c r="J455" s="575"/>
      <c r="K455" s="413">
        <f>K454*'Initial Data'!C3</f>
        <v>176094.1286514063</v>
      </c>
    </row>
    <row r="456" spans="1:30">
      <c r="E456" s="579" t="s">
        <v>217</v>
      </c>
      <c r="F456" s="580"/>
      <c r="G456" s="580"/>
      <c r="H456" s="581"/>
      <c r="I456" s="574" t="s">
        <v>262</v>
      </c>
      <c r="J456" s="575"/>
      <c r="K456" s="413">
        <f>AB445+'Elec Gene jan-jun 2008'!AB329</f>
        <v>25222379</v>
      </c>
      <c r="L456" s="295"/>
    </row>
    <row r="457" spans="1:30">
      <c r="E457" s="582"/>
      <c r="F457" s="583"/>
      <c r="G457" s="583"/>
      <c r="H457" s="584"/>
      <c r="I457" s="574" t="s">
        <v>263</v>
      </c>
      <c r="J457" s="575"/>
      <c r="K457" s="413">
        <f>K456*'Initial Data'!C10</f>
        <v>21111131.222999997</v>
      </c>
    </row>
    <row r="458" spans="1:30">
      <c r="E458" s="582"/>
      <c r="F458" s="583"/>
      <c r="G458" s="583"/>
      <c r="H458" s="584"/>
      <c r="I458" s="574" t="s">
        <v>151</v>
      </c>
      <c r="J458" s="575"/>
      <c r="K458" s="413">
        <f>K457*'Initial Data'!C9</f>
        <v>246578012684.63998</v>
      </c>
    </row>
    <row r="459" spans="1:30">
      <c r="E459" s="585"/>
      <c r="F459" s="586"/>
      <c r="G459" s="586"/>
      <c r="H459" s="587"/>
      <c r="I459" s="574" t="s">
        <v>152</v>
      </c>
      <c r="J459" s="575"/>
      <c r="K459" s="413">
        <f>K458*'Initial Data'!C27/1000000000</f>
        <v>1032.4221391105878</v>
      </c>
    </row>
    <row r="460" spans="1:30">
      <c r="E460" s="576" t="s">
        <v>218</v>
      </c>
      <c r="F460" s="577"/>
      <c r="G460" s="577"/>
      <c r="H460" s="578"/>
      <c r="I460" s="574" t="s">
        <v>153</v>
      </c>
      <c r="J460" s="575"/>
      <c r="K460" s="413">
        <f>K459*'Initial Data'!C11</f>
        <v>76502.480508094552</v>
      </c>
    </row>
    <row r="461" spans="1:30">
      <c r="E461" s="576" t="s">
        <v>214</v>
      </c>
      <c r="F461" s="577"/>
      <c r="G461" s="577"/>
      <c r="H461" s="578"/>
      <c r="I461" s="574" t="s">
        <v>156</v>
      </c>
      <c r="J461" s="575"/>
      <c r="K461" s="414">
        <f>(K460+K455)/K451</f>
        <v>1.2503683916858834</v>
      </c>
    </row>
  </sheetData>
  <mergeCells count="2652">
    <mergeCell ref="S14:U14"/>
    <mergeCell ref="X14:Y14"/>
    <mergeCell ref="AB14:AC14"/>
    <mergeCell ref="X16:Y16"/>
    <mergeCell ref="E456:H459"/>
    <mergeCell ref="I456:J456"/>
    <mergeCell ref="I458:J458"/>
    <mergeCell ref="I459:J459"/>
    <mergeCell ref="E451:H451"/>
    <mergeCell ref="I451:J451"/>
    <mergeCell ref="E452:H454"/>
    <mergeCell ref="I452:J452"/>
    <mergeCell ref="AA13:AC13"/>
    <mergeCell ref="B14:C14"/>
    <mergeCell ref="E14:G14"/>
    <mergeCell ref="H14:J14"/>
    <mergeCell ref="K14:L14"/>
    <mergeCell ref="M14:N14"/>
    <mergeCell ref="B13:C13"/>
    <mergeCell ref="E13:O13"/>
    <mergeCell ref="Q13:V13"/>
    <mergeCell ref="X13:Y13"/>
    <mergeCell ref="X21:Y21"/>
    <mergeCell ref="AB21:AC21"/>
    <mergeCell ref="E455:H455"/>
    <mergeCell ref="I455:J455"/>
    <mergeCell ref="B16:C16"/>
    <mergeCell ref="F16:G16"/>
    <mergeCell ref="I16:J16"/>
    <mergeCell ref="T16:U16"/>
    <mergeCell ref="I453:J453"/>
    <mergeCell ref="I454:J454"/>
    <mergeCell ref="I21:J21"/>
    <mergeCell ref="T21:U21"/>
    <mergeCell ref="B15:C15"/>
    <mergeCell ref="Q14:R14"/>
    <mergeCell ref="F24:G24"/>
    <mergeCell ref="I24:J24"/>
    <mergeCell ref="T24:U24"/>
    <mergeCell ref="B19:C19"/>
    <mergeCell ref="I460:J460"/>
    <mergeCell ref="F22:G22"/>
    <mergeCell ref="I22:J22"/>
    <mergeCell ref="T22:U22"/>
    <mergeCell ref="B20:C20"/>
    <mergeCell ref="F20:G20"/>
    <mergeCell ref="X19:Y19"/>
    <mergeCell ref="E461:H461"/>
    <mergeCell ref="I461:J461"/>
    <mergeCell ref="F21:G21"/>
    <mergeCell ref="I25:J25"/>
    <mergeCell ref="T25:U25"/>
    <mergeCell ref="F15:G15"/>
    <mergeCell ref="I15:J15"/>
    <mergeCell ref="T15:U15"/>
    <mergeCell ref="I18:J18"/>
    <mergeCell ref="T18:U18"/>
    <mergeCell ref="X22:Y22"/>
    <mergeCell ref="B26:C26"/>
    <mergeCell ref="F26:G26"/>
    <mergeCell ref="I28:J28"/>
    <mergeCell ref="T28:U28"/>
    <mergeCell ref="X28:Y28"/>
    <mergeCell ref="F35:G35"/>
    <mergeCell ref="C2:F7"/>
    <mergeCell ref="Y3:AB8"/>
    <mergeCell ref="J4:T4"/>
    <mergeCell ref="J5:T5"/>
    <mergeCell ref="J6:T6"/>
    <mergeCell ref="E460:H460"/>
    <mergeCell ref="X15:Y15"/>
    <mergeCell ref="AB15:AC15"/>
    <mergeCell ref="X18:Y18"/>
    <mergeCell ref="AB18:AC18"/>
    <mergeCell ref="B17:C17"/>
    <mergeCell ref="F17:G17"/>
    <mergeCell ref="I17:J17"/>
    <mergeCell ref="T17:U17"/>
    <mergeCell ref="B18:C18"/>
    <mergeCell ref="F18:G18"/>
    <mergeCell ref="X17:Y17"/>
    <mergeCell ref="AB17:AC17"/>
    <mergeCell ref="A10:AB10"/>
    <mergeCell ref="I29:J29"/>
    <mergeCell ref="T29:U29"/>
    <mergeCell ref="X29:Y29"/>
    <mergeCell ref="AB29:AC29"/>
    <mergeCell ref="AB16:AC16"/>
    <mergeCell ref="AB19:AC19"/>
    <mergeCell ref="X20:Y20"/>
    <mergeCell ref="AB20:AC20"/>
    <mergeCell ref="B23:C23"/>
    <mergeCell ref="F23:G23"/>
    <mergeCell ref="I23:J23"/>
    <mergeCell ref="T23:U23"/>
    <mergeCell ref="B21:C21"/>
    <mergeCell ref="AB22:AC22"/>
    <mergeCell ref="X23:Y23"/>
    <mergeCell ref="AB23:AC23"/>
    <mergeCell ref="X24:Y24"/>
    <mergeCell ref="AB24:AC24"/>
    <mergeCell ref="I19:J19"/>
    <mergeCell ref="T19:U19"/>
    <mergeCell ref="I20:J20"/>
    <mergeCell ref="T20:U20"/>
    <mergeCell ref="B24:C24"/>
    <mergeCell ref="I32:J32"/>
    <mergeCell ref="T32:U32"/>
    <mergeCell ref="B32:C32"/>
    <mergeCell ref="F32:G32"/>
    <mergeCell ref="X41:Y41"/>
    <mergeCell ref="AB41:AC41"/>
    <mergeCell ref="F19:G19"/>
    <mergeCell ref="B22:C22"/>
    <mergeCell ref="B27:C27"/>
    <mergeCell ref="F27:G27"/>
    <mergeCell ref="I27:J27"/>
    <mergeCell ref="T27:U27"/>
    <mergeCell ref="X27:Y27"/>
    <mergeCell ref="AB27:AC27"/>
    <mergeCell ref="B25:C25"/>
    <mergeCell ref="F25:G25"/>
    <mergeCell ref="B28:C28"/>
    <mergeCell ref="F28:G28"/>
    <mergeCell ref="B29:C29"/>
    <mergeCell ref="F29:G29"/>
    <mergeCell ref="X26:Y26"/>
    <mergeCell ref="AB26:AC26"/>
    <mergeCell ref="AB28:AC28"/>
    <mergeCell ref="I26:J26"/>
    <mergeCell ref="T26:U26"/>
    <mergeCell ref="X25:Y25"/>
    <mergeCell ref="AB25:AC25"/>
    <mergeCell ref="X42:Y42"/>
    <mergeCell ref="AB42:AC42"/>
    <mergeCell ref="B33:C33"/>
    <mergeCell ref="F33:G33"/>
    <mergeCell ref="I33:J33"/>
    <mergeCell ref="T33:U33"/>
    <mergeCell ref="X34:Y34"/>
    <mergeCell ref="AB34:AC34"/>
    <mergeCell ref="X35:Y35"/>
    <mergeCell ref="AB35:AC35"/>
    <mergeCell ref="B36:C36"/>
    <mergeCell ref="F36:G36"/>
    <mergeCell ref="X39:Y39"/>
    <mergeCell ref="AB39:AC39"/>
    <mergeCell ref="B30:C30"/>
    <mergeCell ref="F30:G30"/>
    <mergeCell ref="I30:J30"/>
    <mergeCell ref="T30:U30"/>
    <mergeCell ref="X30:Y30"/>
    <mergeCell ref="AB30:AC30"/>
    <mergeCell ref="B31:C31"/>
    <mergeCell ref="F31:G31"/>
    <mergeCell ref="I31:J31"/>
    <mergeCell ref="T31:U31"/>
    <mergeCell ref="B34:C34"/>
    <mergeCell ref="F34:G34"/>
    <mergeCell ref="B35:C35"/>
    <mergeCell ref="X31:Y31"/>
    <mergeCell ref="AB31:AC31"/>
    <mergeCell ref="X32:Y32"/>
    <mergeCell ref="AB32:AC32"/>
    <mergeCell ref="B44:C44"/>
    <mergeCell ref="F44:G44"/>
    <mergeCell ref="X33:Y33"/>
    <mergeCell ref="AB33:AC33"/>
    <mergeCell ref="X45:Y45"/>
    <mergeCell ref="AB45:AC45"/>
    <mergeCell ref="B43:C43"/>
    <mergeCell ref="F43:G43"/>
    <mergeCell ref="B39:C39"/>
    <mergeCell ref="F39:G39"/>
    <mergeCell ref="I39:J39"/>
    <mergeCell ref="T39:U39"/>
    <mergeCell ref="B40:C40"/>
    <mergeCell ref="F40:G40"/>
    <mergeCell ref="I40:J40"/>
    <mergeCell ref="T40:U40"/>
    <mergeCell ref="B42:C42"/>
    <mergeCell ref="F42:G42"/>
    <mergeCell ref="I42:J42"/>
    <mergeCell ref="T42:U42"/>
    <mergeCell ref="B37:C37"/>
    <mergeCell ref="F37:G37"/>
    <mergeCell ref="X37:Y37"/>
    <mergeCell ref="AB37:AC37"/>
    <mergeCell ref="B41:C41"/>
    <mergeCell ref="F41:G41"/>
    <mergeCell ref="I41:J41"/>
    <mergeCell ref="T41:U41"/>
    <mergeCell ref="X43:Y43"/>
    <mergeCell ref="AB43:AC43"/>
    <mergeCell ref="I36:J36"/>
    <mergeCell ref="T36:U36"/>
    <mergeCell ref="X36:Y36"/>
    <mergeCell ref="AB36:AC36"/>
    <mergeCell ref="X40:Y40"/>
    <mergeCell ref="AB40:AC40"/>
    <mergeCell ref="X48:Y48"/>
    <mergeCell ref="AB48:AC48"/>
    <mergeCell ref="X46:Y46"/>
    <mergeCell ref="AB46:AC46"/>
    <mergeCell ref="X47:Y47"/>
    <mergeCell ref="AB47:AC47"/>
    <mergeCell ref="I47:J47"/>
    <mergeCell ref="T47:U47"/>
    <mergeCell ref="X38:Y38"/>
    <mergeCell ref="AB38:AC38"/>
    <mergeCell ref="X44:Y44"/>
    <mergeCell ref="AB44:AC44"/>
    <mergeCell ref="I37:J37"/>
    <mergeCell ref="T37:U37"/>
    <mergeCell ref="I38:J38"/>
    <mergeCell ref="T38:U38"/>
    <mergeCell ref="I49:J49"/>
    <mergeCell ref="T49:U49"/>
    <mergeCell ref="B46:C46"/>
    <mergeCell ref="F46:G46"/>
    <mergeCell ref="B47:C47"/>
    <mergeCell ref="F47:G47"/>
    <mergeCell ref="I46:J46"/>
    <mergeCell ref="T46:U46"/>
    <mergeCell ref="B48:C48"/>
    <mergeCell ref="F48:G48"/>
    <mergeCell ref="I48:J48"/>
    <mergeCell ref="T48:U48"/>
    <mergeCell ref="B45:C45"/>
    <mergeCell ref="F45:G45"/>
    <mergeCell ref="I45:J45"/>
    <mergeCell ref="T45:U45"/>
    <mergeCell ref="I34:J34"/>
    <mergeCell ref="T34:U34"/>
    <mergeCell ref="I35:J35"/>
    <mergeCell ref="T35:U35"/>
    <mergeCell ref="I43:J43"/>
    <mergeCell ref="T43:U43"/>
    <mergeCell ref="I44:J44"/>
    <mergeCell ref="T44:U44"/>
    <mergeCell ref="X50:Y50"/>
    <mergeCell ref="AB50:AC50"/>
    <mergeCell ref="X51:Y51"/>
    <mergeCell ref="AB51:AC51"/>
    <mergeCell ref="B51:C51"/>
    <mergeCell ref="F51:G51"/>
    <mergeCell ref="I51:J51"/>
    <mergeCell ref="T51:U51"/>
    <mergeCell ref="B57:C57"/>
    <mergeCell ref="F57:G57"/>
    <mergeCell ref="I57:J57"/>
    <mergeCell ref="T57:U57"/>
    <mergeCell ref="B38:C38"/>
    <mergeCell ref="F38:G38"/>
    <mergeCell ref="X49:Y49"/>
    <mergeCell ref="AB49:AC49"/>
    <mergeCell ref="X52:Y52"/>
    <mergeCell ref="AB52:AC52"/>
    <mergeCell ref="X53:Y53"/>
    <mergeCell ref="AB53:AC53"/>
    <mergeCell ref="B54:C54"/>
    <mergeCell ref="F54:G54"/>
    <mergeCell ref="I54:J54"/>
    <mergeCell ref="T54:U54"/>
    <mergeCell ref="X54:Y54"/>
    <mergeCell ref="AB54:AC54"/>
    <mergeCell ref="I50:J50"/>
    <mergeCell ref="T50:U50"/>
    <mergeCell ref="B50:C50"/>
    <mergeCell ref="F50:G50"/>
    <mergeCell ref="B49:C49"/>
    <mergeCell ref="F49:G49"/>
    <mergeCell ref="X57:Y57"/>
    <mergeCell ref="AB57:AC57"/>
    <mergeCell ref="B52:C52"/>
    <mergeCell ref="F52:G52"/>
    <mergeCell ref="B60:C60"/>
    <mergeCell ref="F60:G60"/>
    <mergeCell ref="I60:J60"/>
    <mergeCell ref="T60:U60"/>
    <mergeCell ref="B55:C55"/>
    <mergeCell ref="F55:G55"/>
    <mergeCell ref="X55:Y55"/>
    <mergeCell ref="AB55:AC55"/>
    <mergeCell ref="X56:Y56"/>
    <mergeCell ref="AB56:AC56"/>
    <mergeCell ref="B59:C59"/>
    <mergeCell ref="F59:G59"/>
    <mergeCell ref="I59:J59"/>
    <mergeCell ref="T59:U59"/>
    <mergeCell ref="I56:J56"/>
    <mergeCell ref="T56:U56"/>
    <mergeCell ref="I52:J52"/>
    <mergeCell ref="T52:U52"/>
    <mergeCell ref="I53:J53"/>
    <mergeCell ref="T53:U53"/>
    <mergeCell ref="B56:C56"/>
    <mergeCell ref="F56:G56"/>
    <mergeCell ref="B53:C53"/>
    <mergeCell ref="F53:G53"/>
    <mergeCell ref="I55:J55"/>
    <mergeCell ref="T55:U55"/>
    <mergeCell ref="I61:J61"/>
    <mergeCell ref="T61:U61"/>
    <mergeCell ref="I62:J62"/>
    <mergeCell ref="T62:U62"/>
    <mergeCell ref="X61:Y61"/>
    <mergeCell ref="AB61:AC61"/>
    <mergeCell ref="X58:Y58"/>
    <mergeCell ref="AB58:AC58"/>
    <mergeCell ref="X59:Y59"/>
    <mergeCell ref="AB59:AC59"/>
    <mergeCell ref="X60:Y60"/>
    <mergeCell ref="AB60:AC60"/>
    <mergeCell ref="B63:C63"/>
    <mergeCell ref="F63:G63"/>
    <mergeCell ref="I63:J63"/>
    <mergeCell ref="T63:U63"/>
    <mergeCell ref="X63:Y63"/>
    <mergeCell ref="AB63:AC63"/>
    <mergeCell ref="B61:C61"/>
    <mergeCell ref="F61:G61"/>
    <mergeCell ref="B58:C58"/>
    <mergeCell ref="F58:G58"/>
    <mergeCell ref="I58:J58"/>
    <mergeCell ref="T58:U58"/>
    <mergeCell ref="B64:C64"/>
    <mergeCell ref="F64:G64"/>
    <mergeCell ref="B65:C65"/>
    <mergeCell ref="F65:G65"/>
    <mergeCell ref="X62:Y62"/>
    <mergeCell ref="AB62:AC62"/>
    <mergeCell ref="B62:C62"/>
    <mergeCell ref="F62:G62"/>
    <mergeCell ref="I64:J64"/>
    <mergeCell ref="T64:U64"/>
    <mergeCell ref="B66:C66"/>
    <mergeCell ref="F66:G66"/>
    <mergeCell ref="I66:J66"/>
    <mergeCell ref="T66:U66"/>
    <mergeCell ref="X66:Y66"/>
    <mergeCell ref="AB66:AC66"/>
    <mergeCell ref="X64:Y64"/>
    <mergeCell ref="AB64:AC64"/>
    <mergeCell ref="X65:Y65"/>
    <mergeCell ref="AB65:AC65"/>
    <mergeCell ref="I68:J68"/>
    <mergeCell ref="T68:U68"/>
    <mergeCell ref="B68:C68"/>
    <mergeCell ref="F68:G68"/>
    <mergeCell ref="B74:C74"/>
    <mergeCell ref="F74:G74"/>
    <mergeCell ref="B71:C71"/>
    <mergeCell ref="F71:G71"/>
    <mergeCell ref="I73:J73"/>
    <mergeCell ref="T73:U73"/>
    <mergeCell ref="X67:Y67"/>
    <mergeCell ref="AB67:AC67"/>
    <mergeCell ref="X68:Y68"/>
    <mergeCell ref="AB68:AC68"/>
    <mergeCell ref="X69:Y69"/>
    <mergeCell ref="AB69:AC69"/>
    <mergeCell ref="I65:J65"/>
    <mergeCell ref="T65:U65"/>
    <mergeCell ref="B69:C69"/>
    <mergeCell ref="F69:G69"/>
    <mergeCell ref="I69:J69"/>
    <mergeCell ref="T69:U69"/>
    <mergeCell ref="B67:C67"/>
    <mergeCell ref="F67:G67"/>
    <mergeCell ref="I67:J67"/>
    <mergeCell ref="T67:U67"/>
    <mergeCell ref="B70:C70"/>
    <mergeCell ref="F70:G70"/>
    <mergeCell ref="B73:C73"/>
    <mergeCell ref="F73:G73"/>
    <mergeCell ref="X73:Y73"/>
    <mergeCell ref="AB73:AC73"/>
    <mergeCell ref="X74:Y74"/>
    <mergeCell ref="AB74:AC74"/>
    <mergeCell ref="B77:C77"/>
    <mergeCell ref="F77:G77"/>
    <mergeCell ref="I77:J77"/>
    <mergeCell ref="T77:U77"/>
    <mergeCell ref="I74:J74"/>
    <mergeCell ref="T74:U74"/>
    <mergeCell ref="I70:J70"/>
    <mergeCell ref="T70:U70"/>
    <mergeCell ref="I71:J71"/>
    <mergeCell ref="T71:U71"/>
    <mergeCell ref="X70:Y70"/>
    <mergeCell ref="AB70:AC70"/>
    <mergeCell ref="X71:Y71"/>
    <mergeCell ref="AB71:AC71"/>
    <mergeCell ref="B72:C72"/>
    <mergeCell ref="F72:G72"/>
    <mergeCell ref="I72:J72"/>
    <mergeCell ref="T72:U72"/>
    <mergeCell ref="X72:Y72"/>
    <mergeCell ref="AB72:AC72"/>
    <mergeCell ref="X76:Y76"/>
    <mergeCell ref="AB76:AC76"/>
    <mergeCell ref="B75:C75"/>
    <mergeCell ref="F75:G75"/>
    <mergeCell ref="I75:J75"/>
    <mergeCell ref="T75:U75"/>
    <mergeCell ref="B76:C76"/>
    <mergeCell ref="F76:G76"/>
    <mergeCell ref="I76:J76"/>
    <mergeCell ref="T76:U76"/>
    <mergeCell ref="X75:Y75"/>
    <mergeCell ref="AB75:AC75"/>
    <mergeCell ref="X80:Y80"/>
    <mergeCell ref="AB80:AC80"/>
    <mergeCell ref="B80:C80"/>
    <mergeCell ref="F80:G80"/>
    <mergeCell ref="B78:C78"/>
    <mergeCell ref="F78:G78"/>
    <mergeCell ref="I78:J78"/>
    <mergeCell ref="T78:U78"/>
    <mergeCell ref="I79:J79"/>
    <mergeCell ref="T79:U79"/>
    <mergeCell ref="I80:J80"/>
    <mergeCell ref="T80:U80"/>
    <mergeCell ref="X79:Y79"/>
    <mergeCell ref="AB79:AC79"/>
    <mergeCell ref="X77:Y77"/>
    <mergeCell ref="AB77:AC77"/>
    <mergeCell ref="X78:Y78"/>
    <mergeCell ref="AB78:AC78"/>
    <mergeCell ref="B81:C81"/>
    <mergeCell ref="F81:G81"/>
    <mergeCell ref="I81:J81"/>
    <mergeCell ref="T81:U81"/>
    <mergeCell ref="X81:Y81"/>
    <mergeCell ref="AB81:AC81"/>
    <mergeCell ref="B79:C79"/>
    <mergeCell ref="F79:G79"/>
    <mergeCell ref="X85:Y85"/>
    <mergeCell ref="AB85:AC85"/>
    <mergeCell ref="X86:Y86"/>
    <mergeCell ref="AB86:AC86"/>
    <mergeCell ref="X87:Y87"/>
    <mergeCell ref="AB87:AC87"/>
    <mergeCell ref="I83:J83"/>
    <mergeCell ref="T83:U83"/>
    <mergeCell ref="B87:C87"/>
    <mergeCell ref="F87:G87"/>
    <mergeCell ref="I87:J87"/>
    <mergeCell ref="T87:U87"/>
    <mergeCell ref="B85:C85"/>
    <mergeCell ref="F85:G85"/>
    <mergeCell ref="I85:J85"/>
    <mergeCell ref="T85:U85"/>
    <mergeCell ref="B82:C82"/>
    <mergeCell ref="F82:G82"/>
    <mergeCell ref="B83:C83"/>
    <mergeCell ref="F83:G83"/>
    <mergeCell ref="I82:J82"/>
    <mergeCell ref="T82:U82"/>
    <mergeCell ref="B84:C84"/>
    <mergeCell ref="F84:G84"/>
    <mergeCell ref="B88:C88"/>
    <mergeCell ref="F88:G88"/>
    <mergeCell ref="I84:J84"/>
    <mergeCell ref="T84:U84"/>
    <mergeCell ref="X84:Y84"/>
    <mergeCell ref="AB84:AC84"/>
    <mergeCell ref="X82:Y82"/>
    <mergeCell ref="AB82:AC82"/>
    <mergeCell ref="X83:Y83"/>
    <mergeCell ref="AB83:AC83"/>
    <mergeCell ref="X88:Y88"/>
    <mergeCell ref="AB88:AC88"/>
    <mergeCell ref="X89:Y89"/>
    <mergeCell ref="AB89:AC89"/>
    <mergeCell ref="B90:C90"/>
    <mergeCell ref="F90:G90"/>
    <mergeCell ref="I90:J90"/>
    <mergeCell ref="T90:U90"/>
    <mergeCell ref="X90:Y90"/>
    <mergeCell ref="AB90:AC90"/>
    <mergeCell ref="I86:J86"/>
    <mergeCell ref="T86:U86"/>
    <mergeCell ref="B86:C86"/>
    <mergeCell ref="F86:G86"/>
    <mergeCell ref="B91:C91"/>
    <mergeCell ref="F91:G91"/>
    <mergeCell ref="X91:Y91"/>
    <mergeCell ref="AB91:AC91"/>
    <mergeCell ref="X92:Y92"/>
    <mergeCell ref="AB92:AC92"/>
    <mergeCell ref="B95:C95"/>
    <mergeCell ref="F95:G95"/>
    <mergeCell ref="I95:J95"/>
    <mergeCell ref="T95:U95"/>
    <mergeCell ref="I92:J92"/>
    <mergeCell ref="T92:U92"/>
    <mergeCell ref="I88:J88"/>
    <mergeCell ref="T88:U88"/>
    <mergeCell ref="I89:J89"/>
    <mergeCell ref="T89:U89"/>
    <mergeCell ref="B92:C92"/>
    <mergeCell ref="F92:G92"/>
    <mergeCell ref="B89:C89"/>
    <mergeCell ref="F89:G89"/>
    <mergeCell ref="I91:J91"/>
    <mergeCell ref="T91:U91"/>
    <mergeCell ref="B93:C93"/>
    <mergeCell ref="F93:G93"/>
    <mergeCell ref="I93:J93"/>
    <mergeCell ref="T93:U93"/>
    <mergeCell ref="B94:C94"/>
    <mergeCell ref="F94:G94"/>
    <mergeCell ref="I94:J94"/>
    <mergeCell ref="T94:U94"/>
    <mergeCell ref="X93:Y93"/>
    <mergeCell ref="AB93:AC93"/>
    <mergeCell ref="I97:J97"/>
    <mergeCell ref="T97:U97"/>
    <mergeCell ref="I98:J98"/>
    <mergeCell ref="T98:U98"/>
    <mergeCell ref="X97:Y97"/>
    <mergeCell ref="AB97:AC97"/>
    <mergeCell ref="X94:Y94"/>
    <mergeCell ref="AB94:AC94"/>
    <mergeCell ref="X95:Y95"/>
    <mergeCell ref="AB95:AC95"/>
    <mergeCell ref="X96:Y96"/>
    <mergeCell ref="AB96:AC96"/>
    <mergeCell ref="B99:C99"/>
    <mergeCell ref="F99:G99"/>
    <mergeCell ref="I99:J99"/>
    <mergeCell ref="T99:U99"/>
    <mergeCell ref="X99:Y99"/>
    <mergeCell ref="AB99:AC99"/>
    <mergeCell ref="B97:C97"/>
    <mergeCell ref="F97:G97"/>
    <mergeCell ref="B96:C96"/>
    <mergeCell ref="F96:G96"/>
    <mergeCell ref="I96:J96"/>
    <mergeCell ref="T96:U96"/>
    <mergeCell ref="B100:C100"/>
    <mergeCell ref="F100:G100"/>
    <mergeCell ref="B101:C101"/>
    <mergeCell ref="F101:G101"/>
    <mergeCell ref="X98:Y98"/>
    <mergeCell ref="AB98:AC98"/>
    <mergeCell ref="B98:C98"/>
    <mergeCell ref="F98:G98"/>
    <mergeCell ref="I100:J100"/>
    <mergeCell ref="T100:U100"/>
    <mergeCell ref="B102:C102"/>
    <mergeCell ref="F102:G102"/>
    <mergeCell ref="I102:J102"/>
    <mergeCell ref="T102:U102"/>
    <mergeCell ref="X102:Y102"/>
    <mergeCell ref="AB102:AC102"/>
    <mergeCell ref="X100:Y100"/>
    <mergeCell ref="AB100:AC100"/>
    <mergeCell ref="X101:Y101"/>
    <mergeCell ref="AB101:AC101"/>
    <mergeCell ref="I104:J104"/>
    <mergeCell ref="T104:U104"/>
    <mergeCell ref="B104:C104"/>
    <mergeCell ref="F104:G104"/>
    <mergeCell ref="B110:C110"/>
    <mergeCell ref="F110:G110"/>
    <mergeCell ref="B107:C107"/>
    <mergeCell ref="F107:G107"/>
    <mergeCell ref="I109:J109"/>
    <mergeCell ref="T109:U109"/>
    <mergeCell ref="X103:Y103"/>
    <mergeCell ref="AB103:AC103"/>
    <mergeCell ref="X104:Y104"/>
    <mergeCell ref="AB104:AC104"/>
    <mergeCell ref="X105:Y105"/>
    <mergeCell ref="AB105:AC105"/>
    <mergeCell ref="I101:J101"/>
    <mergeCell ref="T101:U101"/>
    <mergeCell ref="B105:C105"/>
    <mergeCell ref="F105:G105"/>
    <mergeCell ref="I105:J105"/>
    <mergeCell ref="T105:U105"/>
    <mergeCell ref="B103:C103"/>
    <mergeCell ref="F103:G103"/>
    <mergeCell ref="I103:J103"/>
    <mergeCell ref="T103:U103"/>
    <mergeCell ref="B106:C106"/>
    <mergeCell ref="F106:G106"/>
    <mergeCell ref="B109:C109"/>
    <mergeCell ref="F109:G109"/>
    <mergeCell ref="X109:Y109"/>
    <mergeCell ref="AB109:AC109"/>
    <mergeCell ref="X110:Y110"/>
    <mergeCell ref="AB110:AC110"/>
    <mergeCell ref="B113:C113"/>
    <mergeCell ref="F113:G113"/>
    <mergeCell ref="I113:J113"/>
    <mergeCell ref="T113:U113"/>
    <mergeCell ref="I110:J110"/>
    <mergeCell ref="T110:U110"/>
    <mergeCell ref="I106:J106"/>
    <mergeCell ref="T106:U106"/>
    <mergeCell ref="I107:J107"/>
    <mergeCell ref="T107:U107"/>
    <mergeCell ref="X106:Y106"/>
    <mergeCell ref="AB106:AC106"/>
    <mergeCell ref="X107:Y107"/>
    <mergeCell ref="AB107:AC107"/>
    <mergeCell ref="B108:C108"/>
    <mergeCell ref="F108:G108"/>
    <mergeCell ref="I108:J108"/>
    <mergeCell ref="T108:U108"/>
    <mergeCell ref="X108:Y108"/>
    <mergeCell ref="AB108:AC108"/>
    <mergeCell ref="X112:Y112"/>
    <mergeCell ref="AB112:AC112"/>
    <mergeCell ref="B111:C111"/>
    <mergeCell ref="F111:G111"/>
    <mergeCell ref="I111:J111"/>
    <mergeCell ref="T111:U111"/>
    <mergeCell ref="B112:C112"/>
    <mergeCell ref="F112:G112"/>
    <mergeCell ref="I112:J112"/>
    <mergeCell ref="T112:U112"/>
    <mergeCell ref="X111:Y111"/>
    <mergeCell ref="AB111:AC111"/>
    <mergeCell ref="X116:Y116"/>
    <mergeCell ref="AB116:AC116"/>
    <mergeCell ref="B116:C116"/>
    <mergeCell ref="F116:G116"/>
    <mergeCell ref="B114:C114"/>
    <mergeCell ref="F114:G114"/>
    <mergeCell ref="I114:J114"/>
    <mergeCell ref="T114:U114"/>
    <mergeCell ref="I115:J115"/>
    <mergeCell ref="T115:U115"/>
    <mergeCell ref="I116:J116"/>
    <mergeCell ref="T116:U116"/>
    <mergeCell ref="X115:Y115"/>
    <mergeCell ref="AB115:AC115"/>
    <mergeCell ref="X113:Y113"/>
    <mergeCell ref="AB113:AC113"/>
    <mergeCell ref="X114:Y114"/>
    <mergeCell ref="AB114:AC114"/>
    <mergeCell ref="B117:C117"/>
    <mergeCell ref="F117:G117"/>
    <mergeCell ref="I117:J117"/>
    <mergeCell ref="T117:U117"/>
    <mergeCell ref="X117:Y117"/>
    <mergeCell ref="AB117:AC117"/>
    <mergeCell ref="B115:C115"/>
    <mergeCell ref="F115:G115"/>
    <mergeCell ref="X121:Y121"/>
    <mergeCell ref="AB121:AC121"/>
    <mergeCell ref="X122:Y122"/>
    <mergeCell ref="AB122:AC122"/>
    <mergeCell ref="X123:Y123"/>
    <mergeCell ref="AB123:AC123"/>
    <mergeCell ref="I119:J119"/>
    <mergeCell ref="T119:U119"/>
    <mergeCell ref="B123:C123"/>
    <mergeCell ref="F123:G123"/>
    <mergeCell ref="I123:J123"/>
    <mergeCell ref="T123:U123"/>
    <mergeCell ref="B121:C121"/>
    <mergeCell ref="F121:G121"/>
    <mergeCell ref="I121:J121"/>
    <mergeCell ref="T121:U121"/>
    <mergeCell ref="B118:C118"/>
    <mergeCell ref="F118:G118"/>
    <mergeCell ref="B119:C119"/>
    <mergeCell ref="F119:G119"/>
    <mergeCell ref="I118:J118"/>
    <mergeCell ref="T118:U118"/>
    <mergeCell ref="B120:C120"/>
    <mergeCell ref="F120:G120"/>
    <mergeCell ref="B124:C124"/>
    <mergeCell ref="F124:G124"/>
    <mergeCell ref="I120:J120"/>
    <mergeCell ref="T120:U120"/>
    <mergeCell ref="X120:Y120"/>
    <mergeCell ref="AB120:AC120"/>
    <mergeCell ref="X118:Y118"/>
    <mergeCell ref="AB118:AC118"/>
    <mergeCell ref="X119:Y119"/>
    <mergeCell ref="AB119:AC119"/>
    <mergeCell ref="X124:Y124"/>
    <mergeCell ref="AB124:AC124"/>
    <mergeCell ref="X125:Y125"/>
    <mergeCell ref="AB125:AC125"/>
    <mergeCell ref="B126:C126"/>
    <mergeCell ref="F126:G126"/>
    <mergeCell ref="I126:J126"/>
    <mergeCell ref="T126:U126"/>
    <mergeCell ref="X126:Y126"/>
    <mergeCell ref="AB126:AC126"/>
    <mergeCell ref="I122:J122"/>
    <mergeCell ref="T122:U122"/>
    <mergeCell ref="B122:C122"/>
    <mergeCell ref="F122:G122"/>
    <mergeCell ref="B127:C127"/>
    <mergeCell ref="F127:G127"/>
    <mergeCell ref="X127:Y127"/>
    <mergeCell ref="AB127:AC127"/>
    <mergeCell ref="X128:Y128"/>
    <mergeCell ref="AB128:AC128"/>
    <mergeCell ref="B131:C131"/>
    <mergeCell ref="F131:G131"/>
    <mergeCell ref="I131:J131"/>
    <mergeCell ref="T131:U131"/>
    <mergeCell ref="I128:J128"/>
    <mergeCell ref="T128:U128"/>
    <mergeCell ref="I124:J124"/>
    <mergeCell ref="T124:U124"/>
    <mergeCell ref="I125:J125"/>
    <mergeCell ref="T125:U125"/>
    <mergeCell ref="B128:C128"/>
    <mergeCell ref="F128:G128"/>
    <mergeCell ref="B125:C125"/>
    <mergeCell ref="F125:G125"/>
    <mergeCell ref="I127:J127"/>
    <mergeCell ref="T127:U127"/>
    <mergeCell ref="B129:C129"/>
    <mergeCell ref="F129:G129"/>
    <mergeCell ref="I129:J129"/>
    <mergeCell ref="T129:U129"/>
    <mergeCell ref="B130:C130"/>
    <mergeCell ref="F130:G130"/>
    <mergeCell ref="I130:J130"/>
    <mergeCell ref="T130:U130"/>
    <mergeCell ref="X129:Y129"/>
    <mergeCell ref="AB129:AC129"/>
    <mergeCell ref="I133:J133"/>
    <mergeCell ref="T133:U133"/>
    <mergeCell ref="I134:J134"/>
    <mergeCell ref="T134:U134"/>
    <mergeCell ref="X133:Y133"/>
    <mergeCell ref="AB133:AC133"/>
    <mergeCell ref="X130:Y130"/>
    <mergeCell ref="AB130:AC130"/>
    <mergeCell ref="X131:Y131"/>
    <mergeCell ref="AB131:AC131"/>
    <mergeCell ref="X132:Y132"/>
    <mergeCell ref="AB132:AC132"/>
    <mergeCell ref="B135:C135"/>
    <mergeCell ref="F135:G135"/>
    <mergeCell ref="I135:J135"/>
    <mergeCell ref="T135:U135"/>
    <mergeCell ref="X135:Y135"/>
    <mergeCell ref="AB135:AC135"/>
    <mergeCell ref="B133:C133"/>
    <mergeCell ref="F133:G133"/>
    <mergeCell ref="B132:C132"/>
    <mergeCell ref="F132:G132"/>
    <mergeCell ref="I132:J132"/>
    <mergeCell ref="T132:U132"/>
    <mergeCell ref="B136:C136"/>
    <mergeCell ref="F136:G136"/>
    <mergeCell ref="B137:C137"/>
    <mergeCell ref="F137:G137"/>
    <mergeCell ref="X134:Y134"/>
    <mergeCell ref="AB134:AC134"/>
    <mergeCell ref="B134:C134"/>
    <mergeCell ref="F134:G134"/>
    <mergeCell ref="I136:J136"/>
    <mergeCell ref="T136:U136"/>
    <mergeCell ref="B138:C138"/>
    <mergeCell ref="F138:G138"/>
    <mergeCell ref="I138:J138"/>
    <mergeCell ref="T138:U138"/>
    <mergeCell ref="X138:Y138"/>
    <mergeCell ref="AB138:AC138"/>
    <mergeCell ref="X136:Y136"/>
    <mergeCell ref="AB136:AC136"/>
    <mergeCell ref="X137:Y137"/>
    <mergeCell ref="AB137:AC137"/>
    <mergeCell ref="I140:J140"/>
    <mergeCell ref="T140:U140"/>
    <mergeCell ref="B140:C140"/>
    <mergeCell ref="F140:G140"/>
    <mergeCell ref="B146:C146"/>
    <mergeCell ref="F146:G146"/>
    <mergeCell ref="B143:C143"/>
    <mergeCell ref="F143:G143"/>
    <mergeCell ref="I145:J145"/>
    <mergeCell ref="T145:U145"/>
    <mergeCell ref="X139:Y139"/>
    <mergeCell ref="AB139:AC139"/>
    <mergeCell ref="X140:Y140"/>
    <mergeCell ref="AB140:AC140"/>
    <mergeCell ref="X141:Y141"/>
    <mergeCell ref="AB141:AC141"/>
    <mergeCell ref="I137:J137"/>
    <mergeCell ref="T137:U137"/>
    <mergeCell ref="B141:C141"/>
    <mergeCell ref="F141:G141"/>
    <mergeCell ref="I141:J141"/>
    <mergeCell ref="T141:U141"/>
    <mergeCell ref="B139:C139"/>
    <mergeCell ref="F139:G139"/>
    <mergeCell ref="I139:J139"/>
    <mergeCell ref="T139:U139"/>
    <mergeCell ref="B142:C142"/>
    <mergeCell ref="F142:G142"/>
    <mergeCell ref="B145:C145"/>
    <mergeCell ref="F145:G145"/>
    <mergeCell ref="X145:Y145"/>
    <mergeCell ref="AB145:AC145"/>
    <mergeCell ref="X146:Y146"/>
    <mergeCell ref="AB146:AC146"/>
    <mergeCell ref="B149:C149"/>
    <mergeCell ref="F149:G149"/>
    <mergeCell ref="I149:J149"/>
    <mergeCell ref="T149:U149"/>
    <mergeCell ref="I146:J146"/>
    <mergeCell ref="T146:U146"/>
    <mergeCell ref="I142:J142"/>
    <mergeCell ref="T142:U142"/>
    <mergeCell ref="I143:J143"/>
    <mergeCell ref="T143:U143"/>
    <mergeCell ref="X142:Y142"/>
    <mergeCell ref="AB142:AC142"/>
    <mergeCell ref="X143:Y143"/>
    <mergeCell ref="AB143:AC143"/>
    <mergeCell ref="B144:C144"/>
    <mergeCell ref="F144:G144"/>
    <mergeCell ref="I144:J144"/>
    <mergeCell ref="T144:U144"/>
    <mergeCell ref="X144:Y144"/>
    <mergeCell ref="AB144:AC144"/>
    <mergeCell ref="X148:Y148"/>
    <mergeCell ref="AB148:AC148"/>
    <mergeCell ref="B147:C147"/>
    <mergeCell ref="F147:G147"/>
    <mergeCell ref="I147:J147"/>
    <mergeCell ref="T147:U147"/>
    <mergeCell ref="B148:C148"/>
    <mergeCell ref="F148:G148"/>
    <mergeCell ref="I148:J148"/>
    <mergeCell ref="T148:U148"/>
    <mergeCell ref="X147:Y147"/>
    <mergeCell ref="AB147:AC147"/>
    <mergeCell ref="X152:Y152"/>
    <mergeCell ref="AB152:AC152"/>
    <mergeCell ref="B152:C152"/>
    <mergeCell ref="F152:G152"/>
    <mergeCell ref="B150:C150"/>
    <mergeCell ref="F150:G150"/>
    <mergeCell ref="I150:J150"/>
    <mergeCell ref="T150:U150"/>
    <mergeCell ref="I151:J151"/>
    <mergeCell ref="T151:U151"/>
    <mergeCell ref="I152:J152"/>
    <mergeCell ref="T152:U152"/>
    <mergeCell ref="X151:Y151"/>
    <mergeCell ref="AB151:AC151"/>
    <mergeCell ref="X149:Y149"/>
    <mergeCell ref="AB149:AC149"/>
    <mergeCell ref="X150:Y150"/>
    <mergeCell ref="AB150:AC150"/>
    <mergeCell ref="B153:C153"/>
    <mergeCell ref="F153:G153"/>
    <mergeCell ref="I153:J153"/>
    <mergeCell ref="T153:U153"/>
    <mergeCell ref="X153:Y153"/>
    <mergeCell ref="AB153:AC153"/>
    <mergeCell ref="B151:C151"/>
    <mergeCell ref="F151:G151"/>
    <mergeCell ref="X157:Y157"/>
    <mergeCell ref="AB157:AC157"/>
    <mergeCell ref="X158:Y158"/>
    <mergeCell ref="AB158:AC158"/>
    <mergeCell ref="X159:Y159"/>
    <mergeCell ref="AB159:AC159"/>
    <mergeCell ref="I155:J155"/>
    <mergeCell ref="T155:U155"/>
    <mergeCell ref="B159:C159"/>
    <mergeCell ref="F159:G159"/>
    <mergeCell ref="I159:J159"/>
    <mergeCell ref="T159:U159"/>
    <mergeCell ref="B157:C157"/>
    <mergeCell ref="F157:G157"/>
    <mergeCell ref="I157:J157"/>
    <mergeCell ref="T157:U157"/>
    <mergeCell ref="B154:C154"/>
    <mergeCell ref="F154:G154"/>
    <mergeCell ref="B155:C155"/>
    <mergeCell ref="F155:G155"/>
    <mergeCell ref="I154:J154"/>
    <mergeCell ref="T154:U154"/>
    <mergeCell ref="B156:C156"/>
    <mergeCell ref="F156:G156"/>
    <mergeCell ref="B160:C160"/>
    <mergeCell ref="F160:G160"/>
    <mergeCell ref="I156:J156"/>
    <mergeCell ref="T156:U156"/>
    <mergeCell ref="X156:Y156"/>
    <mergeCell ref="AB156:AC156"/>
    <mergeCell ref="X154:Y154"/>
    <mergeCell ref="AB154:AC154"/>
    <mergeCell ref="X155:Y155"/>
    <mergeCell ref="AB155:AC155"/>
    <mergeCell ref="X160:Y160"/>
    <mergeCell ref="AB160:AC160"/>
    <mergeCell ref="X161:Y161"/>
    <mergeCell ref="AB161:AC161"/>
    <mergeCell ref="B162:C162"/>
    <mergeCell ref="F162:G162"/>
    <mergeCell ref="I162:J162"/>
    <mergeCell ref="T162:U162"/>
    <mergeCell ref="X162:Y162"/>
    <mergeCell ref="AB162:AC162"/>
    <mergeCell ref="I158:J158"/>
    <mergeCell ref="T158:U158"/>
    <mergeCell ref="B158:C158"/>
    <mergeCell ref="F158:G158"/>
    <mergeCell ref="B163:C163"/>
    <mergeCell ref="F163:G163"/>
    <mergeCell ref="X163:Y163"/>
    <mergeCell ref="AB163:AC163"/>
    <mergeCell ref="X164:Y164"/>
    <mergeCell ref="AB164:AC164"/>
    <mergeCell ref="B167:C167"/>
    <mergeCell ref="F167:G167"/>
    <mergeCell ref="I167:J167"/>
    <mergeCell ref="T167:U167"/>
    <mergeCell ref="I164:J164"/>
    <mergeCell ref="T164:U164"/>
    <mergeCell ref="I160:J160"/>
    <mergeCell ref="T160:U160"/>
    <mergeCell ref="I161:J161"/>
    <mergeCell ref="T161:U161"/>
    <mergeCell ref="B164:C164"/>
    <mergeCell ref="F164:G164"/>
    <mergeCell ref="B161:C161"/>
    <mergeCell ref="F161:G161"/>
    <mergeCell ref="I163:J163"/>
    <mergeCell ref="T163:U163"/>
    <mergeCell ref="B165:C165"/>
    <mergeCell ref="F165:G165"/>
    <mergeCell ref="I165:J165"/>
    <mergeCell ref="T165:U165"/>
    <mergeCell ref="B166:C166"/>
    <mergeCell ref="F166:G166"/>
    <mergeCell ref="I166:J166"/>
    <mergeCell ref="T166:U166"/>
    <mergeCell ref="X165:Y165"/>
    <mergeCell ref="AB165:AC165"/>
    <mergeCell ref="I169:J169"/>
    <mergeCell ref="T169:U169"/>
    <mergeCell ref="I170:J170"/>
    <mergeCell ref="T170:U170"/>
    <mergeCell ref="X169:Y169"/>
    <mergeCell ref="AB169:AC169"/>
    <mergeCell ref="X166:Y166"/>
    <mergeCell ref="AB166:AC166"/>
    <mergeCell ref="X167:Y167"/>
    <mergeCell ref="AB167:AC167"/>
    <mergeCell ref="X168:Y168"/>
    <mergeCell ref="AB168:AC168"/>
    <mergeCell ref="B171:C171"/>
    <mergeCell ref="F171:G171"/>
    <mergeCell ref="I171:J171"/>
    <mergeCell ref="T171:U171"/>
    <mergeCell ref="X171:Y171"/>
    <mergeCell ref="AB171:AC171"/>
    <mergeCell ref="B169:C169"/>
    <mergeCell ref="F169:G169"/>
    <mergeCell ref="B168:C168"/>
    <mergeCell ref="F168:G168"/>
    <mergeCell ref="I168:J168"/>
    <mergeCell ref="T168:U168"/>
    <mergeCell ref="B172:C172"/>
    <mergeCell ref="F172:G172"/>
    <mergeCell ref="B173:C173"/>
    <mergeCell ref="F173:G173"/>
    <mergeCell ref="X170:Y170"/>
    <mergeCell ref="AB170:AC170"/>
    <mergeCell ref="B170:C170"/>
    <mergeCell ref="F170:G170"/>
    <mergeCell ref="I172:J172"/>
    <mergeCell ref="T172:U172"/>
    <mergeCell ref="B174:C174"/>
    <mergeCell ref="F174:G174"/>
    <mergeCell ref="I174:J174"/>
    <mergeCell ref="T174:U174"/>
    <mergeCell ref="X174:Y174"/>
    <mergeCell ref="AB174:AC174"/>
    <mergeCell ref="X172:Y172"/>
    <mergeCell ref="AB172:AC172"/>
    <mergeCell ref="X173:Y173"/>
    <mergeCell ref="AB173:AC173"/>
    <mergeCell ref="I176:J176"/>
    <mergeCell ref="T176:U176"/>
    <mergeCell ref="B176:C176"/>
    <mergeCell ref="F176:G176"/>
    <mergeCell ref="B182:C182"/>
    <mergeCell ref="F182:G182"/>
    <mergeCell ref="B179:C179"/>
    <mergeCell ref="F179:G179"/>
    <mergeCell ref="I181:J181"/>
    <mergeCell ref="T181:U181"/>
    <mergeCell ref="X175:Y175"/>
    <mergeCell ref="AB175:AC175"/>
    <mergeCell ref="X176:Y176"/>
    <mergeCell ref="AB176:AC176"/>
    <mergeCell ref="X177:Y177"/>
    <mergeCell ref="AB177:AC177"/>
    <mergeCell ref="I173:J173"/>
    <mergeCell ref="T173:U173"/>
    <mergeCell ref="B177:C177"/>
    <mergeCell ref="F177:G177"/>
    <mergeCell ref="I177:J177"/>
    <mergeCell ref="T177:U177"/>
    <mergeCell ref="B175:C175"/>
    <mergeCell ref="F175:G175"/>
    <mergeCell ref="I175:J175"/>
    <mergeCell ref="T175:U175"/>
    <mergeCell ref="B178:C178"/>
    <mergeCell ref="F178:G178"/>
    <mergeCell ref="B181:C181"/>
    <mergeCell ref="F181:G181"/>
    <mergeCell ref="X181:Y181"/>
    <mergeCell ref="AB181:AC181"/>
    <mergeCell ref="X182:Y182"/>
    <mergeCell ref="AB182:AC182"/>
    <mergeCell ref="B185:C185"/>
    <mergeCell ref="F185:G185"/>
    <mergeCell ref="I185:J185"/>
    <mergeCell ref="T185:U185"/>
    <mergeCell ref="I182:J182"/>
    <mergeCell ref="T182:U182"/>
    <mergeCell ref="I178:J178"/>
    <mergeCell ref="T178:U178"/>
    <mergeCell ref="I179:J179"/>
    <mergeCell ref="T179:U179"/>
    <mergeCell ref="X178:Y178"/>
    <mergeCell ref="AB178:AC178"/>
    <mergeCell ref="X179:Y179"/>
    <mergeCell ref="AB179:AC179"/>
    <mergeCell ref="B180:C180"/>
    <mergeCell ref="F180:G180"/>
    <mergeCell ref="I180:J180"/>
    <mergeCell ref="T180:U180"/>
    <mergeCell ref="X180:Y180"/>
    <mergeCell ref="AB180:AC180"/>
    <mergeCell ref="X184:Y184"/>
    <mergeCell ref="AB184:AC184"/>
    <mergeCell ref="B183:C183"/>
    <mergeCell ref="F183:G183"/>
    <mergeCell ref="I183:J183"/>
    <mergeCell ref="T183:U183"/>
    <mergeCell ref="B184:C184"/>
    <mergeCell ref="F184:G184"/>
    <mergeCell ref="I184:J184"/>
    <mergeCell ref="T184:U184"/>
    <mergeCell ref="X183:Y183"/>
    <mergeCell ref="AB183:AC183"/>
    <mergeCell ref="X188:Y188"/>
    <mergeCell ref="AB188:AC188"/>
    <mergeCell ref="B188:C188"/>
    <mergeCell ref="F188:G188"/>
    <mergeCell ref="B186:C186"/>
    <mergeCell ref="F186:G186"/>
    <mergeCell ref="I186:J186"/>
    <mergeCell ref="T186:U186"/>
    <mergeCell ref="I187:J187"/>
    <mergeCell ref="T187:U187"/>
    <mergeCell ref="I188:J188"/>
    <mergeCell ref="T188:U188"/>
    <mergeCell ref="X187:Y187"/>
    <mergeCell ref="AB187:AC187"/>
    <mergeCell ref="X185:Y185"/>
    <mergeCell ref="AB185:AC185"/>
    <mergeCell ref="X186:Y186"/>
    <mergeCell ref="AB186:AC186"/>
    <mergeCell ref="B189:C189"/>
    <mergeCell ref="F189:G189"/>
    <mergeCell ref="I189:J189"/>
    <mergeCell ref="T189:U189"/>
    <mergeCell ref="X189:Y189"/>
    <mergeCell ref="AB189:AC189"/>
    <mergeCell ref="B187:C187"/>
    <mergeCell ref="F187:G187"/>
    <mergeCell ref="X193:Y193"/>
    <mergeCell ref="AB193:AC193"/>
    <mergeCell ref="X194:Y194"/>
    <mergeCell ref="AB194:AC194"/>
    <mergeCell ref="X195:Y195"/>
    <mergeCell ref="AB195:AC195"/>
    <mergeCell ref="I191:J191"/>
    <mergeCell ref="T191:U191"/>
    <mergeCell ref="B195:C195"/>
    <mergeCell ref="F195:G195"/>
    <mergeCell ref="I195:J195"/>
    <mergeCell ref="T195:U195"/>
    <mergeCell ref="B193:C193"/>
    <mergeCell ref="F193:G193"/>
    <mergeCell ref="I193:J193"/>
    <mergeCell ref="T193:U193"/>
    <mergeCell ref="B190:C190"/>
    <mergeCell ref="F190:G190"/>
    <mergeCell ref="B191:C191"/>
    <mergeCell ref="F191:G191"/>
    <mergeCell ref="I190:J190"/>
    <mergeCell ref="T190:U190"/>
    <mergeCell ref="B192:C192"/>
    <mergeCell ref="F192:G192"/>
    <mergeCell ref="B196:C196"/>
    <mergeCell ref="F196:G196"/>
    <mergeCell ref="I192:J192"/>
    <mergeCell ref="T192:U192"/>
    <mergeCell ref="X192:Y192"/>
    <mergeCell ref="AB192:AC192"/>
    <mergeCell ref="X190:Y190"/>
    <mergeCell ref="AB190:AC190"/>
    <mergeCell ref="X191:Y191"/>
    <mergeCell ref="AB191:AC191"/>
    <mergeCell ref="X196:Y196"/>
    <mergeCell ref="AB196:AC196"/>
    <mergeCell ref="X197:Y197"/>
    <mergeCell ref="AB197:AC197"/>
    <mergeCell ref="B198:C198"/>
    <mergeCell ref="F198:G198"/>
    <mergeCell ref="I198:J198"/>
    <mergeCell ref="T198:U198"/>
    <mergeCell ref="X198:Y198"/>
    <mergeCell ref="AB198:AC198"/>
    <mergeCell ref="I194:J194"/>
    <mergeCell ref="T194:U194"/>
    <mergeCell ref="B194:C194"/>
    <mergeCell ref="F194:G194"/>
    <mergeCell ref="B199:C199"/>
    <mergeCell ref="F199:G199"/>
    <mergeCell ref="X199:Y199"/>
    <mergeCell ref="AB199:AC199"/>
    <mergeCell ref="X200:Y200"/>
    <mergeCell ref="AB200:AC200"/>
    <mergeCell ref="B203:C203"/>
    <mergeCell ref="F203:G203"/>
    <mergeCell ref="I203:J203"/>
    <mergeCell ref="T203:U203"/>
    <mergeCell ref="I200:J200"/>
    <mergeCell ref="T200:U200"/>
    <mergeCell ref="I196:J196"/>
    <mergeCell ref="T196:U196"/>
    <mergeCell ref="I197:J197"/>
    <mergeCell ref="T197:U197"/>
    <mergeCell ref="B200:C200"/>
    <mergeCell ref="F200:G200"/>
    <mergeCell ref="B197:C197"/>
    <mergeCell ref="F197:G197"/>
    <mergeCell ref="I199:J199"/>
    <mergeCell ref="T199:U199"/>
    <mergeCell ref="B201:C201"/>
    <mergeCell ref="F201:G201"/>
    <mergeCell ref="I201:J201"/>
    <mergeCell ref="T201:U201"/>
    <mergeCell ref="B202:C202"/>
    <mergeCell ref="F202:G202"/>
    <mergeCell ref="I202:J202"/>
    <mergeCell ref="T202:U202"/>
    <mergeCell ref="X201:Y201"/>
    <mergeCell ref="AB201:AC201"/>
    <mergeCell ref="I205:J205"/>
    <mergeCell ref="T205:U205"/>
    <mergeCell ref="I206:J206"/>
    <mergeCell ref="T206:U206"/>
    <mergeCell ref="X205:Y205"/>
    <mergeCell ref="AB205:AC205"/>
    <mergeCell ref="X202:Y202"/>
    <mergeCell ref="AB202:AC202"/>
    <mergeCell ref="X203:Y203"/>
    <mergeCell ref="AB203:AC203"/>
    <mergeCell ref="X204:Y204"/>
    <mergeCell ref="AB204:AC204"/>
    <mergeCell ref="B207:C207"/>
    <mergeCell ref="F207:G207"/>
    <mergeCell ref="I207:J207"/>
    <mergeCell ref="T207:U207"/>
    <mergeCell ref="X207:Y207"/>
    <mergeCell ref="AB207:AC207"/>
    <mergeCell ref="B205:C205"/>
    <mergeCell ref="F205:G205"/>
    <mergeCell ref="B204:C204"/>
    <mergeCell ref="F204:G204"/>
    <mergeCell ref="I204:J204"/>
    <mergeCell ref="T204:U204"/>
    <mergeCell ref="B208:C208"/>
    <mergeCell ref="F208:G208"/>
    <mergeCell ref="B209:C209"/>
    <mergeCell ref="F209:G209"/>
    <mergeCell ref="X206:Y206"/>
    <mergeCell ref="AB206:AC206"/>
    <mergeCell ref="B206:C206"/>
    <mergeCell ref="F206:G206"/>
    <mergeCell ref="I208:J208"/>
    <mergeCell ref="T208:U208"/>
    <mergeCell ref="B210:C210"/>
    <mergeCell ref="F210:G210"/>
    <mergeCell ref="I210:J210"/>
    <mergeCell ref="T210:U210"/>
    <mergeCell ref="X210:Y210"/>
    <mergeCell ref="AB210:AC210"/>
    <mergeCell ref="X208:Y208"/>
    <mergeCell ref="AB208:AC208"/>
    <mergeCell ref="X209:Y209"/>
    <mergeCell ref="AB209:AC209"/>
    <mergeCell ref="I212:J212"/>
    <mergeCell ref="T212:U212"/>
    <mergeCell ref="B212:C212"/>
    <mergeCell ref="F212:G212"/>
    <mergeCell ref="B218:C218"/>
    <mergeCell ref="F218:G218"/>
    <mergeCell ref="B215:C215"/>
    <mergeCell ref="F215:G215"/>
    <mergeCell ref="I217:J217"/>
    <mergeCell ref="T217:U217"/>
    <mergeCell ref="X211:Y211"/>
    <mergeCell ref="AB211:AC211"/>
    <mergeCell ref="X212:Y212"/>
    <mergeCell ref="AB212:AC212"/>
    <mergeCell ref="X213:Y213"/>
    <mergeCell ref="AB213:AC213"/>
    <mergeCell ref="I209:J209"/>
    <mergeCell ref="T209:U209"/>
    <mergeCell ref="B213:C213"/>
    <mergeCell ref="F213:G213"/>
    <mergeCell ref="I213:J213"/>
    <mergeCell ref="T213:U213"/>
    <mergeCell ref="B211:C211"/>
    <mergeCell ref="F211:G211"/>
    <mergeCell ref="I211:J211"/>
    <mergeCell ref="T211:U211"/>
    <mergeCell ref="B214:C214"/>
    <mergeCell ref="F214:G214"/>
    <mergeCell ref="B217:C217"/>
    <mergeCell ref="F217:G217"/>
    <mergeCell ref="X217:Y217"/>
    <mergeCell ref="AB217:AC217"/>
    <mergeCell ref="X218:Y218"/>
    <mergeCell ref="AB218:AC218"/>
    <mergeCell ref="B221:C221"/>
    <mergeCell ref="F221:G221"/>
    <mergeCell ref="I221:J221"/>
    <mergeCell ref="T221:U221"/>
    <mergeCell ref="I218:J218"/>
    <mergeCell ref="T218:U218"/>
    <mergeCell ref="I214:J214"/>
    <mergeCell ref="T214:U214"/>
    <mergeCell ref="I215:J215"/>
    <mergeCell ref="T215:U215"/>
    <mergeCell ref="X214:Y214"/>
    <mergeCell ref="AB214:AC214"/>
    <mergeCell ref="X215:Y215"/>
    <mergeCell ref="AB215:AC215"/>
    <mergeCell ref="B216:C216"/>
    <mergeCell ref="F216:G216"/>
    <mergeCell ref="I216:J216"/>
    <mergeCell ref="T216:U216"/>
    <mergeCell ref="X216:Y216"/>
    <mergeCell ref="AB216:AC216"/>
    <mergeCell ref="X220:Y220"/>
    <mergeCell ref="AB220:AC220"/>
    <mergeCell ref="B219:C219"/>
    <mergeCell ref="F219:G219"/>
    <mergeCell ref="I219:J219"/>
    <mergeCell ref="T219:U219"/>
    <mergeCell ref="B220:C220"/>
    <mergeCell ref="F220:G220"/>
    <mergeCell ref="I220:J220"/>
    <mergeCell ref="T220:U220"/>
    <mergeCell ref="X219:Y219"/>
    <mergeCell ref="AB219:AC219"/>
    <mergeCell ref="X224:Y224"/>
    <mergeCell ref="AB224:AC224"/>
    <mergeCell ref="B224:C224"/>
    <mergeCell ref="F224:G224"/>
    <mergeCell ref="B222:C222"/>
    <mergeCell ref="F222:G222"/>
    <mergeCell ref="I222:J222"/>
    <mergeCell ref="T222:U222"/>
    <mergeCell ref="I223:J223"/>
    <mergeCell ref="T223:U223"/>
    <mergeCell ref="I224:J224"/>
    <mergeCell ref="T224:U224"/>
    <mergeCell ref="X223:Y223"/>
    <mergeCell ref="AB223:AC223"/>
    <mergeCell ref="X221:Y221"/>
    <mergeCell ref="AB221:AC221"/>
    <mergeCell ref="X222:Y222"/>
    <mergeCell ref="AB222:AC222"/>
    <mergeCell ref="B225:C225"/>
    <mergeCell ref="F225:G225"/>
    <mergeCell ref="I225:J225"/>
    <mergeCell ref="T225:U225"/>
    <mergeCell ref="X225:Y225"/>
    <mergeCell ref="AB225:AC225"/>
    <mergeCell ref="B223:C223"/>
    <mergeCell ref="F223:G223"/>
    <mergeCell ref="X229:Y229"/>
    <mergeCell ref="AB229:AC229"/>
    <mergeCell ref="X230:Y230"/>
    <mergeCell ref="AB230:AC230"/>
    <mergeCell ref="X231:Y231"/>
    <mergeCell ref="AB231:AC231"/>
    <mergeCell ref="I227:J227"/>
    <mergeCell ref="T227:U227"/>
    <mergeCell ref="B231:C231"/>
    <mergeCell ref="F231:G231"/>
    <mergeCell ref="I231:J231"/>
    <mergeCell ref="T231:U231"/>
    <mergeCell ref="B229:C229"/>
    <mergeCell ref="F229:G229"/>
    <mergeCell ref="I229:J229"/>
    <mergeCell ref="T229:U229"/>
    <mergeCell ref="B226:C226"/>
    <mergeCell ref="F226:G226"/>
    <mergeCell ref="B227:C227"/>
    <mergeCell ref="F227:G227"/>
    <mergeCell ref="I226:J226"/>
    <mergeCell ref="T226:U226"/>
    <mergeCell ref="B228:C228"/>
    <mergeCell ref="F228:G228"/>
    <mergeCell ref="B232:C232"/>
    <mergeCell ref="F232:G232"/>
    <mergeCell ref="I228:J228"/>
    <mergeCell ref="T228:U228"/>
    <mergeCell ref="X228:Y228"/>
    <mergeCell ref="AB228:AC228"/>
    <mergeCell ref="X226:Y226"/>
    <mergeCell ref="AB226:AC226"/>
    <mergeCell ref="X227:Y227"/>
    <mergeCell ref="AB227:AC227"/>
    <mergeCell ref="X232:Y232"/>
    <mergeCell ref="AB232:AC232"/>
    <mergeCell ref="X233:Y233"/>
    <mergeCell ref="AB233:AC233"/>
    <mergeCell ref="B234:C234"/>
    <mergeCell ref="F234:G234"/>
    <mergeCell ref="I234:J234"/>
    <mergeCell ref="T234:U234"/>
    <mergeCell ref="X234:Y234"/>
    <mergeCell ref="AB234:AC234"/>
    <mergeCell ref="I230:J230"/>
    <mergeCell ref="T230:U230"/>
    <mergeCell ref="B230:C230"/>
    <mergeCell ref="F230:G230"/>
    <mergeCell ref="B235:C235"/>
    <mergeCell ref="F235:G235"/>
    <mergeCell ref="X235:Y235"/>
    <mergeCell ref="AB235:AC235"/>
    <mergeCell ref="X236:Y236"/>
    <mergeCell ref="AB236:AC236"/>
    <mergeCell ref="B239:C239"/>
    <mergeCell ref="F239:G239"/>
    <mergeCell ref="I239:J239"/>
    <mergeCell ref="T239:U239"/>
    <mergeCell ref="I236:J236"/>
    <mergeCell ref="T236:U236"/>
    <mergeCell ref="I232:J232"/>
    <mergeCell ref="T232:U232"/>
    <mergeCell ref="I233:J233"/>
    <mergeCell ref="T233:U233"/>
    <mergeCell ref="B236:C236"/>
    <mergeCell ref="F236:G236"/>
    <mergeCell ref="B233:C233"/>
    <mergeCell ref="F233:G233"/>
    <mergeCell ref="I235:J235"/>
    <mergeCell ref="T235:U235"/>
    <mergeCell ref="B237:C237"/>
    <mergeCell ref="F237:G237"/>
    <mergeCell ref="I237:J237"/>
    <mergeCell ref="T237:U237"/>
    <mergeCell ref="B238:C238"/>
    <mergeCell ref="F238:G238"/>
    <mergeCell ref="I238:J238"/>
    <mergeCell ref="T238:U238"/>
    <mergeCell ref="X237:Y237"/>
    <mergeCell ref="AB237:AC237"/>
    <mergeCell ref="I241:J241"/>
    <mergeCell ref="T241:U241"/>
    <mergeCell ref="I242:J242"/>
    <mergeCell ref="T242:U242"/>
    <mergeCell ref="X241:Y241"/>
    <mergeCell ref="AB241:AC241"/>
    <mergeCell ref="X238:Y238"/>
    <mergeCell ref="AB238:AC238"/>
    <mergeCell ref="X239:Y239"/>
    <mergeCell ref="AB239:AC239"/>
    <mergeCell ref="X240:Y240"/>
    <mergeCell ref="AB240:AC240"/>
    <mergeCell ref="B243:C243"/>
    <mergeCell ref="F243:G243"/>
    <mergeCell ref="I243:J243"/>
    <mergeCell ref="T243:U243"/>
    <mergeCell ref="X243:Y243"/>
    <mergeCell ref="AB243:AC243"/>
    <mergeCell ref="B241:C241"/>
    <mergeCell ref="F241:G241"/>
    <mergeCell ref="B240:C240"/>
    <mergeCell ref="F240:G240"/>
    <mergeCell ref="I240:J240"/>
    <mergeCell ref="T240:U240"/>
    <mergeCell ref="B244:C244"/>
    <mergeCell ref="F244:G244"/>
    <mergeCell ref="B245:C245"/>
    <mergeCell ref="F245:G245"/>
    <mergeCell ref="X242:Y242"/>
    <mergeCell ref="AB242:AC242"/>
    <mergeCell ref="B242:C242"/>
    <mergeCell ref="F242:G242"/>
    <mergeCell ref="I244:J244"/>
    <mergeCell ref="T244:U244"/>
    <mergeCell ref="B246:C246"/>
    <mergeCell ref="F246:G246"/>
    <mergeCell ref="I246:J246"/>
    <mergeCell ref="T246:U246"/>
    <mergeCell ref="X246:Y246"/>
    <mergeCell ref="AB246:AC246"/>
    <mergeCell ref="X244:Y244"/>
    <mergeCell ref="AB244:AC244"/>
    <mergeCell ref="X245:Y245"/>
    <mergeCell ref="AB245:AC245"/>
    <mergeCell ref="I248:J248"/>
    <mergeCell ref="T248:U248"/>
    <mergeCell ref="B248:C248"/>
    <mergeCell ref="F248:G248"/>
    <mergeCell ref="B254:C254"/>
    <mergeCell ref="F254:G254"/>
    <mergeCell ref="B251:C251"/>
    <mergeCell ref="F251:G251"/>
    <mergeCell ref="I253:J253"/>
    <mergeCell ref="T253:U253"/>
    <mergeCell ref="X247:Y247"/>
    <mergeCell ref="AB247:AC247"/>
    <mergeCell ref="X248:Y248"/>
    <mergeCell ref="AB248:AC248"/>
    <mergeCell ref="X249:Y249"/>
    <mergeCell ref="AB249:AC249"/>
    <mergeCell ref="I245:J245"/>
    <mergeCell ref="T245:U245"/>
    <mergeCell ref="B249:C249"/>
    <mergeCell ref="F249:G249"/>
    <mergeCell ref="I249:J249"/>
    <mergeCell ref="T249:U249"/>
    <mergeCell ref="B247:C247"/>
    <mergeCell ref="F247:G247"/>
    <mergeCell ref="I247:J247"/>
    <mergeCell ref="T247:U247"/>
    <mergeCell ref="B250:C250"/>
    <mergeCell ref="F250:G250"/>
    <mergeCell ref="B253:C253"/>
    <mergeCell ref="F253:G253"/>
    <mergeCell ref="X253:Y253"/>
    <mergeCell ref="AB253:AC253"/>
    <mergeCell ref="X254:Y254"/>
    <mergeCell ref="AB254:AC254"/>
    <mergeCell ref="B257:C257"/>
    <mergeCell ref="F257:G257"/>
    <mergeCell ref="I257:J257"/>
    <mergeCell ref="T257:U257"/>
    <mergeCell ref="I254:J254"/>
    <mergeCell ref="T254:U254"/>
    <mergeCell ref="I250:J250"/>
    <mergeCell ref="T250:U250"/>
    <mergeCell ref="I251:J251"/>
    <mergeCell ref="T251:U251"/>
    <mergeCell ref="X250:Y250"/>
    <mergeCell ref="AB250:AC250"/>
    <mergeCell ref="X251:Y251"/>
    <mergeCell ref="AB251:AC251"/>
    <mergeCell ref="B252:C252"/>
    <mergeCell ref="F252:G252"/>
    <mergeCell ref="I252:J252"/>
    <mergeCell ref="T252:U252"/>
    <mergeCell ref="X252:Y252"/>
    <mergeCell ref="AB252:AC252"/>
    <mergeCell ref="X256:Y256"/>
    <mergeCell ref="AB256:AC256"/>
    <mergeCell ref="B255:C255"/>
    <mergeCell ref="F255:G255"/>
    <mergeCell ref="I255:J255"/>
    <mergeCell ref="T255:U255"/>
    <mergeCell ref="B256:C256"/>
    <mergeCell ref="F256:G256"/>
    <mergeCell ref="I256:J256"/>
    <mergeCell ref="T256:U256"/>
    <mergeCell ref="X255:Y255"/>
    <mergeCell ref="AB255:AC255"/>
    <mergeCell ref="X260:Y260"/>
    <mergeCell ref="AB260:AC260"/>
    <mergeCell ref="B260:C260"/>
    <mergeCell ref="F260:G260"/>
    <mergeCell ref="B258:C258"/>
    <mergeCell ref="F258:G258"/>
    <mergeCell ref="I258:J258"/>
    <mergeCell ref="T258:U258"/>
    <mergeCell ref="I259:J259"/>
    <mergeCell ref="T259:U259"/>
    <mergeCell ref="I260:J260"/>
    <mergeCell ref="T260:U260"/>
    <mergeCell ref="X259:Y259"/>
    <mergeCell ref="AB259:AC259"/>
    <mergeCell ref="X257:Y257"/>
    <mergeCell ref="AB257:AC257"/>
    <mergeCell ref="X258:Y258"/>
    <mergeCell ref="AB258:AC258"/>
    <mergeCell ref="B261:C261"/>
    <mergeCell ref="F261:G261"/>
    <mergeCell ref="I261:J261"/>
    <mergeCell ref="T261:U261"/>
    <mergeCell ref="X261:Y261"/>
    <mergeCell ref="AB261:AC261"/>
    <mergeCell ref="B259:C259"/>
    <mergeCell ref="F259:G259"/>
    <mergeCell ref="X265:Y265"/>
    <mergeCell ref="AB265:AC265"/>
    <mergeCell ref="X266:Y266"/>
    <mergeCell ref="AB266:AC266"/>
    <mergeCell ref="X267:Y267"/>
    <mergeCell ref="AB267:AC267"/>
    <mergeCell ref="I263:J263"/>
    <mergeCell ref="T263:U263"/>
    <mergeCell ref="B267:C267"/>
    <mergeCell ref="F267:G267"/>
    <mergeCell ref="I267:J267"/>
    <mergeCell ref="T267:U267"/>
    <mergeCell ref="B265:C265"/>
    <mergeCell ref="F265:G265"/>
    <mergeCell ref="I265:J265"/>
    <mergeCell ref="T265:U265"/>
    <mergeCell ref="B262:C262"/>
    <mergeCell ref="F262:G262"/>
    <mergeCell ref="B263:C263"/>
    <mergeCell ref="F263:G263"/>
    <mergeCell ref="I262:J262"/>
    <mergeCell ref="T262:U262"/>
    <mergeCell ref="B264:C264"/>
    <mergeCell ref="F264:G264"/>
    <mergeCell ref="B268:C268"/>
    <mergeCell ref="F268:G268"/>
    <mergeCell ref="I264:J264"/>
    <mergeCell ref="T264:U264"/>
    <mergeCell ref="X264:Y264"/>
    <mergeCell ref="AB264:AC264"/>
    <mergeCell ref="X262:Y262"/>
    <mergeCell ref="AB262:AC262"/>
    <mergeCell ref="X263:Y263"/>
    <mergeCell ref="AB263:AC263"/>
    <mergeCell ref="X268:Y268"/>
    <mergeCell ref="AB268:AC268"/>
    <mergeCell ref="X269:Y269"/>
    <mergeCell ref="AB269:AC269"/>
    <mergeCell ref="B270:C270"/>
    <mergeCell ref="F270:G270"/>
    <mergeCell ref="I270:J270"/>
    <mergeCell ref="T270:U270"/>
    <mergeCell ref="X270:Y270"/>
    <mergeCell ref="AB270:AC270"/>
    <mergeCell ref="I266:J266"/>
    <mergeCell ref="T266:U266"/>
    <mergeCell ref="B266:C266"/>
    <mergeCell ref="F266:G266"/>
    <mergeCell ref="B271:C271"/>
    <mergeCell ref="F271:G271"/>
    <mergeCell ref="X271:Y271"/>
    <mergeCell ref="AB271:AC271"/>
    <mergeCell ref="X272:Y272"/>
    <mergeCell ref="AB272:AC272"/>
    <mergeCell ref="B275:C275"/>
    <mergeCell ref="F275:G275"/>
    <mergeCell ref="I275:J275"/>
    <mergeCell ref="T275:U275"/>
    <mergeCell ref="I272:J272"/>
    <mergeCell ref="T272:U272"/>
    <mergeCell ref="I268:J268"/>
    <mergeCell ref="T268:U268"/>
    <mergeCell ref="I269:J269"/>
    <mergeCell ref="T269:U269"/>
    <mergeCell ref="B272:C272"/>
    <mergeCell ref="F272:G272"/>
    <mergeCell ref="B269:C269"/>
    <mergeCell ref="F269:G269"/>
    <mergeCell ref="I271:J271"/>
    <mergeCell ref="T271:U271"/>
    <mergeCell ref="B273:C273"/>
    <mergeCell ref="F273:G273"/>
    <mergeCell ref="I273:J273"/>
    <mergeCell ref="T273:U273"/>
    <mergeCell ref="B274:C274"/>
    <mergeCell ref="F274:G274"/>
    <mergeCell ref="I274:J274"/>
    <mergeCell ref="T274:U274"/>
    <mergeCell ref="X273:Y273"/>
    <mergeCell ref="AB273:AC273"/>
    <mergeCell ref="I277:J277"/>
    <mergeCell ref="T277:U277"/>
    <mergeCell ref="I278:J278"/>
    <mergeCell ref="T278:U278"/>
    <mergeCell ref="X277:Y277"/>
    <mergeCell ref="AB277:AC277"/>
    <mergeCell ref="X274:Y274"/>
    <mergeCell ref="AB274:AC274"/>
    <mergeCell ref="X275:Y275"/>
    <mergeCell ref="AB275:AC275"/>
    <mergeCell ref="X276:Y276"/>
    <mergeCell ref="AB276:AC276"/>
    <mergeCell ref="B279:C279"/>
    <mergeCell ref="F279:G279"/>
    <mergeCell ref="I279:J279"/>
    <mergeCell ref="T279:U279"/>
    <mergeCell ref="X279:Y279"/>
    <mergeCell ref="AB279:AC279"/>
    <mergeCell ref="B277:C277"/>
    <mergeCell ref="F277:G277"/>
    <mergeCell ref="B276:C276"/>
    <mergeCell ref="F276:G276"/>
    <mergeCell ref="I276:J276"/>
    <mergeCell ref="T276:U276"/>
    <mergeCell ref="B280:C280"/>
    <mergeCell ref="F280:G280"/>
    <mergeCell ref="B281:C281"/>
    <mergeCell ref="F281:G281"/>
    <mergeCell ref="X278:Y278"/>
    <mergeCell ref="AB278:AC278"/>
    <mergeCell ref="B278:C278"/>
    <mergeCell ref="F278:G278"/>
    <mergeCell ref="I280:J280"/>
    <mergeCell ref="T280:U280"/>
    <mergeCell ref="B282:C282"/>
    <mergeCell ref="F282:G282"/>
    <mergeCell ref="I282:J282"/>
    <mergeCell ref="T282:U282"/>
    <mergeCell ref="X282:Y282"/>
    <mergeCell ref="AB282:AC282"/>
    <mergeCell ref="X280:Y280"/>
    <mergeCell ref="AB280:AC280"/>
    <mergeCell ref="X281:Y281"/>
    <mergeCell ref="AB281:AC281"/>
    <mergeCell ref="I284:J284"/>
    <mergeCell ref="T284:U284"/>
    <mergeCell ref="B284:C284"/>
    <mergeCell ref="F284:G284"/>
    <mergeCell ref="B290:C290"/>
    <mergeCell ref="F290:G290"/>
    <mergeCell ref="B287:C287"/>
    <mergeCell ref="F287:G287"/>
    <mergeCell ref="I289:J289"/>
    <mergeCell ref="T289:U289"/>
    <mergeCell ref="X283:Y283"/>
    <mergeCell ref="AB283:AC283"/>
    <mergeCell ref="X284:Y284"/>
    <mergeCell ref="AB284:AC284"/>
    <mergeCell ref="X285:Y285"/>
    <mergeCell ref="AB285:AC285"/>
    <mergeCell ref="I281:J281"/>
    <mergeCell ref="T281:U281"/>
    <mergeCell ref="B285:C285"/>
    <mergeCell ref="F285:G285"/>
    <mergeCell ref="I285:J285"/>
    <mergeCell ref="T285:U285"/>
    <mergeCell ref="B283:C283"/>
    <mergeCell ref="F283:G283"/>
    <mergeCell ref="I283:J283"/>
    <mergeCell ref="T283:U283"/>
    <mergeCell ref="B286:C286"/>
    <mergeCell ref="F286:G286"/>
    <mergeCell ref="B289:C289"/>
    <mergeCell ref="F289:G289"/>
    <mergeCell ref="X289:Y289"/>
    <mergeCell ref="AB289:AC289"/>
    <mergeCell ref="X290:Y290"/>
    <mergeCell ref="AB290:AC290"/>
    <mergeCell ref="B293:C293"/>
    <mergeCell ref="F293:G293"/>
    <mergeCell ref="I293:J293"/>
    <mergeCell ref="T293:U293"/>
    <mergeCell ref="I290:J290"/>
    <mergeCell ref="T290:U290"/>
    <mergeCell ref="I286:J286"/>
    <mergeCell ref="T286:U286"/>
    <mergeCell ref="I287:J287"/>
    <mergeCell ref="T287:U287"/>
    <mergeCell ref="X286:Y286"/>
    <mergeCell ref="AB286:AC286"/>
    <mergeCell ref="X287:Y287"/>
    <mergeCell ref="AB287:AC287"/>
    <mergeCell ref="B288:C288"/>
    <mergeCell ref="F288:G288"/>
    <mergeCell ref="I288:J288"/>
    <mergeCell ref="T288:U288"/>
    <mergeCell ref="X288:Y288"/>
    <mergeCell ref="AB288:AC288"/>
    <mergeCell ref="X292:Y292"/>
    <mergeCell ref="AB292:AC292"/>
    <mergeCell ref="B291:C291"/>
    <mergeCell ref="F291:G291"/>
    <mergeCell ref="I291:J291"/>
    <mergeCell ref="T291:U291"/>
    <mergeCell ref="B292:C292"/>
    <mergeCell ref="F292:G292"/>
    <mergeCell ref="I292:J292"/>
    <mergeCell ref="T292:U292"/>
    <mergeCell ref="X291:Y291"/>
    <mergeCell ref="AB291:AC291"/>
    <mergeCell ref="X296:Y296"/>
    <mergeCell ref="AB296:AC296"/>
    <mergeCell ref="B296:C296"/>
    <mergeCell ref="F296:G296"/>
    <mergeCell ref="B294:C294"/>
    <mergeCell ref="F294:G294"/>
    <mergeCell ref="I294:J294"/>
    <mergeCell ref="T294:U294"/>
    <mergeCell ref="I295:J295"/>
    <mergeCell ref="T295:U295"/>
    <mergeCell ref="I296:J296"/>
    <mergeCell ref="T296:U296"/>
    <mergeCell ref="X295:Y295"/>
    <mergeCell ref="AB295:AC295"/>
    <mergeCell ref="X293:Y293"/>
    <mergeCell ref="AB293:AC293"/>
    <mergeCell ref="X294:Y294"/>
    <mergeCell ref="AB294:AC294"/>
    <mergeCell ref="B297:C297"/>
    <mergeCell ref="F297:G297"/>
    <mergeCell ref="I297:J297"/>
    <mergeCell ref="T297:U297"/>
    <mergeCell ref="X297:Y297"/>
    <mergeCell ref="AB297:AC297"/>
    <mergeCell ref="B295:C295"/>
    <mergeCell ref="F295:G295"/>
    <mergeCell ref="X301:Y301"/>
    <mergeCell ref="AB301:AC301"/>
    <mergeCell ref="X302:Y302"/>
    <mergeCell ref="AB302:AC302"/>
    <mergeCell ref="X303:Y303"/>
    <mergeCell ref="AB303:AC303"/>
    <mergeCell ref="I299:J299"/>
    <mergeCell ref="T299:U299"/>
    <mergeCell ref="B303:C303"/>
    <mergeCell ref="F303:G303"/>
    <mergeCell ref="I303:J303"/>
    <mergeCell ref="T303:U303"/>
    <mergeCell ref="B301:C301"/>
    <mergeCell ref="F301:G301"/>
    <mergeCell ref="I301:J301"/>
    <mergeCell ref="T301:U301"/>
    <mergeCell ref="B298:C298"/>
    <mergeCell ref="F298:G298"/>
    <mergeCell ref="B299:C299"/>
    <mergeCell ref="F299:G299"/>
    <mergeCell ref="I298:J298"/>
    <mergeCell ref="T298:U298"/>
    <mergeCell ref="B300:C300"/>
    <mergeCell ref="F300:G300"/>
    <mergeCell ref="B304:C304"/>
    <mergeCell ref="F304:G304"/>
    <mergeCell ref="I300:J300"/>
    <mergeCell ref="T300:U300"/>
    <mergeCell ref="X300:Y300"/>
    <mergeCell ref="AB300:AC300"/>
    <mergeCell ref="X298:Y298"/>
    <mergeCell ref="AB298:AC298"/>
    <mergeCell ref="X299:Y299"/>
    <mergeCell ref="AB299:AC299"/>
    <mergeCell ref="X304:Y304"/>
    <mergeCell ref="AB304:AC304"/>
    <mergeCell ref="X305:Y305"/>
    <mergeCell ref="AB305:AC305"/>
    <mergeCell ref="B306:C306"/>
    <mergeCell ref="F306:G306"/>
    <mergeCell ref="I306:J306"/>
    <mergeCell ref="T306:U306"/>
    <mergeCell ref="X306:Y306"/>
    <mergeCell ref="AB306:AC306"/>
    <mergeCell ref="I302:J302"/>
    <mergeCell ref="T302:U302"/>
    <mergeCell ref="B302:C302"/>
    <mergeCell ref="F302:G302"/>
    <mergeCell ref="B307:C307"/>
    <mergeCell ref="F307:G307"/>
    <mergeCell ref="X307:Y307"/>
    <mergeCell ref="AB307:AC307"/>
    <mergeCell ref="X308:Y308"/>
    <mergeCell ref="AB308:AC308"/>
    <mergeCell ref="B311:C311"/>
    <mergeCell ref="F311:G311"/>
    <mergeCell ref="I311:J311"/>
    <mergeCell ref="T311:U311"/>
    <mergeCell ref="I308:J308"/>
    <mergeCell ref="T308:U308"/>
    <mergeCell ref="I304:J304"/>
    <mergeCell ref="T304:U304"/>
    <mergeCell ref="I305:J305"/>
    <mergeCell ref="T305:U305"/>
    <mergeCell ref="B308:C308"/>
    <mergeCell ref="F308:G308"/>
    <mergeCell ref="B305:C305"/>
    <mergeCell ref="F305:G305"/>
    <mergeCell ref="I307:J307"/>
    <mergeCell ref="T307:U307"/>
    <mergeCell ref="B309:C309"/>
    <mergeCell ref="F309:G309"/>
    <mergeCell ref="I309:J309"/>
    <mergeCell ref="T309:U309"/>
    <mergeCell ref="B310:C310"/>
    <mergeCell ref="F310:G310"/>
    <mergeCell ref="I310:J310"/>
    <mergeCell ref="T310:U310"/>
    <mergeCell ref="X309:Y309"/>
    <mergeCell ref="AB309:AC309"/>
    <mergeCell ref="I313:J313"/>
    <mergeCell ref="T313:U313"/>
    <mergeCell ref="I314:J314"/>
    <mergeCell ref="T314:U314"/>
    <mergeCell ref="X313:Y313"/>
    <mergeCell ref="AB313:AC313"/>
    <mergeCell ref="X310:Y310"/>
    <mergeCell ref="AB310:AC310"/>
    <mergeCell ref="X311:Y311"/>
    <mergeCell ref="AB311:AC311"/>
    <mergeCell ref="X312:Y312"/>
    <mergeCell ref="AB312:AC312"/>
    <mergeCell ref="B315:C315"/>
    <mergeCell ref="F315:G315"/>
    <mergeCell ref="I315:J315"/>
    <mergeCell ref="T315:U315"/>
    <mergeCell ref="X315:Y315"/>
    <mergeCell ref="AB315:AC315"/>
    <mergeCell ref="B313:C313"/>
    <mergeCell ref="F313:G313"/>
    <mergeCell ref="B312:C312"/>
    <mergeCell ref="F312:G312"/>
    <mergeCell ref="I312:J312"/>
    <mergeCell ref="T312:U312"/>
    <mergeCell ref="B316:C316"/>
    <mergeCell ref="F316:G316"/>
    <mergeCell ref="B317:C317"/>
    <mergeCell ref="F317:G317"/>
    <mergeCell ref="X314:Y314"/>
    <mergeCell ref="AB314:AC314"/>
    <mergeCell ref="B314:C314"/>
    <mergeCell ref="F314:G314"/>
    <mergeCell ref="I316:J316"/>
    <mergeCell ref="T316:U316"/>
    <mergeCell ref="B318:C318"/>
    <mergeCell ref="F318:G318"/>
    <mergeCell ref="I318:J318"/>
    <mergeCell ref="T318:U318"/>
    <mergeCell ref="X318:Y318"/>
    <mergeCell ref="AB318:AC318"/>
    <mergeCell ref="X316:Y316"/>
    <mergeCell ref="AB316:AC316"/>
    <mergeCell ref="X317:Y317"/>
    <mergeCell ref="AB317:AC317"/>
    <mergeCell ref="I320:J320"/>
    <mergeCell ref="T320:U320"/>
    <mergeCell ref="B320:C320"/>
    <mergeCell ref="F320:G320"/>
    <mergeCell ref="B326:C326"/>
    <mergeCell ref="F326:G326"/>
    <mergeCell ref="B323:C323"/>
    <mergeCell ref="F323:G323"/>
    <mergeCell ref="I325:J325"/>
    <mergeCell ref="T325:U325"/>
    <mergeCell ref="X319:Y319"/>
    <mergeCell ref="AB319:AC319"/>
    <mergeCell ref="X320:Y320"/>
    <mergeCell ref="AB320:AC320"/>
    <mergeCell ref="X321:Y321"/>
    <mergeCell ref="AB321:AC321"/>
    <mergeCell ref="I317:J317"/>
    <mergeCell ref="T317:U317"/>
    <mergeCell ref="B321:C321"/>
    <mergeCell ref="F321:G321"/>
    <mergeCell ref="I321:J321"/>
    <mergeCell ref="T321:U321"/>
    <mergeCell ref="B319:C319"/>
    <mergeCell ref="F319:G319"/>
    <mergeCell ref="I319:J319"/>
    <mergeCell ref="T319:U319"/>
    <mergeCell ref="B322:C322"/>
    <mergeCell ref="F322:G322"/>
    <mergeCell ref="B325:C325"/>
    <mergeCell ref="F325:G325"/>
    <mergeCell ref="X325:Y325"/>
    <mergeCell ref="AB325:AC325"/>
    <mergeCell ref="X326:Y326"/>
    <mergeCell ref="AB326:AC326"/>
    <mergeCell ref="B329:C329"/>
    <mergeCell ref="F329:G329"/>
    <mergeCell ref="I329:J329"/>
    <mergeCell ref="T329:U329"/>
    <mergeCell ref="I326:J326"/>
    <mergeCell ref="T326:U326"/>
    <mergeCell ref="I322:J322"/>
    <mergeCell ref="T322:U322"/>
    <mergeCell ref="I323:J323"/>
    <mergeCell ref="T323:U323"/>
    <mergeCell ref="X322:Y322"/>
    <mergeCell ref="AB322:AC322"/>
    <mergeCell ref="X323:Y323"/>
    <mergeCell ref="AB323:AC323"/>
    <mergeCell ref="B324:C324"/>
    <mergeCell ref="F324:G324"/>
    <mergeCell ref="I324:J324"/>
    <mergeCell ref="T324:U324"/>
    <mergeCell ref="X324:Y324"/>
    <mergeCell ref="AB324:AC324"/>
    <mergeCell ref="X328:Y328"/>
    <mergeCell ref="AB328:AC328"/>
    <mergeCell ref="B327:C327"/>
    <mergeCell ref="F327:G327"/>
    <mergeCell ref="I327:J327"/>
    <mergeCell ref="T327:U327"/>
    <mergeCell ref="B328:C328"/>
    <mergeCell ref="F328:G328"/>
    <mergeCell ref="I328:J328"/>
    <mergeCell ref="T328:U328"/>
    <mergeCell ref="X327:Y327"/>
    <mergeCell ref="AB327:AC327"/>
    <mergeCell ref="X332:Y332"/>
    <mergeCell ref="AB332:AC332"/>
    <mergeCell ref="B332:C332"/>
    <mergeCell ref="F332:G332"/>
    <mergeCell ref="B330:C330"/>
    <mergeCell ref="F330:G330"/>
    <mergeCell ref="I330:J330"/>
    <mergeCell ref="T330:U330"/>
    <mergeCell ref="I331:J331"/>
    <mergeCell ref="T331:U331"/>
    <mergeCell ref="I332:J332"/>
    <mergeCell ref="T332:U332"/>
    <mergeCell ref="X331:Y331"/>
    <mergeCell ref="AB331:AC331"/>
    <mergeCell ref="X329:Y329"/>
    <mergeCell ref="AB329:AC329"/>
    <mergeCell ref="X330:Y330"/>
    <mergeCell ref="AB330:AC330"/>
    <mergeCell ref="B333:C333"/>
    <mergeCell ref="F333:G333"/>
    <mergeCell ref="I333:J333"/>
    <mergeCell ref="T333:U333"/>
    <mergeCell ref="X333:Y333"/>
    <mergeCell ref="AB333:AC333"/>
    <mergeCell ref="B331:C331"/>
    <mergeCell ref="F331:G331"/>
    <mergeCell ref="X337:Y337"/>
    <mergeCell ref="AB337:AC337"/>
    <mergeCell ref="X338:Y338"/>
    <mergeCell ref="AB338:AC338"/>
    <mergeCell ref="X339:Y339"/>
    <mergeCell ref="AB339:AC339"/>
    <mergeCell ref="I335:J335"/>
    <mergeCell ref="T335:U335"/>
    <mergeCell ref="B339:C339"/>
    <mergeCell ref="F339:G339"/>
    <mergeCell ref="I339:J339"/>
    <mergeCell ref="T339:U339"/>
    <mergeCell ref="B337:C337"/>
    <mergeCell ref="F337:G337"/>
    <mergeCell ref="I337:J337"/>
    <mergeCell ref="T337:U337"/>
    <mergeCell ref="B334:C334"/>
    <mergeCell ref="F334:G334"/>
    <mergeCell ref="B335:C335"/>
    <mergeCell ref="F335:G335"/>
    <mergeCell ref="I334:J334"/>
    <mergeCell ref="T334:U334"/>
    <mergeCell ref="B336:C336"/>
    <mergeCell ref="F336:G336"/>
    <mergeCell ref="B340:C340"/>
    <mergeCell ref="F340:G340"/>
    <mergeCell ref="I336:J336"/>
    <mergeCell ref="T336:U336"/>
    <mergeCell ref="X336:Y336"/>
    <mergeCell ref="AB336:AC336"/>
    <mergeCell ref="X334:Y334"/>
    <mergeCell ref="AB334:AC334"/>
    <mergeCell ref="X335:Y335"/>
    <mergeCell ref="AB335:AC335"/>
    <mergeCell ref="X340:Y340"/>
    <mergeCell ref="AB340:AC340"/>
    <mergeCell ref="X341:Y341"/>
    <mergeCell ref="AB341:AC341"/>
    <mergeCell ref="B342:C342"/>
    <mergeCell ref="F342:G342"/>
    <mergeCell ref="I342:J342"/>
    <mergeCell ref="T342:U342"/>
    <mergeCell ref="X342:Y342"/>
    <mergeCell ref="AB342:AC342"/>
    <mergeCell ref="I338:J338"/>
    <mergeCell ref="T338:U338"/>
    <mergeCell ref="B338:C338"/>
    <mergeCell ref="F338:G338"/>
    <mergeCell ref="B343:C343"/>
    <mergeCell ref="F343:G343"/>
    <mergeCell ref="X343:Y343"/>
    <mergeCell ref="AB343:AC343"/>
    <mergeCell ref="X344:Y344"/>
    <mergeCell ref="AB344:AC344"/>
    <mergeCell ref="B347:C347"/>
    <mergeCell ref="F347:G347"/>
    <mergeCell ref="I347:J347"/>
    <mergeCell ref="T347:U347"/>
    <mergeCell ref="I344:J344"/>
    <mergeCell ref="T344:U344"/>
    <mergeCell ref="I340:J340"/>
    <mergeCell ref="T340:U340"/>
    <mergeCell ref="I341:J341"/>
    <mergeCell ref="T341:U341"/>
    <mergeCell ref="B344:C344"/>
    <mergeCell ref="F344:G344"/>
    <mergeCell ref="B341:C341"/>
    <mergeCell ref="F341:G341"/>
    <mergeCell ref="I343:J343"/>
    <mergeCell ref="T343:U343"/>
    <mergeCell ref="B345:C345"/>
    <mergeCell ref="F345:G345"/>
    <mergeCell ref="I345:J345"/>
    <mergeCell ref="T345:U345"/>
    <mergeCell ref="B346:C346"/>
    <mergeCell ref="F346:G346"/>
    <mergeCell ref="I346:J346"/>
    <mergeCell ref="T346:U346"/>
    <mergeCell ref="X345:Y345"/>
    <mergeCell ref="AB345:AC345"/>
    <mergeCell ref="I349:J349"/>
    <mergeCell ref="T349:U349"/>
    <mergeCell ref="I350:J350"/>
    <mergeCell ref="T350:U350"/>
    <mergeCell ref="X349:Y349"/>
    <mergeCell ref="AB349:AC349"/>
    <mergeCell ref="X346:Y346"/>
    <mergeCell ref="AB346:AC346"/>
    <mergeCell ref="X347:Y347"/>
    <mergeCell ref="AB347:AC347"/>
    <mergeCell ref="X348:Y348"/>
    <mergeCell ref="AB348:AC348"/>
    <mergeCell ref="B351:C351"/>
    <mergeCell ref="F351:G351"/>
    <mergeCell ref="I351:J351"/>
    <mergeCell ref="T351:U351"/>
    <mergeCell ref="X351:Y351"/>
    <mergeCell ref="AB351:AC351"/>
    <mergeCell ref="B349:C349"/>
    <mergeCell ref="F349:G349"/>
    <mergeCell ref="B348:C348"/>
    <mergeCell ref="F348:G348"/>
    <mergeCell ref="I348:J348"/>
    <mergeCell ref="T348:U348"/>
    <mergeCell ref="B352:C352"/>
    <mergeCell ref="F352:G352"/>
    <mergeCell ref="B353:C353"/>
    <mergeCell ref="F353:G353"/>
    <mergeCell ref="X350:Y350"/>
    <mergeCell ref="AB350:AC350"/>
    <mergeCell ref="B350:C350"/>
    <mergeCell ref="F350:G350"/>
    <mergeCell ref="I352:J352"/>
    <mergeCell ref="T352:U352"/>
    <mergeCell ref="B354:C354"/>
    <mergeCell ref="F354:G354"/>
    <mergeCell ref="I354:J354"/>
    <mergeCell ref="T354:U354"/>
    <mergeCell ref="X354:Y354"/>
    <mergeCell ref="AB354:AC354"/>
    <mergeCell ref="X352:Y352"/>
    <mergeCell ref="AB352:AC352"/>
    <mergeCell ref="X353:Y353"/>
    <mergeCell ref="AB353:AC353"/>
    <mergeCell ref="I356:J356"/>
    <mergeCell ref="T356:U356"/>
    <mergeCell ref="B356:C356"/>
    <mergeCell ref="F356:G356"/>
    <mergeCell ref="B362:C362"/>
    <mergeCell ref="F362:G362"/>
    <mergeCell ref="B359:C359"/>
    <mergeCell ref="F359:G359"/>
    <mergeCell ref="I361:J361"/>
    <mergeCell ref="T361:U361"/>
    <mergeCell ref="X355:Y355"/>
    <mergeCell ref="AB355:AC355"/>
    <mergeCell ref="X356:Y356"/>
    <mergeCell ref="AB356:AC356"/>
    <mergeCell ref="X357:Y357"/>
    <mergeCell ref="AB357:AC357"/>
    <mergeCell ref="I353:J353"/>
    <mergeCell ref="T353:U353"/>
    <mergeCell ref="B357:C357"/>
    <mergeCell ref="F357:G357"/>
    <mergeCell ref="I357:J357"/>
    <mergeCell ref="T357:U357"/>
    <mergeCell ref="B355:C355"/>
    <mergeCell ref="F355:G355"/>
    <mergeCell ref="I355:J355"/>
    <mergeCell ref="T355:U355"/>
    <mergeCell ref="B358:C358"/>
    <mergeCell ref="F358:G358"/>
    <mergeCell ref="B361:C361"/>
    <mergeCell ref="F361:G361"/>
    <mergeCell ref="X361:Y361"/>
    <mergeCell ref="AB361:AC361"/>
    <mergeCell ref="X362:Y362"/>
    <mergeCell ref="AB362:AC362"/>
    <mergeCell ref="B365:C365"/>
    <mergeCell ref="F365:G365"/>
    <mergeCell ref="I365:J365"/>
    <mergeCell ref="T365:U365"/>
    <mergeCell ref="I362:J362"/>
    <mergeCell ref="T362:U362"/>
    <mergeCell ref="I358:J358"/>
    <mergeCell ref="T358:U358"/>
    <mergeCell ref="I359:J359"/>
    <mergeCell ref="T359:U359"/>
    <mergeCell ref="X358:Y358"/>
    <mergeCell ref="AB358:AC358"/>
    <mergeCell ref="X359:Y359"/>
    <mergeCell ref="AB359:AC359"/>
    <mergeCell ref="B360:C360"/>
    <mergeCell ref="F360:G360"/>
    <mergeCell ref="I360:J360"/>
    <mergeCell ref="T360:U360"/>
    <mergeCell ref="X360:Y360"/>
    <mergeCell ref="AB360:AC360"/>
    <mergeCell ref="X364:Y364"/>
    <mergeCell ref="AB364:AC364"/>
    <mergeCell ref="B363:C363"/>
    <mergeCell ref="F363:G363"/>
    <mergeCell ref="I363:J363"/>
    <mergeCell ref="T363:U363"/>
    <mergeCell ref="B364:C364"/>
    <mergeCell ref="F364:G364"/>
    <mergeCell ref="I364:J364"/>
    <mergeCell ref="T364:U364"/>
    <mergeCell ref="X363:Y363"/>
    <mergeCell ref="AB363:AC363"/>
    <mergeCell ref="X368:Y368"/>
    <mergeCell ref="AB368:AC368"/>
    <mergeCell ref="B368:C368"/>
    <mergeCell ref="F368:G368"/>
    <mergeCell ref="B366:C366"/>
    <mergeCell ref="F366:G366"/>
    <mergeCell ref="I366:J366"/>
    <mergeCell ref="T366:U366"/>
    <mergeCell ref="I367:J367"/>
    <mergeCell ref="T367:U367"/>
    <mergeCell ref="I368:J368"/>
    <mergeCell ref="T368:U368"/>
    <mergeCell ref="X367:Y367"/>
    <mergeCell ref="AB367:AC367"/>
    <mergeCell ref="X365:Y365"/>
    <mergeCell ref="AB365:AC365"/>
    <mergeCell ref="X366:Y366"/>
    <mergeCell ref="AB366:AC366"/>
    <mergeCell ref="B369:C369"/>
    <mergeCell ref="F369:G369"/>
    <mergeCell ref="I369:J369"/>
    <mergeCell ref="T369:U369"/>
    <mergeCell ref="X369:Y369"/>
    <mergeCell ref="AB369:AC369"/>
    <mergeCell ref="B367:C367"/>
    <mergeCell ref="F367:G367"/>
    <mergeCell ref="X373:Y373"/>
    <mergeCell ref="AB373:AC373"/>
    <mergeCell ref="X374:Y374"/>
    <mergeCell ref="AB374:AC374"/>
    <mergeCell ref="X375:Y375"/>
    <mergeCell ref="AB375:AC375"/>
    <mergeCell ref="I371:J371"/>
    <mergeCell ref="T371:U371"/>
    <mergeCell ref="B375:C375"/>
    <mergeCell ref="F375:G375"/>
    <mergeCell ref="I375:J375"/>
    <mergeCell ref="T375:U375"/>
    <mergeCell ref="B373:C373"/>
    <mergeCell ref="F373:G373"/>
    <mergeCell ref="I373:J373"/>
    <mergeCell ref="T373:U373"/>
    <mergeCell ref="B370:C370"/>
    <mergeCell ref="F370:G370"/>
    <mergeCell ref="B371:C371"/>
    <mergeCell ref="F371:G371"/>
    <mergeCell ref="I370:J370"/>
    <mergeCell ref="T370:U370"/>
    <mergeCell ref="B372:C372"/>
    <mergeCell ref="F372:G372"/>
    <mergeCell ref="B376:C376"/>
    <mergeCell ref="F376:G376"/>
    <mergeCell ref="I372:J372"/>
    <mergeCell ref="T372:U372"/>
    <mergeCell ref="X372:Y372"/>
    <mergeCell ref="AB372:AC372"/>
    <mergeCell ref="X370:Y370"/>
    <mergeCell ref="AB370:AC370"/>
    <mergeCell ref="X371:Y371"/>
    <mergeCell ref="AB371:AC371"/>
    <mergeCell ref="X376:Y376"/>
    <mergeCell ref="AB376:AC376"/>
    <mergeCell ref="X377:Y377"/>
    <mergeCell ref="AB377:AC377"/>
    <mergeCell ref="B378:C378"/>
    <mergeCell ref="F378:G378"/>
    <mergeCell ref="I378:J378"/>
    <mergeCell ref="T378:U378"/>
    <mergeCell ref="X378:Y378"/>
    <mergeCell ref="AB378:AC378"/>
    <mergeCell ref="I374:J374"/>
    <mergeCell ref="T374:U374"/>
    <mergeCell ref="B374:C374"/>
    <mergeCell ref="F374:G374"/>
    <mergeCell ref="B379:C379"/>
    <mergeCell ref="F379:G379"/>
    <mergeCell ref="X379:Y379"/>
    <mergeCell ref="AB379:AC379"/>
    <mergeCell ref="X380:Y380"/>
    <mergeCell ref="AB380:AC380"/>
    <mergeCell ref="B383:C383"/>
    <mergeCell ref="F383:G383"/>
    <mergeCell ref="I383:J383"/>
    <mergeCell ref="T383:U383"/>
    <mergeCell ref="I380:J380"/>
    <mergeCell ref="T380:U380"/>
    <mergeCell ref="I376:J376"/>
    <mergeCell ref="T376:U376"/>
    <mergeCell ref="I377:J377"/>
    <mergeCell ref="T377:U377"/>
    <mergeCell ref="B380:C380"/>
    <mergeCell ref="F380:G380"/>
    <mergeCell ref="B377:C377"/>
    <mergeCell ref="F377:G377"/>
    <mergeCell ref="I379:J379"/>
    <mergeCell ref="T379:U379"/>
    <mergeCell ref="B381:C381"/>
    <mergeCell ref="F381:G381"/>
    <mergeCell ref="I381:J381"/>
    <mergeCell ref="T381:U381"/>
    <mergeCell ref="B382:C382"/>
    <mergeCell ref="F382:G382"/>
    <mergeCell ref="I382:J382"/>
    <mergeCell ref="T382:U382"/>
    <mergeCell ref="X381:Y381"/>
    <mergeCell ref="AB381:AC381"/>
    <mergeCell ref="I385:J385"/>
    <mergeCell ref="T385:U385"/>
    <mergeCell ref="I386:J386"/>
    <mergeCell ref="T386:U386"/>
    <mergeCell ref="X385:Y385"/>
    <mergeCell ref="AB385:AC385"/>
    <mergeCell ref="X382:Y382"/>
    <mergeCell ref="AB382:AC382"/>
    <mergeCell ref="X383:Y383"/>
    <mergeCell ref="AB383:AC383"/>
    <mergeCell ref="X384:Y384"/>
    <mergeCell ref="AB384:AC384"/>
    <mergeCell ref="B387:C387"/>
    <mergeCell ref="F387:G387"/>
    <mergeCell ref="I387:J387"/>
    <mergeCell ref="T387:U387"/>
    <mergeCell ref="X387:Y387"/>
    <mergeCell ref="AB387:AC387"/>
    <mergeCell ref="B385:C385"/>
    <mergeCell ref="F385:G385"/>
    <mergeCell ref="B384:C384"/>
    <mergeCell ref="F384:G384"/>
    <mergeCell ref="I384:J384"/>
    <mergeCell ref="T384:U384"/>
    <mergeCell ref="B388:C388"/>
    <mergeCell ref="F388:G388"/>
    <mergeCell ref="B389:C389"/>
    <mergeCell ref="F389:G389"/>
    <mergeCell ref="X386:Y386"/>
    <mergeCell ref="AB386:AC386"/>
    <mergeCell ref="B386:C386"/>
    <mergeCell ref="F386:G386"/>
    <mergeCell ref="I388:J388"/>
    <mergeCell ref="T388:U388"/>
    <mergeCell ref="B390:C390"/>
    <mergeCell ref="F390:G390"/>
    <mergeCell ref="I390:J390"/>
    <mergeCell ref="T390:U390"/>
    <mergeCell ref="X390:Y390"/>
    <mergeCell ref="AB390:AC390"/>
    <mergeCell ref="X388:Y388"/>
    <mergeCell ref="AB388:AC388"/>
    <mergeCell ref="X389:Y389"/>
    <mergeCell ref="AB389:AC389"/>
    <mergeCell ref="I392:J392"/>
    <mergeCell ref="T392:U392"/>
    <mergeCell ref="B392:C392"/>
    <mergeCell ref="F392:G392"/>
    <mergeCell ref="B398:C398"/>
    <mergeCell ref="F398:G398"/>
    <mergeCell ref="B395:C395"/>
    <mergeCell ref="F395:G395"/>
    <mergeCell ref="I397:J397"/>
    <mergeCell ref="T397:U397"/>
    <mergeCell ref="X391:Y391"/>
    <mergeCell ref="AB391:AC391"/>
    <mergeCell ref="X392:Y392"/>
    <mergeCell ref="AB392:AC392"/>
    <mergeCell ref="X393:Y393"/>
    <mergeCell ref="AB393:AC393"/>
    <mergeCell ref="I389:J389"/>
    <mergeCell ref="T389:U389"/>
    <mergeCell ref="B393:C393"/>
    <mergeCell ref="F393:G393"/>
    <mergeCell ref="I393:J393"/>
    <mergeCell ref="T393:U393"/>
    <mergeCell ref="B391:C391"/>
    <mergeCell ref="F391:G391"/>
    <mergeCell ref="I391:J391"/>
    <mergeCell ref="T391:U391"/>
    <mergeCell ref="B394:C394"/>
    <mergeCell ref="F394:G394"/>
    <mergeCell ref="B397:C397"/>
    <mergeCell ref="F397:G397"/>
    <mergeCell ref="X397:Y397"/>
    <mergeCell ref="AB397:AC397"/>
    <mergeCell ref="X398:Y398"/>
    <mergeCell ref="AB398:AC398"/>
    <mergeCell ref="B401:C401"/>
    <mergeCell ref="F401:G401"/>
    <mergeCell ref="I401:J401"/>
    <mergeCell ref="T401:U401"/>
    <mergeCell ref="I398:J398"/>
    <mergeCell ref="T398:U398"/>
    <mergeCell ref="I394:J394"/>
    <mergeCell ref="T394:U394"/>
    <mergeCell ref="I395:J395"/>
    <mergeCell ref="T395:U395"/>
    <mergeCell ref="X394:Y394"/>
    <mergeCell ref="AB394:AC394"/>
    <mergeCell ref="X395:Y395"/>
    <mergeCell ref="AB395:AC395"/>
    <mergeCell ref="B396:C396"/>
    <mergeCell ref="F396:G396"/>
    <mergeCell ref="I396:J396"/>
    <mergeCell ref="T396:U396"/>
    <mergeCell ref="X396:Y396"/>
    <mergeCell ref="AB396:AC396"/>
    <mergeCell ref="X400:Y400"/>
    <mergeCell ref="AB400:AC400"/>
    <mergeCell ref="B399:C399"/>
    <mergeCell ref="F399:G399"/>
    <mergeCell ref="I399:J399"/>
    <mergeCell ref="T399:U399"/>
    <mergeCell ref="B400:C400"/>
    <mergeCell ref="F400:G400"/>
    <mergeCell ref="I400:J400"/>
    <mergeCell ref="T400:U400"/>
    <mergeCell ref="X399:Y399"/>
    <mergeCell ref="AB399:AC399"/>
    <mergeCell ref="X404:Y404"/>
    <mergeCell ref="AB404:AC404"/>
    <mergeCell ref="B404:C404"/>
    <mergeCell ref="F404:G404"/>
    <mergeCell ref="B402:C402"/>
    <mergeCell ref="F402:G402"/>
    <mergeCell ref="I402:J402"/>
    <mergeCell ref="T402:U402"/>
    <mergeCell ref="I403:J403"/>
    <mergeCell ref="T403:U403"/>
    <mergeCell ref="I404:J404"/>
    <mergeCell ref="T404:U404"/>
    <mergeCell ref="X403:Y403"/>
    <mergeCell ref="AB403:AC403"/>
    <mergeCell ref="X401:Y401"/>
    <mergeCell ref="AB401:AC401"/>
    <mergeCell ref="X402:Y402"/>
    <mergeCell ref="AB402:AC402"/>
    <mergeCell ref="B405:C405"/>
    <mergeCell ref="F405:G405"/>
    <mergeCell ref="I405:J405"/>
    <mergeCell ref="T405:U405"/>
    <mergeCell ref="X405:Y405"/>
    <mergeCell ref="AB405:AC405"/>
    <mergeCell ref="B403:C403"/>
    <mergeCell ref="F403:G403"/>
    <mergeCell ref="X409:Y409"/>
    <mergeCell ref="AB409:AC409"/>
    <mergeCell ref="X410:Y410"/>
    <mergeCell ref="AB410:AC410"/>
    <mergeCell ref="X411:Y411"/>
    <mergeCell ref="AB411:AC411"/>
    <mergeCell ref="I407:J407"/>
    <mergeCell ref="T407:U407"/>
    <mergeCell ref="B411:C411"/>
    <mergeCell ref="F411:G411"/>
    <mergeCell ref="I411:J411"/>
    <mergeCell ref="T411:U411"/>
    <mergeCell ref="B409:C409"/>
    <mergeCell ref="F409:G409"/>
    <mergeCell ref="I409:J409"/>
    <mergeCell ref="T409:U409"/>
    <mergeCell ref="B406:C406"/>
    <mergeCell ref="F406:G406"/>
    <mergeCell ref="B407:C407"/>
    <mergeCell ref="F407:G407"/>
    <mergeCell ref="I406:J406"/>
    <mergeCell ref="T406:U406"/>
    <mergeCell ref="B408:C408"/>
    <mergeCell ref="F408:G408"/>
    <mergeCell ref="B412:C412"/>
    <mergeCell ref="F412:G412"/>
    <mergeCell ref="I408:J408"/>
    <mergeCell ref="T408:U408"/>
    <mergeCell ref="X408:Y408"/>
    <mergeCell ref="AB408:AC408"/>
    <mergeCell ref="X406:Y406"/>
    <mergeCell ref="AB406:AC406"/>
    <mergeCell ref="X407:Y407"/>
    <mergeCell ref="AB407:AC407"/>
    <mergeCell ref="X412:Y412"/>
    <mergeCell ref="AB412:AC412"/>
    <mergeCell ref="X413:Y413"/>
    <mergeCell ref="AB413:AC413"/>
    <mergeCell ref="B414:C414"/>
    <mergeCell ref="F414:G414"/>
    <mergeCell ref="I414:J414"/>
    <mergeCell ref="T414:U414"/>
    <mergeCell ref="X414:Y414"/>
    <mergeCell ref="AB414:AC414"/>
    <mergeCell ref="I410:J410"/>
    <mergeCell ref="T410:U410"/>
    <mergeCell ref="B410:C410"/>
    <mergeCell ref="F410:G410"/>
    <mergeCell ref="B415:C415"/>
    <mergeCell ref="F415:G415"/>
    <mergeCell ref="X415:Y415"/>
    <mergeCell ref="AB415:AC415"/>
    <mergeCell ref="X416:Y416"/>
    <mergeCell ref="AB416:AC416"/>
    <mergeCell ref="B419:C419"/>
    <mergeCell ref="F419:G419"/>
    <mergeCell ref="I419:J419"/>
    <mergeCell ref="T419:U419"/>
    <mergeCell ref="I416:J416"/>
    <mergeCell ref="T416:U416"/>
    <mergeCell ref="I412:J412"/>
    <mergeCell ref="T412:U412"/>
    <mergeCell ref="I413:J413"/>
    <mergeCell ref="T413:U413"/>
    <mergeCell ref="B416:C416"/>
    <mergeCell ref="F416:G416"/>
    <mergeCell ref="B413:C413"/>
    <mergeCell ref="F413:G413"/>
    <mergeCell ref="I415:J415"/>
    <mergeCell ref="T415:U415"/>
    <mergeCell ref="B417:C417"/>
    <mergeCell ref="F417:G417"/>
    <mergeCell ref="I417:J417"/>
    <mergeCell ref="T417:U417"/>
    <mergeCell ref="B418:C418"/>
    <mergeCell ref="F418:G418"/>
    <mergeCell ref="I418:J418"/>
    <mergeCell ref="T418:U418"/>
    <mergeCell ref="X417:Y417"/>
    <mergeCell ref="AB417:AC417"/>
    <mergeCell ref="I421:J421"/>
    <mergeCell ref="T421:U421"/>
    <mergeCell ref="I422:J422"/>
    <mergeCell ref="T422:U422"/>
    <mergeCell ref="X421:Y421"/>
    <mergeCell ref="AB421:AC421"/>
    <mergeCell ref="X418:Y418"/>
    <mergeCell ref="AB418:AC418"/>
    <mergeCell ref="X419:Y419"/>
    <mergeCell ref="AB419:AC419"/>
    <mergeCell ref="X420:Y420"/>
    <mergeCell ref="AB420:AC420"/>
    <mergeCell ref="B423:C423"/>
    <mergeCell ref="F423:G423"/>
    <mergeCell ref="I423:J423"/>
    <mergeCell ref="T423:U423"/>
    <mergeCell ref="X423:Y423"/>
    <mergeCell ref="AB423:AC423"/>
    <mergeCell ref="B421:C421"/>
    <mergeCell ref="F421:G421"/>
    <mergeCell ref="B420:C420"/>
    <mergeCell ref="F420:G420"/>
    <mergeCell ref="I420:J420"/>
    <mergeCell ref="T420:U420"/>
    <mergeCell ref="B424:C424"/>
    <mergeCell ref="F424:G424"/>
    <mergeCell ref="B425:C425"/>
    <mergeCell ref="F425:G425"/>
    <mergeCell ref="X422:Y422"/>
    <mergeCell ref="AB422:AC422"/>
    <mergeCell ref="B422:C422"/>
    <mergeCell ref="F422:G422"/>
    <mergeCell ref="I424:J424"/>
    <mergeCell ref="T424:U424"/>
    <mergeCell ref="B426:C426"/>
    <mergeCell ref="F426:G426"/>
    <mergeCell ref="I426:J426"/>
    <mergeCell ref="T426:U426"/>
    <mergeCell ref="X426:Y426"/>
    <mergeCell ref="AB426:AC426"/>
    <mergeCell ref="X424:Y424"/>
    <mergeCell ref="AB424:AC424"/>
    <mergeCell ref="X425:Y425"/>
    <mergeCell ref="AB425:AC425"/>
    <mergeCell ref="I428:J428"/>
    <mergeCell ref="T428:U428"/>
    <mergeCell ref="B428:C428"/>
    <mergeCell ref="F428:G428"/>
    <mergeCell ref="B434:C434"/>
    <mergeCell ref="F434:G434"/>
    <mergeCell ref="B431:C431"/>
    <mergeCell ref="F431:G431"/>
    <mergeCell ref="I433:J433"/>
    <mergeCell ref="T433:U433"/>
    <mergeCell ref="X427:Y427"/>
    <mergeCell ref="AB427:AC427"/>
    <mergeCell ref="X428:Y428"/>
    <mergeCell ref="AB428:AC428"/>
    <mergeCell ref="X429:Y429"/>
    <mergeCell ref="AB429:AC429"/>
    <mergeCell ref="I425:J425"/>
    <mergeCell ref="T425:U425"/>
    <mergeCell ref="B429:C429"/>
    <mergeCell ref="F429:G429"/>
    <mergeCell ref="I429:J429"/>
    <mergeCell ref="T429:U429"/>
    <mergeCell ref="B427:C427"/>
    <mergeCell ref="F427:G427"/>
    <mergeCell ref="I427:J427"/>
    <mergeCell ref="T427:U427"/>
    <mergeCell ref="B430:C430"/>
    <mergeCell ref="F430:G430"/>
    <mergeCell ref="B433:C433"/>
    <mergeCell ref="F433:G433"/>
    <mergeCell ref="X433:Y433"/>
    <mergeCell ref="AB433:AC433"/>
    <mergeCell ref="X434:Y434"/>
    <mergeCell ref="AB434:AC434"/>
    <mergeCell ref="B437:C437"/>
    <mergeCell ref="F437:G437"/>
    <mergeCell ref="I437:J437"/>
    <mergeCell ref="T437:U437"/>
    <mergeCell ref="I434:J434"/>
    <mergeCell ref="T434:U434"/>
    <mergeCell ref="I430:J430"/>
    <mergeCell ref="T430:U430"/>
    <mergeCell ref="I431:J431"/>
    <mergeCell ref="T431:U431"/>
    <mergeCell ref="X430:Y430"/>
    <mergeCell ref="AB430:AC430"/>
    <mergeCell ref="X431:Y431"/>
    <mergeCell ref="AB431:AC431"/>
    <mergeCell ref="B432:C432"/>
    <mergeCell ref="F432:G432"/>
    <mergeCell ref="I432:J432"/>
    <mergeCell ref="T432:U432"/>
    <mergeCell ref="X432:Y432"/>
    <mergeCell ref="AB432:AC432"/>
    <mergeCell ref="X436:Y436"/>
    <mergeCell ref="AB436:AC436"/>
    <mergeCell ref="B435:C435"/>
    <mergeCell ref="F435:G435"/>
    <mergeCell ref="I435:J435"/>
    <mergeCell ref="T435:U435"/>
    <mergeCell ref="B436:C436"/>
    <mergeCell ref="F436:G436"/>
    <mergeCell ref="I436:J436"/>
    <mergeCell ref="T436:U436"/>
    <mergeCell ref="X435:Y435"/>
    <mergeCell ref="AB435:AC435"/>
    <mergeCell ref="X440:Y440"/>
    <mergeCell ref="AB440:AC440"/>
    <mergeCell ref="B440:C440"/>
    <mergeCell ref="F440:G440"/>
    <mergeCell ref="B438:C438"/>
    <mergeCell ref="F438:G438"/>
    <mergeCell ref="I438:J438"/>
    <mergeCell ref="T438:U438"/>
    <mergeCell ref="X439:Y439"/>
    <mergeCell ref="AB439:AC439"/>
    <mergeCell ref="B444:C444"/>
    <mergeCell ref="F444:G444"/>
    <mergeCell ref="I444:J444"/>
    <mergeCell ref="T444:U444"/>
    <mergeCell ref="X444:Y444"/>
    <mergeCell ref="AB444:AC444"/>
    <mergeCell ref="B442:C442"/>
    <mergeCell ref="F442:G442"/>
    <mergeCell ref="I439:J439"/>
    <mergeCell ref="T439:U439"/>
    <mergeCell ref="I440:J440"/>
    <mergeCell ref="T440:U440"/>
    <mergeCell ref="X437:Y437"/>
    <mergeCell ref="AB437:AC437"/>
    <mergeCell ref="X438:Y438"/>
    <mergeCell ref="AB438:AC438"/>
    <mergeCell ref="B441:C441"/>
    <mergeCell ref="F441:G441"/>
    <mergeCell ref="I441:J441"/>
    <mergeCell ref="T441:U441"/>
    <mergeCell ref="X441:Y441"/>
    <mergeCell ref="AB441:AC441"/>
    <mergeCell ref="B439:C439"/>
    <mergeCell ref="F439:G439"/>
    <mergeCell ref="B445:C445"/>
    <mergeCell ref="F445:G445"/>
    <mergeCell ref="I445:J445"/>
    <mergeCell ref="T445:U445"/>
    <mergeCell ref="I446:J446"/>
    <mergeCell ref="T446:U446"/>
    <mergeCell ref="B446:C446"/>
    <mergeCell ref="F446:G446"/>
    <mergeCell ref="B447:C447"/>
    <mergeCell ref="F447:G447"/>
    <mergeCell ref="I447:J447"/>
    <mergeCell ref="T447:U447"/>
    <mergeCell ref="X446:Y446"/>
    <mergeCell ref="AB446:AC446"/>
    <mergeCell ref="X447:Y447"/>
    <mergeCell ref="AB447:AC447"/>
    <mergeCell ref="X442:Y442"/>
    <mergeCell ref="AB442:AC442"/>
    <mergeCell ref="X445:Y445"/>
    <mergeCell ref="AB445:AC445"/>
    <mergeCell ref="X443:Y443"/>
    <mergeCell ref="AB443:AC443"/>
    <mergeCell ref="B443:C443"/>
    <mergeCell ref="F443:G443"/>
    <mergeCell ref="I442:J442"/>
    <mergeCell ref="T442:U442"/>
    <mergeCell ref="I443:J443"/>
    <mergeCell ref="T443:U443"/>
    <mergeCell ref="I457:J457"/>
    <mergeCell ref="AB449:AC449"/>
    <mergeCell ref="B448:C448"/>
    <mergeCell ref="F448:G448"/>
    <mergeCell ref="I448:J448"/>
    <mergeCell ref="T448:U448"/>
    <mergeCell ref="X448:Y448"/>
    <mergeCell ref="AB448:AC448"/>
    <mergeCell ref="V450:AA450"/>
    <mergeCell ref="B449:C449"/>
    <mergeCell ref="F449:G449"/>
    <mergeCell ref="I449:J449"/>
    <mergeCell ref="T449:U449"/>
    <mergeCell ref="X449:Y449"/>
    <mergeCell ref="B450:C450"/>
    <mergeCell ref="F450:G450"/>
    <mergeCell ref="I450:J450"/>
    <mergeCell ref="T450:U450"/>
  </mergeCells>
  <phoneticPr fontId="81" type="noConversion"/>
  <pageMargins left="0.19685039370078741" right="0.19685039370078741" top="0.19685039370078741" bottom="0.19685039370078741" header="0.5" footer="0.5"/>
  <pageSetup paperSize="0" orientation="landscape" horizontalDpi="0" verticalDpi="0"/>
  <headerFooter alignWithMargins="0">
    <oddFooter xml:space="preserve">&amp;L&amp;"Arial"&amp;6 Fecha de Imp.: 26/05/2009 Hora: 06:17:46 p.m. &amp;C&amp;R&amp;"Arial"&amp;6 Página: &amp;P </oddFooter>
  </headerFooter>
  <drawing r:id="rId1"/>
</worksheet>
</file>

<file path=xl/worksheets/sheet16.xml><?xml version="1.0" encoding="utf-8"?>
<worksheet xmlns="http://schemas.openxmlformats.org/spreadsheetml/2006/main" xmlns:r="http://schemas.openxmlformats.org/officeDocument/2006/relationships">
  <dimension ref="A1"/>
  <sheetViews>
    <sheetView workbookViewId="0"/>
  </sheetViews>
  <sheetFormatPr baseColWidth="10" defaultRowHeight="13.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16</vt:i4>
      </vt:variant>
      <vt:variant>
        <vt:lpstr>Rangos con nombre</vt:lpstr>
      </vt:variant>
      <vt:variant>
        <vt:i4>5</vt:i4>
      </vt:variant>
    </vt:vector>
  </HeadingPairs>
  <TitlesOfParts>
    <vt:vector size="21" baseType="lpstr">
      <vt:lpstr>Initial Data</vt:lpstr>
      <vt:lpstr>Results</vt:lpstr>
      <vt:lpstr>Baseline Emissions</vt:lpstr>
      <vt:lpstr>Project Emissions</vt:lpstr>
      <vt:lpstr>Pumps Data</vt:lpstr>
      <vt:lpstr>Emissions Reductions</vt:lpstr>
      <vt:lpstr>Baseline_NaturalGas</vt:lpstr>
      <vt:lpstr>BL Sensitivity Analysis</vt:lpstr>
      <vt:lpstr>BreakEven Analysis</vt:lpstr>
      <vt:lpstr>WHRS_Project Scenario</vt:lpstr>
      <vt:lpstr>WHRS Sensitivity Analysis</vt:lpstr>
      <vt:lpstr>Elec Gene 2006</vt:lpstr>
      <vt:lpstr>Elec Gene 2007</vt:lpstr>
      <vt:lpstr>Elec Gene jan-jun 2008</vt:lpstr>
      <vt:lpstr>Elec Gene jul-dec 2008</vt:lpstr>
      <vt:lpstr>Hoja1</vt:lpstr>
      <vt:lpstr>Results!Área_de_extracción</vt:lpstr>
      <vt:lpstr>Baseline_NaturalGas!Área_de_impresión</vt:lpstr>
      <vt:lpstr>'WHRS_Project Scenario'!Área_de_impresión</vt:lpstr>
      <vt:lpstr>'Elec Gene jan-jun 2008'!Títulos_a_imprimir</vt:lpstr>
      <vt:lpstr>'Elec Gene jul-dec 2008'!Títulos_a_imprimir</vt:lpstr>
    </vt:vector>
  </TitlesOfParts>
  <Company>dscl</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Nthangarajan</dc:creator>
  <cp:lastModifiedBy>CO2 Solutions</cp:lastModifiedBy>
  <dcterms:created xsi:type="dcterms:W3CDTF">2007-05-14T09:58:19Z</dcterms:created>
  <dcterms:modified xsi:type="dcterms:W3CDTF">2012-04-13T22:17:32Z</dcterms:modified>
</cp:coreProperties>
</file>