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style3.xml" ContentType="application/vnd.ms-office.chartsty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colors3.xml" ContentType="application/vnd.ms-office.chartcolorstyl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Ekelmans\Downloads\case praeter (1)\case praeter\"/>
    </mc:Choice>
  </mc:AlternateContent>
  <xr:revisionPtr revIDLastSave="0" documentId="13_ncr:1_{AA74621E-4588-415A-A145-DFE1FB5CB294}" xr6:coauthVersionLast="47" xr6:coauthVersionMax="47" xr10:uidLastSave="{00000000-0000-0000-0000-000000000000}"/>
  <bookViews>
    <workbookView xWindow="-28920" yWindow="-120" windowWidth="29040" windowHeight="17520" activeTab="2" xr2:uid="{6733CEAB-9CFF-3C43-A393-C4EBE381B94A}"/>
  </bookViews>
  <sheets>
    <sheet name="Opdracht_1_voorbeeld" sheetId="1" r:id="rId1"/>
    <sheet name="Opdracht_1_CBS" sheetId="4" r:id="rId2"/>
    <sheet name="Opdracht_2_input_output" sheetId="9" r:id="rId3"/>
    <sheet name="Opdracht_2_berekening en output" sheetId="7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7" l="1"/>
  <c r="E11" i="7"/>
  <c r="C3" i="4"/>
  <c r="B4" i="4"/>
  <c r="B3" i="4"/>
  <c r="L6" i="1" l="1"/>
  <c r="D28" i="7"/>
  <c r="D27" i="7"/>
  <c r="D26" i="7"/>
  <c r="G22" i="7"/>
  <c r="H22" i="7"/>
  <c r="K22" i="7"/>
  <c r="K23" i="7" s="1"/>
  <c r="M22" i="7"/>
  <c r="O22" i="7"/>
  <c r="O23" i="7" s="1"/>
  <c r="P22" i="7"/>
  <c r="P23" i="7" s="1"/>
  <c r="F21" i="7"/>
  <c r="G21" i="7"/>
  <c r="H21" i="7"/>
  <c r="I21" i="7"/>
  <c r="J21" i="7"/>
  <c r="K21" i="7"/>
  <c r="L21" i="7"/>
  <c r="M21" i="7"/>
  <c r="N21" i="7"/>
  <c r="O21" i="7"/>
  <c r="P21" i="7"/>
  <c r="E21" i="7"/>
  <c r="F17" i="7"/>
  <c r="G17" i="7"/>
  <c r="H17" i="7"/>
  <c r="I17" i="7"/>
  <c r="J17" i="7"/>
  <c r="K17" i="7"/>
  <c r="L17" i="7"/>
  <c r="M17" i="7"/>
  <c r="N17" i="7"/>
  <c r="O17" i="7"/>
  <c r="P17" i="7"/>
  <c r="E17" i="7"/>
  <c r="F16" i="7"/>
  <c r="G16" i="7"/>
  <c r="H16" i="7"/>
  <c r="I16" i="7"/>
  <c r="J16" i="7"/>
  <c r="K16" i="7"/>
  <c r="L16" i="7"/>
  <c r="M16" i="7"/>
  <c r="N16" i="7"/>
  <c r="O16" i="7"/>
  <c r="P16" i="7"/>
  <c r="E16" i="7"/>
  <c r="E15" i="7"/>
  <c r="F15" i="7"/>
  <c r="F19" i="7" s="1"/>
  <c r="G15" i="7"/>
  <c r="G19" i="7" s="1"/>
  <c r="H15" i="7"/>
  <c r="I15" i="7"/>
  <c r="J15" i="7"/>
  <c r="K15" i="7"/>
  <c r="L15" i="7"/>
  <c r="M15" i="7"/>
  <c r="N15" i="7"/>
  <c r="O15" i="7"/>
  <c r="P15" i="7"/>
  <c r="D15" i="7"/>
  <c r="D19" i="7" s="1"/>
  <c r="D25" i="7" s="1"/>
  <c r="F12" i="7"/>
  <c r="G12" i="7"/>
  <c r="H12" i="7"/>
  <c r="I12" i="7"/>
  <c r="J12" i="7"/>
  <c r="J19" i="7" s="1"/>
  <c r="K12" i="7"/>
  <c r="L12" i="7"/>
  <c r="M12" i="7"/>
  <c r="N12" i="7"/>
  <c r="O12" i="7"/>
  <c r="P12" i="7"/>
  <c r="F11" i="7"/>
  <c r="G11" i="7"/>
  <c r="H11" i="7"/>
  <c r="I11" i="7"/>
  <c r="J11" i="7"/>
  <c r="K11" i="7"/>
  <c r="L11" i="7"/>
  <c r="M11" i="7"/>
  <c r="N11" i="7"/>
  <c r="O11" i="7"/>
  <c r="P11" i="7"/>
  <c r="C11" i="7"/>
  <c r="C8" i="7"/>
  <c r="B8" i="7"/>
  <c r="AG5" i="1"/>
  <c r="M19" i="7"/>
  <c r="C17" i="7"/>
  <c r="C16" i="7"/>
  <c r="C15" i="7"/>
  <c r="C12" i="7"/>
  <c r="K19" i="7"/>
  <c r="C32" i="9"/>
  <c r="E22" i="7" s="1"/>
  <c r="C31" i="9"/>
  <c r="C30" i="9"/>
  <c r="K8" i="1"/>
  <c r="AF5" i="1" s="1"/>
  <c r="J8" i="1"/>
  <c r="AE5" i="1" s="1"/>
  <c r="L8" i="1"/>
  <c r="L7" i="1"/>
  <c r="K7" i="1"/>
  <c r="K6" i="1"/>
  <c r="J7" i="1"/>
  <c r="J6" i="1"/>
  <c r="N22" i="7" l="1"/>
  <c r="N23" i="7" s="1"/>
  <c r="N26" i="7" s="1"/>
  <c r="L22" i="7"/>
  <c r="L23" i="7" s="1"/>
  <c r="L26" i="7" s="1"/>
  <c r="J22" i="7"/>
  <c r="J23" i="7" s="1"/>
  <c r="J26" i="7" s="1"/>
  <c r="I22" i="7"/>
  <c r="I23" i="7" s="1"/>
  <c r="I26" i="7" s="1"/>
  <c r="F22" i="7"/>
  <c r="F23" i="7" s="1"/>
  <c r="F26" i="7" s="1"/>
  <c r="P26" i="7"/>
  <c r="P27" i="7"/>
  <c r="K27" i="7"/>
  <c r="K26" i="7"/>
  <c r="O27" i="7"/>
  <c r="O26" i="7"/>
  <c r="H23" i="7"/>
  <c r="H26" i="7" s="1"/>
  <c r="G23" i="7"/>
  <c r="G26" i="7" s="1"/>
  <c r="M23" i="7"/>
  <c r="M26" i="7" s="1"/>
  <c r="E19" i="7"/>
  <c r="E23" i="7" s="1"/>
  <c r="E26" i="7" s="1"/>
  <c r="H19" i="7"/>
  <c r="P19" i="7"/>
  <c r="L19" i="7"/>
  <c r="O19" i="7"/>
  <c r="O25" i="7" s="1"/>
  <c r="N19" i="7"/>
  <c r="I19" i="7"/>
  <c r="K25" i="7"/>
  <c r="E27" i="7" l="1"/>
  <c r="L27" i="7"/>
  <c r="I25" i="7"/>
  <c r="I27" i="7"/>
  <c r="J27" i="7"/>
  <c r="J25" i="7"/>
  <c r="G27" i="7"/>
  <c r="H25" i="7"/>
  <c r="E25" i="7"/>
  <c r="G25" i="7"/>
  <c r="N27" i="7"/>
  <c r="N28" i="7" s="1"/>
  <c r="H27" i="7"/>
  <c r="M25" i="7"/>
  <c r="F25" i="7"/>
  <c r="C37" i="9"/>
  <c r="O28" i="7"/>
  <c r="I28" i="7"/>
  <c r="F28" i="7"/>
  <c r="G28" i="7"/>
  <c r="H28" i="7"/>
  <c r="K28" i="7"/>
  <c r="L28" i="7"/>
  <c r="E28" i="7"/>
  <c r="M28" i="7"/>
  <c r="P28" i="7"/>
  <c r="J28" i="7"/>
  <c r="M27" i="7"/>
  <c r="F27" i="7"/>
  <c r="P25" i="7"/>
  <c r="N25" i="7"/>
  <c r="L25" i="7"/>
  <c r="C38" i="9" l="1"/>
  <c r="C39" i="9"/>
  <c r="C40" i="9"/>
  <c r="E20" i="1"/>
  <c r="B5" i="4" l="1"/>
  <c r="C5" i="4" l="1"/>
  <c r="D16" i="1"/>
  <c r="B6" i="4" l="1" a="1"/>
  <c r="B6" i="4" s="1"/>
  <c r="B9" i="4" s="1"/>
  <c r="K11" i="1" s="1"/>
  <c r="B7" i="4" a="1"/>
  <c r="B7" i="4" s="1"/>
  <c r="B10" i="4" l="1"/>
  <c r="K12" i="1" s="1"/>
  <c r="J12" i="1"/>
  <c r="J11" i="1"/>
  <c r="AG6" i="1" l="1"/>
  <c r="K13" i="1"/>
  <c r="AF6" i="1" s="1"/>
  <c r="L11" i="1"/>
  <c r="L12" i="1"/>
  <c r="J13" i="1"/>
  <c r="AE6" i="1" s="1"/>
  <c r="L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<sst xmlns="http://schemas.openxmlformats.org/spreadsheetml/2006/main" count="314" uniqueCount="133">
  <si>
    <t>m3</t>
  </si>
  <si>
    <t>Verdiepingen</t>
  </si>
  <si>
    <t>kWh</t>
  </si>
  <si>
    <t>elektriciteit</t>
  </si>
  <si>
    <t>energetische waarde gas-elektra</t>
  </si>
  <si>
    <t>Bouwjaar</t>
  </si>
  <si>
    <t>Investering</t>
  </si>
  <si>
    <t>bouwjaar</t>
  </si>
  <si>
    <t>Energiekentallen utiliteitsbouw dienstensector; bouwjaarklasse</t>
  </si>
  <si>
    <t>Onderwerp</t>
  </si>
  <si>
    <t>Gemiddeld aardgasverbruik</t>
  </si>
  <si>
    <t>Gemiddeld elektriciteitsverbruik</t>
  </si>
  <si>
    <t>Oppervlakteklasse</t>
  </si>
  <si>
    <t>0 tot 250 m²</t>
  </si>
  <si>
    <t>250 tot 500 m²</t>
  </si>
  <si>
    <t>500 tot 1 000 m²</t>
  </si>
  <si>
    <t>1 000 tot 2 500 m²</t>
  </si>
  <si>
    <t>2 500 tot 5 000 m²</t>
  </si>
  <si>
    <t>Utiliteitsbouw dienstensector</t>
  </si>
  <si>
    <t>Bouwjaarklasse</t>
  </si>
  <si>
    <t>m3/m2</t>
  </si>
  <si>
    <t>kWh/m2</t>
  </si>
  <si>
    <t>Detailhandel met koeling</t>
  </si>
  <si>
    <t>.</t>
  </si>
  <si>
    <t>Detailhandel zonder koeling</t>
  </si>
  <si>
    <t>Groothandel zonder koeling</t>
  </si>
  <si>
    <t>Autobedrijf: showroom en garage</t>
  </si>
  <si>
    <t>Autobedrijf: autoschadeherstelbedrijven</t>
  </si>
  <si>
    <t>Horeca: café</t>
  </si>
  <si>
    <t>Horeca: restaurant</t>
  </si>
  <si>
    <t>Horeca: cafetaria</t>
  </si>
  <si>
    <t>Horeca: hotels, motels</t>
  </si>
  <si>
    <t>Kantoor: overheid</t>
  </si>
  <si>
    <t>Kantoor: overig</t>
  </si>
  <si>
    <t>Onderwijs: primair</t>
  </si>
  <si>
    <t>Gezondheidszorg: bijeenkomst</t>
  </si>
  <si>
    <t>Gezondheidszorg: praktijk</t>
  </si>
  <si>
    <t>Gezondheidszorg: tehuis</t>
  </si>
  <si>
    <t>Recreatie: binnensport</t>
  </si>
  <si>
    <t>Recreatie: buitensport</t>
  </si>
  <si>
    <t>Overig: religie</t>
  </si>
  <si>
    <t>categorie</t>
  </si>
  <si>
    <t>M2</t>
  </si>
  <si>
    <t>Oppervlakte</t>
  </si>
  <si>
    <t xml:space="preserve">categorie </t>
  </si>
  <si>
    <t>MAX</t>
  </si>
  <si>
    <t>MIN</t>
  </si>
  <si>
    <t>CAT</t>
  </si>
  <si>
    <t>per m2</t>
  </si>
  <si>
    <t>Huidig verbruik</t>
  </si>
  <si>
    <t>Gemiddeld verbruik</t>
  </si>
  <si>
    <t>Gas</t>
  </si>
  <si>
    <t>CATEGORIE</t>
  </si>
  <si>
    <t>Categorie</t>
  </si>
  <si>
    <t>Totaal</t>
  </si>
  <si>
    <t>Gemiddeld verbruik (aardgas) per m2</t>
  </si>
  <si>
    <t>Gemiddeld verbruik (elektriciteit) per m2</t>
  </si>
  <si>
    <t>Gemiddelde hoogte plafond</t>
  </si>
  <si>
    <t>Gemiddeld verbruik (aardgas) per m3</t>
  </si>
  <si>
    <t>Gemiddeld verbruik (elektriciteit) per m3</t>
  </si>
  <si>
    <t>per m3</t>
  </si>
  <si>
    <t>Besparing</t>
  </si>
  <si>
    <t>Naam</t>
  </si>
  <si>
    <t>Straat + postcode</t>
  </si>
  <si>
    <t>Plaats</t>
  </si>
  <si>
    <t>Den Haag</t>
  </si>
  <si>
    <t>Bedrijf  X</t>
  </si>
  <si>
    <t>Verbruik (huidig)</t>
  </si>
  <si>
    <t>INPUT</t>
  </si>
  <si>
    <t>Gegevens</t>
  </si>
  <si>
    <t>Pand</t>
  </si>
  <si>
    <t>factor</t>
  </si>
  <si>
    <t xml:space="preserve">Oppervlakte </t>
  </si>
  <si>
    <t>m2</t>
  </si>
  <si>
    <t>m</t>
  </si>
  <si>
    <t>Hoogte (etage)</t>
  </si>
  <si>
    <t>Totaal (factor)</t>
  </si>
  <si>
    <t>Jaar</t>
  </si>
  <si>
    <t>Inkomsten</t>
  </si>
  <si>
    <t>OUTPUT</t>
  </si>
  <si>
    <t>Toepassing</t>
  </si>
  <si>
    <t xml:space="preserve">Kosten </t>
  </si>
  <si>
    <t>Vaste exploitatiekosten</t>
  </si>
  <si>
    <t>Herinvestering</t>
  </si>
  <si>
    <t>EBITDA</t>
  </si>
  <si>
    <t>Lists</t>
  </si>
  <si>
    <t>Ja</t>
  </si>
  <si>
    <t>Nee</t>
  </si>
  <si>
    <t>Kosten</t>
  </si>
  <si>
    <t xml:space="preserve">Eenmalige kosten </t>
  </si>
  <si>
    <t>Termijn</t>
  </si>
  <si>
    <t>jaar</t>
  </si>
  <si>
    <t>Subsidie (eenmalig)</t>
  </si>
  <si>
    <t>Subsidie (jaarlijks)</t>
  </si>
  <si>
    <t>Algemeen</t>
  </si>
  <si>
    <t xml:space="preserve">Afschrijvingskosten </t>
  </si>
  <si>
    <t xml:space="preserve">Afschrijving </t>
  </si>
  <si>
    <t>Inflatie</t>
  </si>
  <si>
    <t>Lineair</t>
  </si>
  <si>
    <t xml:space="preserve">Rente VV </t>
  </si>
  <si>
    <t xml:space="preserve">Eigen Vermogen </t>
  </si>
  <si>
    <t>Aflossing</t>
  </si>
  <si>
    <t>Afschrijving</t>
  </si>
  <si>
    <t>Financieringskosten</t>
  </si>
  <si>
    <t>Belasting</t>
  </si>
  <si>
    <t>Winst na belasting</t>
  </si>
  <si>
    <t>1.</t>
  </si>
  <si>
    <t>Financiering</t>
  </si>
  <si>
    <t>Totale investering</t>
  </si>
  <si>
    <t>Restwaarde</t>
  </si>
  <si>
    <t>Infrarood</t>
  </si>
  <si>
    <t>IRR</t>
  </si>
  <si>
    <t>REV</t>
  </si>
  <si>
    <t>Cashflow IRR</t>
  </si>
  <si>
    <t>Cashflow REV</t>
  </si>
  <si>
    <t>TVT</t>
  </si>
  <si>
    <t>Postcode</t>
  </si>
  <si>
    <t>2596CC</t>
  </si>
  <si>
    <t>Nassau Ouwerkerkstraat 3</t>
  </si>
  <si>
    <t>Per m3</t>
  </si>
  <si>
    <t>Gas (m3)</t>
  </si>
  <si>
    <t>Elektriciteit (kWh)</t>
  </si>
  <si>
    <t>Per m2</t>
  </si>
  <si>
    <t>inputs</t>
  </si>
  <si>
    <t>output</t>
  </si>
  <si>
    <t>INPUT UIT tab Opdracht_1</t>
  </si>
  <si>
    <t>Stamgegevens</t>
  </si>
  <si>
    <t>INPUTS</t>
  </si>
  <si>
    <t>OUTPUTS</t>
  </si>
  <si>
    <t>STAMGEGEVENS</t>
  </si>
  <si>
    <t>LEGENDA</t>
  </si>
  <si>
    <t>Eventueel output opdracht 3</t>
  </si>
  <si>
    <t>Voorbeeld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</si>
</sst>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&quot;€&quot;\ #,##0"/>
    <numFmt numFmtId="166" formatCode="_(* #,##0_);_(* \(#,##0\);_(* &quot;-&quot;??_);_(@_)"/>
    <numFmt numFmtId="167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164" fontId="0" fillId="0" borderId="0" xfId="2" applyNumberFormat="1" applyFont="1"/>
    <xf numFmtId="164" fontId="0" fillId="3" borderId="0" xfId="2" applyNumberFormat="1" applyFont="1" applyFill="1"/>
    <xf numFmtId="165" fontId="0" fillId="3" borderId="0" xfId="0" applyNumberFormat="1" applyFill="1"/>
    <xf numFmtId="166" fontId="0" fillId="3" borderId="0" xfId="0" applyNumberFormat="1" applyFill="1"/>
    <xf numFmtId="166" fontId="0" fillId="3" borderId="0" xfId="2" applyNumberFormat="1" applyFont="1" applyFill="1"/>
    <xf numFmtId="0" fontId="2" fillId="0" borderId="0" xfId="0" applyFont="1" applyAlignment="1">
      <alignment horizontal="right" indent="1"/>
    </xf>
    <xf numFmtId="9" fontId="0" fillId="2" borderId="0" xfId="0" applyNumberFormat="1" applyFill="1"/>
    <xf numFmtId="0" fontId="0" fillId="2" borderId="0" xfId="0" applyFill="1" applyAlignment="1">
      <alignment horizontal="right"/>
    </xf>
    <xf numFmtId="9" fontId="0" fillId="2" borderId="0" xfId="1" applyFont="1" applyFill="1"/>
    <xf numFmtId="10" fontId="0" fillId="2" borderId="0" xfId="1" applyNumberFormat="1" applyFont="1" applyFill="1"/>
    <xf numFmtId="10" fontId="0" fillId="2" borderId="0" xfId="0" applyNumberFormat="1" applyFill="1"/>
    <xf numFmtId="164" fontId="0" fillId="3" borderId="0" xfId="0" applyNumberFormat="1" applyFill="1"/>
    <xf numFmtId="164" fontId="0" fillId="4" borderId="0" xfId="2" applyNumberFormat="1" applyFont="1" applyFill="1"/>
    <xf numFmtId="164" fontId="0" fillId="5" borderId="0" xfId="0" applyNumberFormat="1" applyFill="1"/>
    <xf numFmtId="0" fontId="2" fillId="4" borderId="0" xfId="0" applyFont="1" applyFill="1" applyAlignment="1">
      <alignment horizontal="right"/>
    </xf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horizontal="left" indent="1"/>
    </xf>
    <xf numFmtId="0" fontId="2" fillId="4" borderId="0" xfId="0" applyFont="1" applyFill="1"/>
    <xf numFmtId="43" fontId="0" fillId="0" borderId="0" xfId="0" applyNumberFormat="1"/>
    <xf numFmtId="43" fontId="0" fillId="4" borderId="0" xfId="2" applyFont="1" applyFill="1"/>
    <xf numFmtId="43" fontId="0" fillId="4" borderId="0" xfId="2" applyFont="1" applyFill="1" applyAlignment="1">
      <alignment horizontal="right"/>
    </xf>
    <xf numFmtId="164" fontId="0" fillId="4" borderId="0" xfId="2" applyNumberFormat="1" applyFont="1" applyFill="1" applyAlignment="1">
      <alignment horizontal="right"/>
    </xf>
    <xf numFmtId="9" fontId="0" fillId="4" borderId="0" xfId="1" applyFont="1" applyFill="1"/>
    <xf numFmtId="9" fontId="0" fillId="4" borderId="0" xfId="0" applyNumberFormat="1" applyFill="1"/>
    <xf numFmtId="164" fontId="0" fillId="6" borderId="0" xfId="2" applyNumberFormat="1" applyFont="1" applyFill="1"/>
    <xf numFmtId="0" fontId="0" fillId="6" borderId="0" xfId="0" applyFill="1"/>
    <xf numFmtId="167" fontId="0" fillId="0" borderId="0" xfId="0" applyNumberFormat="1"/>
    <xf numFmtId="0" fontId="0" fillId="0" borderId="3" xfId="0" applyBorder="1"/>
    <xf numFmtId="0" fontId="0" fillId="7" borderId="0" xfId="0" applyFill="1"/>
    <xf numFmtId="0" fontId="0" fillId="7" borderId="4" xfId="0" applyFill="1" applyBorder="1"/>
    <xf numFmtId="9" fontId="0" fillId="2" borderId="5" xfId="1" applyFont="1" applyFill="1" applyBorder="1"/>
    <xf numFmtId="0" fontId="2" fillId="8" borderId="3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4" fillId="9" borderId="0" xfId="0" applyFont="1" applyFill="1"/>
    <xf numFmtId="10" fontId="5" fillId="9" borderId="0" xfId="1" applyNumberFormat="1" applyFont="1" applyFill="1"/>
    <xf numFmtId="164" fontId="5" fillId="9" borderId="0" xfId="2" applyNumberFormat="1" applyFont="1" applyFill="1"/>
    <xf numFmtId="43" fontId="5" fillId="9" borderId="0" xfId="2" applyFont="1" applyFill="1"/>
    <xf numFmtId="0" fontId="5" fillId="9" borderId="0" xfId="0" applyFont="1" applyFill="1" applyAlignment="1">
      <alignment horizontal="left"/>
    </xf>
    <xf numFmtId="0" fontId="5" fillId="9" borderId="0" xfId="0" applyFont="1" applyFill="1"/>
    <xf numFmtId="0" fontId="0" fillId="9" borderId="0" xfId="0" applyFill="1"/>
    <xf numFmtId="0" fontId="0" fillId="9" borderId="0" xfId="0" applyFill="1" applyAlignment="1">
      <alignment horizontal="right"/>
    </xf>
    <xf numFmtId="0" fontId="5" fillId="9" borderId="0" xfId="0" applyFont="1" applyFill="1" applyAlignment="1">
      <alignment horizontal="right"/>
    </xf>
    <xf numFmtId="0" fontId="4" fillId="9" borderId="0" xfId="0" applyFont="1" applyFill="1" applyAlignment="1">
      <alignment horizontal="right"/>
    </xf>
    <xf numFmtId="166" fontId="5" fillId="9" borderId="0" xfId="0" applyNumberFormat="1" applyFont="1" applyFill="1"/>
    <xf numFmtId="166" fontId="4" fillId="9" borderId="0" xfId="0" applyNumberFormat="1" applyFont="1" applyFill="1"/>
    <xf numFmtId="0" fontId="5" fillId="9" borderId="1" xfId="0" applyFont="1" applyFill="1" applyBorder="1" applyAlignment="1">
      <alignment horizontal="left"/>
    </xf>
    <xf numFmtId="166" fontId="4" fillId="9" borderId="1" xfId="0" applyNumberFormat="1" applyFont="1" applyFill="1" applyBorder="1"/>
    <xf numFmtId="0" fontId="4" fillId="9" borderId="0" xfId="0" applyFont="1" applyFill="1" applyAlignment="1">
      <alignment horizontal="left" indent="1"/>
    </xf>
    <xf numFmtId="166" fontId="4" fillId="9" borderId="0" xfId="2" applyNumberFormat="1" applyFont="1" applyFill="1"/>
    <xf numFmtId="166" fontId="4" fillId="9" borderId="0" xfId="0" applyNumberFormat="1" applyFont="1" applyFill="1" applyAlignment="1">
      <alignment horizontal="left"/>
    </xf>
    <xf numFmtId="166" fontId="4" fillId="9" borderId="0" xfId="2" applyNumberFormat="1" applyFont="1" applyFill="1" applyBorder="1"/>
    <xf numFmtId="0" fontId="5" fillId="9" borderId="2" xfId="0" applyFont="1" applyFill="1" applyBorder="1"/>
    <xf numFmtId="166" fontId="5" fillId="9" borderId="2" xfId="0" applyNumberFormat="1" applyFont="1" applyFill="1" applyBorder="1"/>
    <xf numFmtId="167" fontId="4" fillId="9" borderId="0" xfId="0" applyNumberFormat="1" applyFont="1" applyFill="1"/>
    <xf numFmtId="2" fontId="0" fillId="9" borderId="0" xfId="0" applyNumberFormat="1" applyFill="1"/>
    <xf numFmtId="0" fontId="0" fillId="9" borderId="5" xfId="0" applyFill="1" applyBorder="1"/>
    <xf numFmtId="0" fontId="0" fillId="9" borderId="4" xfId="0" applyFill="1" applyBorder="1"/>
    <xf numFmtId="0" fontId="0" fillId="0" borderId="0" xfId="0" applyFill="1"/>
    <xf numFmtId="0" fontId="6" fillId="0" borderId="0" xfId="0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C65911"/>
      <color rgb="FF70AD47"/>
      <color rgb="FF2B3E4E"/>
      <color rgb="FFDFE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Huidig</a:t>
            </a:r>
            <a:r>
              <a:rPr lang="en-GB" baseline="0"/>
              <a:t> verbruik t.o.v. gemiddeld verbruik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Opdracht_1_voorbeeld!$AD$5</c:f>
              <c:strCache>
                <c:ptCount val="1"/>
                <c:pt idx="0">
                  <c:v>Huidig verbruik</c:v>
                </c:pt>
              </c:strCache>
            </c:strRef>
          </c:tx>
          <c:spPr>
            <a:solidFill>
              <a:srgbClr val="2B3E4E"/>
            </a:solidFill>
            <a:ln>
              <a:noFill/>
            </a:ln>
            <a:effectLst/>
          </c:spPr>
          <c:invertIfNegative val="0"/>
          <c:cat>
            <c:strRef>
              <c:f>Opdracht_1_voorbeeld!$AE$4:$AF$4</c:f>
              <c:strCache>
                <c:ptCount val="2"/>
                <c:pt idx="0">
                  <c:v>per m2</c:v>
                </c:pt>
                <c:pt idx="1">
                  <c:v>per m3</c:v>
                </c:pt>
              </c:strCache>
            </c:strRef>
          </c:cat>
          <c:val>
            <c:numRef>
              <c:f>Opdracht_1_voorbeeld!$AE$5:$AF$5</c:f>
              <c:numCache>
                <c:formatCode>_(* #,##0.00_);_(* \(#,##0.00\);_(* "-"??_);_(@_)</c:formatCode>
                <c:ptCount val="2"/>
                <c:pt idx="0">
                  <c:v>265.48</c:v>
                </c:pt>
                <c:pt idx="1">
                  <c:v>88.493333333333339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D-0A44-8D07-59723D6E954A}"/>
            </c:ext>
          </c:extLst>
        </c:ser>
        <c:ser>
          <c:idx val="1"/>
          <c:order val="1"/>
          <c:tx>
            <c:strRef>
              <c:f>Opdracht_1_voorbeeld!$AD$6</c:f>
              <c:strCache>
                <c:ptCount val="1"/>
                <c:pt idx="0">
                  <c:v>Gemiddeld verbruik</c:v>
                </c:pt>
              </c:strCache>
            </c:strRef>
          </c:tx>
          <c:spPr>
            <a:solidFill>
              <a:srgbClr val="DFEFDC"/>
            </a:solidFill>
            <a:ln>
              <a:noFill/>
            </a:ln>
            <a:effectLst/>
          </c:spPr>
          <c:invertIfNegative val="0"/>
          <c:cat>
            <c:strRef>
              <c:f>Opdracht_1_voorbeeld!$AE$4:$AF$4</c:f>
              <c:strCache>
                <c:ptCount val="2"/>
                <c:pt idx="0">
                  <c:v>per m2</c:v>
                </c:pt>
                <c:pt idx="1">
                  <c:v>per m3</c:v>
                </c:pt>
              </c:strCache>
            </c:strRef>
          </c:cat>
          <c:val>
            <c:numRef>
              <c:f>Opdracht_1_voorbeeld!$AE$6:$AF$6</c:f>
              <c:numCache>
                <c:formatCode>_(* #,##0.00_);_(* \(#,##0.00\);_(* "-"??_);_(@_)</c:formatCode>
                <c:ptCount val="2"/>
                <c:pt idx="0">
                  <c:v>130</c:v>
                </c:pt>
                <c:pt idx="1">
                  <c:v>48.148148148148138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D-0A44-8D07-59723D6E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1303872"/>
        <c:axId val="1219483792"/>
      </c:barChart>
      <c:catAx>
        <c:axId val="122130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19483792"/>
        <c:crosses val="autoZero"/>
        <c:auto val="1"/>
        <c:lblAlgn val="ctr"/>
        <c:lblOffset val="100"/>
        <c:noMultiLvlLbl val="0"/>
      </c:catAx>
      <c:valAx>
        <c:axId val="12194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2130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Rendementen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Opdracht_2_input_output!$AQ$2</c:f>
              <c:strCache>
                <c:ptCount val="1"/>
              </c:strCache>
            </c:strRef>
          </c:tx>
          <c:spPr>
            <a:solidFill>
              <a:srgbClr val="2B3E4E"/>
            </a:solidFill>
            <a:ln>
              <a:noFill/>
            </a:ln>
            <a:effectLst/>
          </c:spPr>
          <c:invertIfNegative val="0"/>
          <c:cat>
            <c:numRef>
              <c:f>Opdracht_2_input_output!$AP$3:$AP$7</c:f>
              <c:numCache>
                <c:formatCode>General</c:formatCode>
                <c:ptCount val="5"/>
              </c:numCache>
            </c:numRef>
          </c:cat>
          <c:val>
            <c:numRef>
              <c:f>Opdracht_2_input_output!$AQ$3:$AQ$7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EFF7-E54B-A4CF-314A3C300A69}"/>
            </c:ext>
          </c:extLst>
        </c:ser>
        <c:ser>
          <c:idx val="1"/>
          <c:order val="1"/>
          <c:tx>
            <c:strRef>
              <c:f>Opdracht_2_input_output!$AR$2</c:f>
              <c:strCache>
                <c:ptCount val="1"/>
              </c:strCache>
            </c:strRef>
          </c:tx>
          <c:spPr>
            <a:solidFill>
              <a:srgbClr val="DFEFDC"/>
            </a:solidFill>
            <a:ln>
              <a:noFill/>
            </a:ln>
            <a:effectLst/>
          </c:spPr>
          <c:invertIfNegative val="0"/>
          <c:cat>
            <c:numRef>
              <c:f>Opdracht_2_input_output!$AP$3:$AP$7</c:f>
              <c:numCache>
                <c:formatCode>General</c:formatCode>
                <c:ptCount val="5"/>
              </c:numCache>
            </c:numRef>
          </c:cat>
          <c:val>
            <c:numRef>
              <c:f>Opdracht_2_input_output!$AR$3:$AR$7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EFF7-E54B-A4CF-314A3C300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40959"/>
        <c:axId val="1196361327"/>
      </c:barChart>
      <c:catAx>
        <c:axId val="11365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96361327"/>
        <c:crosses val="autoZero"/>
        <c:auto val="1"/>
        <c:lblAlgn val="ctr"/>
        <c:lblOffset val="100"/>
        <c:noMultiLvlLbl val="0"/>
      </c:catAx>
      <c:valAx>
        <c:axId val="11963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65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Opdracht_2_input_output!$AQ$9</c:f>
              <c:strCache>
                <c:ptCount val="1"/>
              </c:strCache>
            </c:strRef>
          </c:tx>
          <c:spPr>
            <a:solidFill>
              <a:srgbClr val="2B3E4E"/>
            </a:solidFill>
            <a:ln>
              <a:noFill/>
            </a:ln>
            <a:effectLst/>
          </c:spPr>
          <c:invertIfNegative val="0"/>
          <c:cat>
            <c:numRef>
              <c:f>Opdracht_2_input_output!$AP$10:$AP$14</c:f>
              <c:numCache>
                <c:formatCode>General</c:formatCode>
                <c:ptCount val="5"/>
              </c:numCache>
            </c:numRef>
          </c:cat>
          <c:val>
            <c:numRef>
              <c:f>Opdracht_2_input_output!$AQ$10:$AQ$14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EAE-7E46-855F-2979ACDF9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40959"/>
        <c:axId val="1196361327"/>
      </c:barChart>
      <c:catAx>
        <c:axId val="11365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96361327"/>
        <c:crosses val="autoZero"/>
        <c:auto val="1"/>
        <c:lblAlgn val="ctr"/>
        <c:lblOffset val="100"/>
        <c:noMultiLvlLbl val="0"/>
      </c:catAx>
      <c:valAx>
        <c:axId val="11963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65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Terugverdientijd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Opdracht_2_input_output!$AQ$16</c:f>
              <c:strCache>
                <c:ptCount val="1"/>
              </c:strCache>
            </c:strRef>
          </c:tx>
          <c:spPr>
            <a:solidFill>
              <a:srgbClr val="2B3E4E"/>
            </a:solidFill>
            <a:ln>
              <a:noFill/>
            </a:ln>
            <a:effectLst/>
          </c:spPr>
          <c:invertIfNegative val="0"/>
          <c:cat>
            <c:numRef>
              <c:f>Opdracht_2_input_output!$AP$17:$AP$21</c:f>
              <c:numCache>
                <c:formatCode>General</c:formatCode>
                <c:ptCount val="5"/>
              </c:numCache>
            </c:numRef>
          </c:cat>
          <c:val>
            <c:numRef>
              <c:f>Opdracht_2_input_output!$AQ$17:$AQ$21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E38-0A4B-8F90-4A5311376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40959"/>
        <c:axId val="1196361327"/>
      </c:barChart>
      <c:catAx>
        <c:axId val="11365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96361327"/>
        <c:crosses val="autoZero"/>
        <c:auto val="1"/>
        <c:lblAlgn val="ctr"/>
        <c:lblOffset val="100"/>
        <c:noMultiLvlLbl val="0"/>
      </c:catAx>
      <c:valAx>
        <c:axId val="11963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65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3</xdr:row>
      <xdr:rowOff>50800</xdr:rowOff>
    </xdr:from>
    <xdr:to>
      <xdr:col>21</xdr:col>
      <xdr:colOff>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FB2C3-EA3E-0A4A-AB02-6B3E794E7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793750</xdr:colOff>
      <xdr:row>3</xdr:row>
      <xdr:rowOff>63500</xdr:rowOff>
    </xdr:from>
    <xdr:to>
      <xdr:col>32</xdr:col>
      <xdr:colOff>228600</xdr:colOff>
      <xdr:row>22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9E1684-E660-6346-9AA6-84B34FCD2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787400</xdr:colOff>
      <xdr:row>23</xdr:row>
      <xdr:rowOff>101600</xdr:rowOff>
    </xdr:from>
    <xdr:to>
      <xdr:col>32</xdr:col>
      <xdr:colOff>222250</xdr:colOff>
      <xdr:row>42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7D1AFD-84A1-964C-BAC8-444AAE4A8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787400</xdr:colOff>
      <xdr:row>44</xdr:row>
      <xdr:rowOff>76200</xdr:rowOff>
    </xdr:from>
    <xdr:to>
      <xdr:col>32</xdr:col>
      <xdr:colOff>222250</xdr:colOff>
      <xdr:row>63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FDDAA3-3455-BB48-8D10-D5C1FF96C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arlotte\Downloads\UseCase.xlsx" TargetMode="External"/><Relationship Id="rId1" Type="http://schemas.openxmlformats.org/officeDocument/2006/relationships/externalLinkPath" Target="/Users/Charlotte/Downloads/Use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dracht_1"/>
      <sheetName val="Opdracht_2_input_output"/>
      <sheetName val="Opdracht_2_rekenmodel"/>
      <sheetName val="Gemiddelden energieverbruik"/>
    </sheetNames>
    <sheetDataSet>
      <sheetData sheetId="0"/>
      <sheetData sheetId="1">
        <row r="12">
          <cell r="A12" t="str">
            <v>1.</v>
          </cell>
          <cell r="B12" t="str">
            <v>Infrarood</v>
          </cell>
        </row>
        <row r="21">
          <cell r="B21" t="str">
            <v>Besparing</v>
          </cell>
        </row>
        <row r="22">
          <cell r="B22" t="str">
            <v>Subsidie (jaarlijks)</v>
          </cell>
        </row>
        <row r="25">
          <cell r="B25" t="str">
            <v xml:space="preserve">Eenmalige kosten </v>
          </cell>
        </row>
        <row r="26">
          <cell r="B26" t="str">
            <v>Vaste exploitatiekosten</v>
          </cell>
        </row>
        <row r="27">
          <cell r="B27" t="str">
            <v>Herinvestering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BFA4-770D-AF43-8E2E-02D18D858BBE}">
  <dimension ref="B1:AG50"/>
  <sheetViews>
    <sheetView showGridLines="0" zoomScaleNormal="100" workbookViewId="0">
      <selection activeCell="I22" sqref="I22"/>
    </sheetView>
  </sheetViews>
  <sheetFormatPr defaultColWidth="10.75" defaultRowHeight="15.75" x14ac:dyDescent="0.25"/>
  <cols>
    <col min="1" max="1" width="4.625" customWidth="1"/>
    <col min="2" max="2" width="3.375" customWidth="1"/>
    <col min="3" max="3" width="28.625" customWidth="1"/>
    <col min="4" max="4" width="24.875" customWidth="1"/>
    <col min="5" max="5" width="6.625" style="3" customWidth="1"/>
    <col min="6" max="6" width="3.375" customWidth="1"/>
    <col min="7" max="7" width="9" customWidth="1"/>
    <col min="8" max="8" width="3.625" customWidth="1"/>
    <col min="9" max="9" width="26.5" customWidth="1"/>
    <col min="10" max="10" width="12.125" customWidth="1"/>
    <col min="11" max="11" width="14.5" customWidth="1"/>
    <col min="12" max="12" width="14.125" customWidth="1"/>
    <col min="13" max="13" width="4.5" customWidth="1"/>
    <col min="14" max="14" width="12" customWidth="1"/>
    <col min="15" max="15" width="4.125" customWidth="1"/>
    <col min="33" max="33" width="12.125" bestFit="1" customWidth="1"/>
  </cols>
  <sheetData>
    <row r="1" spans="2:33" x14ac:dyDescent="0.25">
      <c r="Z1" t="s">
        <v>85</v>
      </c>
    </row>
    <row r="2" spans="2:33" ht="27" thickBot="1" x14ac:dyDescent="0.45">
      <c r="C2" s="73" t="s">
        <v>132</v>
      </c>
    </row>
    <row r="3" spans="2:33" x14ac:dyDescent="0.25">
      <c r="C3" s="2" t="s">
        <v>68</v>
      </c>
      <c r="G3" s="41" t="s">
        <v>130</v>
      </c>
      <c r="I3" s="2" t="s">
        <v>79</v>
      </c>
      <c r="Z3" t="s">
        <v>86</v>
      </c>
    </row>
    <row r="4" spans="2:33" ht="14.1" customHeight="1" x14ac:dyDescent="0.25">
      <c r="B4" s="5"/>
      <c r="C4" s="5"/>
      <c r="D4" s="5"/>
      <c r="E4" s="8"/>
      <c r="F4" s="5"/>
      <c r="G4" s="43" t="s">
        <v>127</v>
      </c>
      <c r="H4" s="5"/>
      <c r="I4" s="5"/>
      <c r="J4" s="5"/>
      <c r="K4" s="5"/>
      <c r="L4" s="5"/>
      <c r="M4" s="5"/>
      <c r="Z4" t="s">
        <v>87</v>
      </c>
      <c r="AE4" s="2" t="s">
        <v>48</v>
      </c>
      <c r="AF4" s="2" t="s">
        <v>60</v>
      </c>
      <c r="AG4" s="2" t="s">
        <v>54</v>
      </c>
    </row>
    <row r="5" spans="2:33" ht="16.5" thickBot="1" x14ac:dyDescent="0.3">
      <c r="B5" s="5"/>
      <c r="C5" s="6" t="s">
        <v>69</v>
      </c>
      <c r="D5" s="5"/>
      <c r="E5" s="8"/>
      <c r="F5" s="5"/>
      <c r="G5" s="70" t="s">
        <v>128</v>
      </c>
      <c r="H5" s="5"/>
      <c r="I5" s="6" t="s">
        <v>49</v>
      </c>
      <c r="J5" s="7" t="s">
        <v>122</v>
      </c>
      <c r="K5" s="7" t="s">
        <v>119</v>
      </c>
      <c r="L5" s="7" t="s">
        <v>54</v>
      </c>
      <c r="M5" s="5"/>
      <c r="AD5" t="s">
        <v>49</v>
      </c>
      <c r="AE5" s="32">
        <f>J8</f>
        <v>265.48</v>
      </c>
      <c r="AF5" s="32">
        <f>K8</f>
        <v>88.493333333333339</v>
      </c>
      <c r="AG5" s="13">
        <f>D13*D15+D14</f>
        <v>1327400</v>
      </c>
    </row>
    <row r="6" spans="2:33" x14ac:dyDescent="0.25">
      <c r="B6" s="5"/>
      <c r="C6" s="5" t="s">
        <v>62</v>
      </c>
      <c r="D6" s="42" t="s">
        <v>66</v>
      </c>
      <c r="E6" s="8"/>
      <c r="F6" s="5"/>
      <c r="H6" s="5"/>
      <c r="I6" s="5" t="s">
        <v>120</v>
      </c>
      <c r="J6" s="54">
        <f>D13/D22</f>
        <v>26</v>
      </c>
      <c r="K6" s="69">
        <f>D13/(D22*D23)</f>
        <v>8.6666666666666661</v>
      </c>
      <c r="L6" s="54">
        <f>D13</f>
        <v>130000</v>
      </c>
      <c r="M6" s="5"/>
      <c r="AD6" t="s">
        <v>50</v>
      </c>
      <c r="AE6" s="32">
        <f>J13</f>
        <v>130</v>
      </c>
      <c r="AF6" s="32">
        <f>K13</f>
        <v>48.148148148148138</v>
      </c>
      <c r="AG6" s="13">
        <f>(J11*D15+J12)*Opdracht_1_voorbeeld!D22</f>
        <v>650000</v>
      </c>
    </row>
    <row r="7" spans="2:33" x14ac:dyDescent="0.25">
      <c r="B7" s="5"/>
      <c r="C7" s="5" t="s">
        <v>63</v>
      </c>
      <c r="D7" s="42" t="s">
        <v>118</v>
      </c>
      <c r="E7" s="8"/>
      <c r="F7" s="5"/>
      <c r="H7" s="5"/>
      <c r="I7" s="5" t="s">
        <v>121</v>
      </c>
      <c r="J7" s="54">
        <f>D14/D22</f>
        <v>5.48</v>
      </c>
      <c r="K7" s="69">
        <f>D14/(D22*D23)</f>
        <v>1.8266666666666667</v>
      </c>
      <c r="L7" s="54">
        <f>D14</f>
        <v>27400</v>
      </c>
      <c r="M7" s="5"/>
    </row>
    <row r="8" spans="2:33" x14ac:dyDescent="0.25">
      <c r="B8" s="5"/>
      <c r="C8" s="5" t="s">
        <v>116</v>
      </c>
      <c r="D8" s="42" t="s">
        <v>117</v>
      </c>
      <c r="E8" s="8"/>
      <c r="F8" s="5"/>
      <c r="H8" s="5"/>
      <c r="I8" s="5" t="s">
        <v>54</v>
      </c>
      <c r="J8" s="54">
        <f>(D14+D13*D15)/D22</f>
        <v>265.48</v>
      </c>
      <c r="K8" s="69">
        <f>(D14+D13*D15)/(D22*D23)</f>
        <v>88.493333333333339</v>
      </c>
      <c r="L8" s="54">
        <f>D14+D13*D15</f>
        <v>1327400</v>
      </c>
      <c r="M8" s="5"/>
    </row>
    <row r="9" spans="2:33" x14ac:dyDescent="0.25">
      <c r="B9" s="5"/>
      <c r="C9" s="5" t="s">
        <v>64</v>
      </c>
      <c r="D9" s="42" t="s">
        <v>65</v>
      </c>
      <c r="E9" s="8"/>
      <c r="F9" s="5"/>
      <c r="H9" s="5"/>
      <c r="I9" s="5"/>
      <c r="J9" s="5"/>
      <c r="K9" s="5"/>
      <c r="L9" s="5"/>
      <c r="M9" s="5"/>
    </row>
    <row r="10" spans="2:33" x14ac:dyDescent="0.25">
      <c r="B10" s="5"/>
      <c r="C10" s="5"/>
      <c r="D10" s="5"/>
      <c r="E10" s="8"/>
      <c r="F10" s="5"/>
      <c r="H10" s="5"/>
      <c r="I10" s="6" t="s">
        <v>50</v>
      </c>
      <c r="J10" s="7" t="s">
        <v>122</v>
      </c>
      <c r="K10" s="7" t="s">
        <v>119</v>
      </c>
      <c r="L10" s="7" t="s">
        <v>54</v>
      </c>
      <c r="M10" s="5"/>
    </row>
    <row r="11" spans="2:33" x14ac:dyDescent="0.25">
      <c r="B11" s="5"/>
      <c r="C11" s="5"/>
      <c r="D11" s="5"/>
      <c r="E11" s="8"/>
      <c r="F11" s="5"/>
      <c r="H11" s="5"/>
      <c r="I11" s="5" t="s">
        <v>120</v>
      </c>
      <c r="J11" s="54">
        <f>Opdracht_1_CBS!B6</f>
        <v>5.5</v>
      </c>
      <c r="K11" s="69">
        <f>Opdracht_1_CBS!B9</f>
        <v>2.0370370370370368</v>
      </c>
      <c r="L11" s="54">
        <f>J11*D22</f>
        <v>27500</v>
      </c>
      <c r="M11" s="5"/>
    </row>
    <row r="12" spans="2:33" x14ac:dyDescent="0.25">
      <c r="B12" s="5"/>
      <c r="C12" s="6" t="s">
        <v>67</v>
      </c>
      <c r="D12" s="5"/>
      <c r="E12" s="8"/>
      <c r="F12" s="5"/>
      <c r="H12" s="5"/>
      <c r="I12" s="5" t="s">
        <v>121</v>
      </c>
      <c r="J12" s="54">
        <f>Opdracht_1_CBS!B7</f>
        <v>75</v>
      </c>
      <c r="K12" s="69">
        <f>Opdracht_1_CBS!B10</f>
        <v>27.777777777777775</v>
      </c>
      <c r="L12" s="54">
        <f>J12*D22</f>
        <v>375000</v>
      </c>
      <c r="M12" s="5"/>
    </row>
    <row r="13" spans="2:33" x14ac:dyDescent="0.25">
      <c r="B13" s="5"/>
      <c r="C13" s="5" t="s">
        <v>51</v>
      </c>
      <c r="D13" s="42">
        <v>130000</v>
      </c>
      <c r="E13" s="8" t="s">
        <v>0</v>
      </c>
      <c r="F13" s="5"/>
      <c r="H13" s="5"/>
      <c r="I13" s="5" t="s">
        <v>54</v>
      </c>
      <c r="J13" s="54">
        <f>J12+J11*D15</f>
        <v>130</v>
      </c>
      <c r="K13" s="69">
        <f>K12+K11*D15</f>
        <v>48.148148148148138</v>
      </c>
      <c r="L13" s="54">
        <f>L12+L11*D15</f>
        <v>650000</v>
      </c>
      <c r="M13" s="5"/>
    </row>
    <row r="14" spans="2:33" x14ac:dyDescent="0.25">
      <c r="B14" s="5"/>
      <c r="C14" s="5" t="s">
        <v>3</v>
      </c>
      <c r="D14" s="42">
        <v>27400</v>
      </c>
      <c r="E14" s="8" t="s">
        <v>2</v>
      </c>
      <c r="F14" s="5"/>
      <c r="H14" s="5"/>
      <c r="I14" s="5"/>
      <c r="J14" s="5"/>
      <c r="K14" s="5"/>
      <c r="L14" s="5"/>
      <c r="M14" s="5"/>
    </row>
    <row r="15" spans="2:33" x14ac:dyDescent="0.25">
      <c r="B15" s="5"/>
      <c r="C15" s="5" t="s">
        <v>4</v>
      </c>
      <c r="D15" s="42">
        <v>10</v>
      </c>
      <c r="E15" s="8" t="s">
        <v>71</v>
      </c>
      <c r="F15" s="5"/>
    </row>
    <row r="16" spans="2:33" x14ac:dyDescent="0.25">
      <c r="B16" s="5"/>
      <c r="C16" s="5" t="s">
        <v>76</v>
      </c>
      <c r="D16" s="54">
        <f>D15*D14</f>
        <v>274000</v>
      </c>
      <c r="E16" s="8" t="s">
        <v>2</v>
      </c>
      <c r="F16" s="5"/>
      <c r="H16" s="28"/>
      <c r="I16" s="28"/>
      <c r="J16" s="28"/>
      <c r="K16" s="28"/>
      <c r="L16" s="28"/>
      <c r="M16" s="28"/>
    </row>
    <row r="17" spans="2:13" x14ac:dyDescent="0.25">
      <c r="B17" s="5"/>
      <c r="C17" s="5"/>
      <c r="D17" s="5"/>
      <c r="E17" s="8"/>
      <c r="F17" s="5"/>
      <c r="H17" s="28"/>
      <c r="I17" s="31"/>
      <c r="J17" s="27"/>
      <c r="K17" s="27"/>
      <c r="L17" s="27"/>
      <c r="M17" s="28"/>
    </row>
    <row r="18" spans="2:13" x14ac:dyDescent="0.25">
      <c r="B18" s="5"/>
      <c r="C18" s="6" t="s">
        <v>70</v>
      </c>
      <c r="D18" s="5"/>
      <c r="E18" s="8"/>
      <c r="F18" s="5"/>
      <c r="H18" s="28"/>
      <c r="I18" s="28"/>
      <c r="J18" s="33"/>
      <c r="K18" s="33"/>
      <c r="L18" s="34"/>
      <c r="M18" s="28"/>
    </row>
    <row r="19" spans="2:13" x14ac:dyDescent="0.25">
      <c r="B19" s="5"/>
      <c r="C19" s="5" t="s">
        <v>1</v>
      </c>
      <c r="D19" s="42">
        <v>3</v>
      </c>
      <c r="E19" s="8"/>
      <c r="F19" s="5"/>
      <c r="H19" s="28"/>
      <c r="I19" s="28"/>
      <c r="J19" s="28"/>
      <c r="K19" s="28"/>
      <c r="L19" s="28"/>
      <c r="M19" s="28"/>
    </row>
    <row r="20" spans="2:13" x14ac:dyDescent="0.25">
      <c r="B20" s="5"/>
      <c r="C20" s="5" t="s">
        <v>5</v>
      </c>
      <c r="D20" s="42">
        <v>6000</v>
      </c>
      <c r="E20" s="8" t="e">
        <f>VLOOKUP(D20,#REF!,3,TRUE)</f>
        <v>#REF!</v>
      </c>
      <c r="F20" s="5"/>
      <c r="H20" s="28"/>
      <c r="I20" s="28"/>
      <c r="J20" s="33"/>
      <c r="K20" s="35"/>
      <c r="L20" s="28"/>
      <c r="M20" s="28"/>
    </row>
    <row r="21" spans="2:13" x14ac:dyDescent="0.25">
      <c r="B21" s="5"/>
      <c r="C21" s="5" t="s">
        <v>53</v>
      </c>
      <c r="D21" s="42" t="s">
        <v>24</v>
      </c>
      <c r="E21" s="5"/>
      <c r="F21" s="5"/>
      <c r="H21" s="28"/>
      <c r="I21" s="28"/>
      <c r="J21" s="28"/>
      <c r="K21" s="28"/>
      <c r="L21" s="28"/>
      <c r="M21" s="28"/>
    </row>
    <row r="22" spans="2:13" x14ac:dyDescent="0.25">
      <c r="B22" s="5"/>
      <c r="C22" s="5" t="s">
        <v>72</v>
      </c>
      <c r="D22" s="42">
        <v>5000</v>
      </c>
      <c r="E22" s="8" t="s">
        <v>73</v>
      </c>
      <c r="F22" s="5"/>
      <c r="H22" s="28"/>
      <c r="I22" s="31"/>
      <c r="J22" s="27"/>
      <c r="K22" s="27"/>
      <c r="L22" s="27"/>
      <c r="M22" s="28"/>
    </row>
    <row r="23" spans="2:13" x14ac:dyDescent="0.25">
      <c r="B23" s="5"/>
      <c r="C23" s="5" t="s">
        <v>75</v>
      </c>
      <c r="D23" s="42">
        <v>3</v>
      </c>
      <c r="E23" s="8" t="s">
        <v>74</v>
      </c>
      <c r="F23" s="5"/>
      <c r="H23" s="28"/>
      <c r="I23" s="31"/>
      <c r="J23" s="36"/>
      <c r="K23" s="37"/>
      <c r="L23" s="28"/>
      <c r="M23" s="28"/>
    </row>
    <row r="24" spans="2:13" x14ac:dyDescent="0.25">
      <c r="B24" s="5"/>
      <c r="C24" s="5"/>
      <c r="D24" s="5"/>
      <c r="E24" s="8"/>
      <c r="F24" s="5"/>
      <c r="H24" s="28"/>
      <c r="I24" s="28"/>
      <c r="J24" s="33"/>
      <c r="K24" s="33"/>
      <c r="L24" s="25"/>
      <c r="M24" s="28"/>
    </row>
    <row r="25" spans="2:13" x14ac:dyDescent="0.25">
      <c r="C25" s="28"/>
      <c r="D25" s="28"/>
      <c r="E25" s="33"/>
      <c r="F25" s="33"/>
      <c r="G25" s="25"/>
      <c r="H25" s="28"/>
    </row>
    <row r="26" spans="2:13" x14ac:dyDescent="0.25">
      <c r="C26" s="28"/>
      <c r="D26" s="28"/>
      <c r="E26" s="28"/>
      <c r="F26" s="28"/>
      <c r="G26" s="28"/>
      <c r="H26" s="28"/>
    </row>
    <row r="27" spans="2:13" x14ac:dyDescent="0.25">
      <c r="C27" s="28"/>
      <c r="D27" s="28"/>
      <c r="E27" s="28"/>
      <c r="F27" s="28"/>
      <c r="G27" s="28"/>
      <c r="H27" s="28"/>
    </row>
    <row r="28" spans="2:13" x14ac:dyDescent="0.25">
      <c r="C28" s="28"/>
      <c r="D28" s="28"/>
      <c r="E28" s="28"/>
      <c r="F28" s="28"/>
      <c r="G28" s="28"/>
      <c r="H28" s="28"/>
    </row>
    <row r="29" spans="2:13" x14ac:dyDescent="0.25">
      <c r="C29" s="28"/>
      <c r="D29" s="28"/>
      <c r="E29" s="28"/>
      <c r="F29" s="28"/>
      <c r="G29" s="28"/>
      <c r="H29" s="28"/>
    </row>
    <row r="30" spans="2:13" x14ac:dyDescent="0.25">
      <c r="C30" s="28"/>
      <c r="D30" s="28"/>
      <c r="E30" s="28"/>
      <c r="F30" s="28"/>
      <c r="G30" s="28"/>
      <c r="H30" s="28"/>
    </row>
    <row r="31" spans="2:13" x14ac:dyDescent="0.25">
      <c r="C31" s="28"/>
      <c r="D31" s="28"/>
      <c r="E31" s="28"/>
      <c r="F31" s="28"/>
      <c r="G31" s="28"/>
      <c r="H31" s="28"/>
    </row>
    <row r="32" spans="2:13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</sheetData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C26330-6859-784C-AFFE-862A264672FF}">
          <x14:formula1>
            <xm:f>Opdracht_1_CBS!$R$2:$R$19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EBCD-447D-2645-8466-F599EBE3F1DA}">
  <dimension ref="A1:Y87"/>
  <sheetViews>
    <sheetView workbookViewId="0">
      <selection activeCell="B39" sqref="B39"/>
    </sheetView>
  </sheetViews>
  <sheetFormatPr defaultColWidth="10.75" defaultRowHeight="15.75" x14ac:dyDescent="0.25"/>
  <cols>
    <col min="1" max="1" width="40.125" customWidth="1"/>
    <col min="2" max="2" width="23.875" bestFit="1" customWidth="1"/>
    <col min="3" max="3" width="8.125" customWidth="1"/>
    <col min="4" max="4" width="7.625" customWidth="1"/>
    <col min="5" max="9" width="24" bestFit="1" customWidth="1"/>
    <col min="10" max="14" width="27.875" bestFit="1" customWidth="1"/>
  </cols>
  <sheetData>
    <row r="1" spans="1:25" ht="16.5" thickBot="1" x14ac:dyDescent="0.3">
      <c r="A1" t="s">
        <v>8</v>
      </c>
      <c r="W1" t="s">
        <v>42</v>
      </c>
    </row>
    <row r="2" spans="1:25" ht="16.5" thickBot="1" x14ac:dyDescent="0.3">
      <c r="B2" s="45" t="s">
        <v>125</v>
      </c>
      <c r="C2" t="s">
        <v>44</v>
      </c>
      <c r="R2" t="s">
        <v>22</v>
      </c>
      <c r="W2">
        <v>0</v>
      </c>
      <c r="X2">
        <v>250</v>
      </c>
      <c r="Y2">
        <v>1</v>
      </c>
    </row>
    <row r="3" spans="1:25" x14ac:dyDescent="0.25">
      <c r="A3" t="s">
        <v>7</v>
      </c>
      <c r="B3" s="46">
        <f>Opdracht_1_voorbeeld!D20</f>
        <v>6000</v>
      </c>
      <c r="C3" s="55">
        <f>VLOOKUP($B$3,$B$16:$D$19,3,TRUE)</f>
        <v>4</v>
      </c>
      <c r="E3" s="41" t="s">
        <v>130</v>
      </c>
      <c r="F3" t="s">
        <v>57</v>
      </c>
      <c r="G3">
        <v>2.7</v>
      </c>
      <c r="R3" t="s">
        <v>24</v>
      </c>
      <c r="W3">
        <v>251</v>
      </c>
      <c r="X3">
        <v>500</v>
      </c>
      <c r="Y3">
        <v>2</v>
      </c>
    </row>
    <row r="4" spans="1:25" x14ac:dyDescent="0.25">
      <c r="A4" t="s">
        <v>41</v>
      </c>
      <c r="B4" s="46" t="str">
        <f>Opdracht_1_voorbeeld!D21</f>
        <v>Detailhandel zonder koeling</v>
      </c>
      <c r="E4" s="43" t="s">
        <v>127</v>
      </c>
      <c r="R4" t="s">
        <v>25</v>
      </c>
      <c r="W4">
        <v>501</v>
      </c>
      <c r="X4">
        <v>1000</v>
      </c>
      <c r="Y4">
        <v>3</v>
      </c>
    </row>
    <row r="5" spans="1:25" ht="16.5" thickBot="1" x14ac:dyDescent="0.3">
      <c r="A5" t="s">
        <v>43</v>
      </c>
      <c r="B5" s="47">
        <f>Opdracht_1_voorbeeld!D22</f>
        <v>5000</v>
      </c>
      <c r="C5" s="54">
        <f>VLOOKUP($B$5,$W$2:$Y$6,3,TRUE)</f>
        <v>5</v>
      </c>
      <c r="E5" s="71" t="s">
        <v>128</v>
      </c>
      <c r="R5" t="s">
        <v>26</v>
      </c>
      <c r="W5">
        <v>1001</v>
      </c>
      <c r="X5">
        <v>2500</v>
      </c>
      <c r="Y5">
        <v>4</v>
      </c>
    </row>
    <row r="6" spans="1:25" ht="16.5" thickBot="1" x14ac:dyDescent="0.3">
      <c r="A6" t="s">
        <v>55</v>
      </c>
      <c r="B6" s="69" cm="1">
        <f t="array" ref="B6">INDEX(A16:I87,MATCH(1,(B4=A16:A87)*(C3=D16:D87),0),C5+4)</f>
        <v>5.5</v>
      </c>
      <c r="E6" s="44" t="s">
        <v>129</v>
      </c>
      <c r="R6" t="s">
        <v>27</v>
      </c>
      <c r="W6">
        <v>2501</v>
      </c>
      <c r="X6">
        <v>5000</v>
      </c>
      <c r="Y6">
        <v>5</v>
      </c>
    </row>
    <row r="7" spans="1:25" x14ac:dyDescent="0.25">
      <c r="A7" t="s">
        <v>56</v>
      </c>
      <c r="B7" s="69" cm="1">
        <f t="array" ref="B7">INDEX(A16:N87,MATCH(1,(B4=A16:A87)*(C3=D16:D87),0),(C5+9))</f>
        <v>75</v>
      </c>
      <c r="R7" t="s">
        <v>28</v>
      </c>
    </row>
    <row r="8" spans="1:25" x14ac:dyDescent="0.25">
      <c r="B8" s="72"/>
      <c r="R8" t="s">
        <v>29</v>
      </c>
    </row>
    <row r="9" spans="1:25" x14ac:dyDescent="0.25">
      <c r="A9" t="s">
        <v>58</v>
      </c>
      <c r="B9" s="69">
        <f>B6/G3</f>
        <v>2.0370370370370368</v>
      </c>
      <c r="R9" t="s">
        <v>30</v>
      </c>
    </row>
    <row r="10" spans="1:25" x14ac:dyDescent="0.25">
      <c r="A10" t="s">
        <v>59</v>
      </c>
      <c r="B10" s="69">
        <f>B7/G3</f>
        <v>27.777777777777775</v>
      </c>
      <c r="R10" t="s">
        <v>31</v>
      </c>
    </row>
    <row r="11" spans="1:25" x14ac:dyDescent="0.25">
      <c r="R11" t="s">
        <v>32</v>
      </c>
    </row>
    <row r="12" spans="1:25" x14ac:dyDescent="0.25">
      <c r="A12" s="1"/>
      <c r="B12" s="1" t="s">
        <v>9</v>
      </c>
      <c r="C12" s="1"/>
      <c r="D12" s="1"/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R12" t="s">
        <v>33</v>
      </c>
    </row>
    <row r="13" spans="1:25" x14ac:dyDescent="0.25">
      <c r="A13" s="1"/>
      <c r="B13" s="1" t="s">
        <v>12</v>
      </c>
      <c r="C13" s="1"/>
      <c r="D13" s="1"/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13</v>
      </c>
      <c r="K13" s="1" t="s">
        <v>14</v>
      </c>
      <c r="L13" s="1" t="s">
        <v>15</v>
      </c>
      <c r="M13" s="1" t="s">
        <v>16</v>
      </c>
      <c r="N13" s="1" t="s">
        <v>17</v>
      </c>
      <c r="R13" t="s">
        <v>34</v>
      </c>
    </row>
    <row r="14" spans="1:25" x14ac:dyDescent="0.25">
      <c r="A14" s="1" t="s">
        <v>18</v>
      </c>
      <c r="B14" s="1" t="s">
        <v>19</v>
      </c>
      <c r="C14" s="1"/>
      <c r="D14" s="1"/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R14" t="s">
        <v>35</v>
      </c>
    </row>
    <row r="15" spans="1:25" x14ac:dyDescent="0.25">
      <c r="A15" s="1" t="s">
        <v>52</v>
      </c>
      <c r="B15" s="1" t="s">
        <v>46</v>
      </c>
      <c r="C15" s="1" t="s">
        <v>45</v>
      </c>
      <c r="D15" s="1" t="s">
        <v>47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1</v>
      </c>
      <c r="K15" s="1">
        <v>2</v>
      </c>
      <c r="L15" s="1">
        <v>3</v>
      </c>
      <c r="M15" s="1">
        <v>4</v>
      </c>
      <c r="N15" s="1">
        <v>5</v>
      </c>
      <c r="R15" t="s">
        <v>36</v>
      </c>
    </row>
    <row r="16" spans="1:25" x14ac:dyDescent="0.25">
      <c r="A16" s="1" t="s">
        <v>22</v>
      </c>
      <c r="B16" s="1">
        <v>0</v>
      </c>
      <c r="C16" s="1">
        <v>1921</v>
      </c>
      <c r="D16" s="1">
        <v>1</v>
      </c>
      <c r="E16" s="1">
        <v>19.8</v>
      </c>
      <c r="F16" s="1">
        <v>18.600000000000001</v>
      </c>
      <c r="G16" s="1">
        <v>16.5</v>
      </c>
      <c r="H16" s="1">
        <v>12</v>
      </c>
      <c r="I16" s="1">
        <v>12</v>
      </c>
      <c r="J16" s="1">
        <v>219.7</v>
      </c>
      <c r="K16" s="1">
        <v>186.8</v>
      </c>
      <c r="L16" s="1">
        <v>224.1</v>
      </c>
      <c r="M16" s="1">
        <v>237.2</v>
      </c>
      <c r="N16" s="1" t="s">
        <v>23</v>
      </c>
      <c r="R16" t="s">
        <v>37</v>
      </c>
    </row>
    <row r="17" spans="1:18" x14ac:dyDescent="0.25">
      <c r="A17" s="1" t="s">
        <v>22</v>
      </c>
      <c r="B17" s="1">
        <v>1922</v>
      </c>
      <c r="C17" s="1">
        <v>1976</v>
      </c>
      <c r="D17" s="1">
        <v>2</v>
      </c>
      <c r="E17" s="1">
        <v>20.2</v>
      </c>
      <c r="F17" s="1">
        <v>17.8</v>
      </c>
      <c r="G17" s="1">
        <v>15.7</v>
      </c>
      <c r="H17" s="1">
        <v>12</v>
      </c>
      <c r="I17" s="1">
        <v>12</v>
      </c>
      <c r="J17" s="1">
        <v>232</v>
      </c>
      <c r="K17" s="1">
        <v>179.8</v>
      </c>
      <c r="L17" s="1">
        <v>252.2</v>
      </c>
      <c r="M17" s="1">
        <v>289.3</v>
      </c>
      <c r="N17" s="1">
        <v>217.9</v>
      </c>
      <c r="R17" t="s">
        <v>38</v>
      </c>
    </row>
    <row r="18" spans="1:18" x14ac:dyDescent="0.25">
      <c r="A18" s="1" t="s">
        <v>22</v>
      </c>
      <c r="B18" s="1">
        <v>1977</v>
      </c>
      <c r="C18" s="1">
        <v>1993</v>
      </c>
      <c r="D18" s="1">
        <v>3</v>
      </c>
      <c r="E18" s="1">
        <v>16.399999999999999</v>
      </c>
      <c r="F18" s="1">
        <v>17.899999999999999</v>
      </c>
      <c r="G18" s="1">
        <v>12.6</v>
      </c>
      <c r="H18" s="1">
        <v>12</v>
      </c>
      <c r="I18" s="1">
        <v>12</v>
      </c>
      <c r="J18" s="1">
        <v>243.2</v>
      </c>
      <c r="K18" s="1">
        <v>169.2</v>
      </c>
      <c r="L18" s="1">
        <v>256.7</v>
      </c>
      <c r="M18" s="1">
        <v>293.8</v>
      </c>
      <c r="N18" s="1" t="s">
        <v>23</v>
      </c>
      <c r="R18" t="s">
        <v>39</v>
      </c>
    </row>
    <row r="19" spans="1:18" x14ac:dyDescent="0.25">
      <c r="A19" s="1" t="s">
        <v>22</v>
      </c>
      <c r="B19" s="1">
        <v>1994</v>
      </c>
      <c r="C19" s="1">
        <v>2025</v>
      </c>
      <c r="D19" s="1">
        <v>4</v>
      </c>
      <c r="E19" s="1">
        <v>14.4</v>
      </c>
      <c r="F19" s="1">
        <v>12.5</v>
      </c>
      <c r="G19" s="1">
        <v>9.9</v>
      </c>
      <c r="H19" s="1">
        <v>9.3000000000000007</v>
      </c>
      <c r="I19" s="1">
        <v>5.9</v>
      </c>
      <c r="J19" s="1">
        <v>233.9</v>
      </c>
      <c r="K19" s="1">
        <v>148.9</v>
      </c>
      <c r="L19" s="1">
        <v>221.1</v>
      </c>
      <c r="M19" s="1">
        <v>265.3</v>
      </c>
      <c r="N19" s="1">
        <v>196.9</v>
      </c>
      <c r="R19" t="s">
        <v>40</v>
      </c>
    </row>
    <row r="20" spans="1:18" x14ac:dyDescent="0.25">
      <c r="A20" s="1" t="s">
        <v>24</v>
      </c>
      <c r="B20" s="1">
        <v>0</v>
      </c>
      <c r="C20" s="1">
        <v>1921</v>
      </c>
      <c r="D20" s="1">
        <v>1</v>
      </c>
      <c r="E20" s="1">
        <v>17.8</v>
      </c>
      <c r="F20" s="1">
        <v>12.8</v>
      </c>
      <c r="G20" s="1">
        <v>9.6999999999999993</v>
      </c>
      <c r="H20" s="1">
        <v>7.6</v>
      </c>
      <c r="I20" s="1">
        <v>7.6</v>
      </c>
      <c r="J20" s="1">
        <v>98.7</v>
      </c>
      <c r="K20" s="1">
        <v>80.099999999999994</v>
      </c>
      <c r="L20" s="1">
        <v>70.3</v>
      </c>
      <c r="M20" s="1">
        <v>73.2</v>
      </c>
      <c r="N20" s="1" t="s">
        <v>23</v>
      </c>
    </row>
    <row r="21" spans="1:18" x14ac:dyDescent="0.25">
      <c r="A21" s="1" t="s">
        <v>24</v>
      </c>
      <c r="B21" s="1">
        <v>1922</v>
      </c>
      <c r="C21" s="1">
        <v>1976</v>
      </c>
      <c r="D21" s="1">
        <v>2</v>
      </c>
      <c r="E21" s="1">
        <v>18.100000000000001</v>
      </c>
      <c r="F21" s="1">
        <v>12.6</v>
      </c>
      <c r="G21" s="1">
        <v>9.4</v>
      </c>
      <c r="H21" s="1">
        <v>7.5</v>
      </c>
      <c r="I21" s="1">
        <v>7.3</v>
      </c>
      <c r="J21" s="1">
        <v>101.4</v>
      </c>
      <c r="K21" s="1">
        <v>82.2</v>
      </c>
      <c r="L21" s="1">
        <v>67.7</v>
      </c>
      <c r="M21" s="1">
        <v>73</v>
      </c>
      <c r="N21" s="1">
        <v>71</v>
      </c>
    </row>
    <row r="22" spans="1:18" x14ac:dyDescent="0.25">
      <c r="A22" s="1" t="s">
        <v>24</v>
      </c>
      <c r="B22" s="1">
        <v>1977</v>
      </c>
      <c r="C22" s="1">
        <v>1993</v>
      </c>
      <c r="D22" s="1">
        <v>3</v>
      </c>
      <c r="E22" s="1">
        <v>14.9</v>
      </c>
      <c r="F22" s="1">
        <v>10.7</v>
      </c>
      <c r="G22" s="1">
        <v>8.6</v>
      </c>
      <c r="H22" s="1">
        <v>7.6</v>
      </c>
      <c r="I22" s="1">
        <v>6.2</v>
      </c>
      <c r="J22" s="1">
        <v>119.9</v>
      </c>
      <c r="K22" s="1">
        <v>90.1</v>
      </c>
      <c r="L22" s="1">
        <v>72</v>
      </c>
      <c r="M22" s="1">
        <v>80.099999999999994</v>
      </c>
      <c r="N22" s="1">
        <v>59.1</v>
      </c>
    </row>
    <row r="23" spans="1:18" x14ac:dyDescent="0.25">
      <c r="A23" s="1" t="s">
        <v>24</v>
      </c>
      <c r="B23" s="1">
        <v>1994</v>
      </c>
      <c r="C23" s="1">
        <v>2025</v>
      </c>
      <c r="D23" s="1">
        <v>4</v>
      </c>
      <c r="E23" s="1">
        <v>12.8</v>
      </c>
      <c r="F23" s="1">
        <v>8.8000000000000007</v>
      </c>
      <c r="G23" s="1">
        <v>6.9</v>
      </c>
      <c r="H23" s="1">
        <v>5.8</v>
      </c>
      <c r="I23" s="1">
        <v>5.5</v>
      </c>
      <c r="J23" s="1">
        <v>116.4</v>
      </c>
      <c r="K23" s="1">
        <v>94.7</v>
      </c>
      <c r="L23" s="1">
        <v>74.599999999999994</v>
      </c>
      <c r="M23" s="1">
        <v>76.900000000000006</v>
      </c>
      <c r="N23" s="1">
        <v>75</v>
      </c>
    </row>
    <row r="24" spans="1:18" x14ac:dyDescent="0.25">
      <c r="A24" s="1" t="s">
        <v>25</v>
      </c>
      <c r="B24" s="1">
        <v>0</v>
      </c>
      <c r="C24" s="1">
        <v>1921</v>
      </c>
      <c r="D24" s="1">
        <v>1</v>
      </c>
      <c r="E24" s="1">
        <v>18.899999999999999</v>
      </c>
      <c r="F24" s="1">
        <v>15.8</v>
      </c>
      <c r="G24" s="1">
        <v>10.5</v>
      </c>
      <c r="H24" s="1">
        <v>10.5</v>
      </c>
      <c r="I24" s="1">
        <v>10.5</v>
      </c>
      <c r="J24" s="1">
        <v>64.900000000000006</v>
      </c>
      <c r="K24" s="1">
        <v>46.3</v>
      </c>
      <c r="L24" s="1">
        <v>40.200000000000003</v>
      </c>
      <c r="M24" s="1" t="s">
        <v>23</v>
      </c>
      <c r="N24" s="1" t="s">
        <v>23</v>
      </c>
    </row>
    <row r="25" spans="1:18" x14ac:dyDescent="0.25">
      <c r="A25" s="1" t="s">
        <v>25</v>
      </c>
      <c r="B25" s="1">
        <v>1922</v>
      </c>
      <c r="C25" s="1">
        <v>1976</v>
      </c>
      <c r="D25" s="1">
        <v>2</v>
      </c>
      <c r="E25" s="1">
        <v>21</v>
      </c>
      <c r="F25" s="1">
        <v>14.8</v>
      </c>
      <c r="G25" s="1">
        <v>10.7</v>
      </c>
      <c r="H25" s="1">
        <v>7.8</v>
      </c>
      <c r="I25" s="1">
        <v>7.5</v>
      </c>
      <c r="J25" s="1">
        <v>67.8</v>
      </c>
      <c r="K25" s="1">
        <v>52.3</v>
      </c>
      <c r="L25" s="1">
        <v>44.5</v>
      </c>
      <c r="M25" s="1">
        <v>44.1</v>
      </c>
      <c r="N25" s="1">
        <v>41.6</v>
      </c>
    </row>
    <row r="26" spans="1:18" x14ac:dyDescent="0.25">
      <c r="A26" s="1" t="s">
        <v>25</v>
      </c>
      <c r="B26" s="1">
        <v>1977</v>
      </c>
      <c r="C26" s="1">
        <v>1993</v>
      </c>
      <c r="D26" s="1">
        <v>3</v>
      </c>
      <c r="E26" s="1">
        <v>16.3</v>
      </c>
      <c r="F26" s="1">
        <v>11.4</v>
      </c>
      <c r="G26" s="1">
        <v>9.9</v>
      </c>
      <c r="H26" s="1">
        <v>8.6</v>
      </c>
      <c r="I26" s="1">
        <v>6.6</v>
      </c>
      <c r="J26" s="1">
        <v>68.8</v>
      </c>
      <c r="K26" s="1">
        <v>52.2</v>
      </c>
      <c r="L26" s="1">
        <v>48.7</v>
      </c>
      <c r="M26" s="1">
        <v>47.6</v>
      </c>
      <c r="N26" s="1">
        <v>49.5</v>
      </c>
    </row>
    <row r="27" spans="1:18" x14ac:dyDescent="0.25">
      <c r="A27" s="1" t="s">
        <v>25</v>
      </c>
      <c r="B27" s="1">
        <v>1994</v>
      </c>
      <c r="C27" s="1">
        <v>2025</v>
      </c>
      <c r="D27" s="1">
        <v>4</v>
      </c>
      <c r="E27" s="1">
        <v>11.7</v>
      </c>
      <c r="F27" s="1">
        <v>9.1</v>
      </c>
      <c r="G27" s="1">
        <v>7.4</v>
      </c>
      <c r="H27" s="1">
        <v>6.2</v>
      </c>
      <c r="I27" s="1">
        <v>6.3</v>
      </c>
      <c r="J27" s="1">
        <v>59.4</v>
      </c>
      <c r="K27" s="1">
        <v>50.5</v>
      </c>
      <c r="L27" s="1">
        <v>46</v>
      </c>
      <c r="M27" s="1">
        <v>48.7</v>
      </c>
      <c r="N27" s="1">
        <v>54.3</v>
      </c>
    </row>
    <row r="28" spans="1:18" x14ac:dyDescent="0.25">
      <c r="A28" s="1" t="s">
        <v>26</v>
      </c>
      <c r="B28" s="1">
        <v>0</v>
      </c>
      <c r="C28" s="1">
        <v>1921</v>
      </c>
      <c r="D28" s="1">
        <v>1</v>
      </c>
      <c r="E28" s="1">
        <v>19</v>
      </c>
      <c r="F28" s="1">
        <v>13.4</v>
      </c>
      <c r="G28" s="1">
        <v>9.3000000000000007</v>
      </c>
      <c r="H28" s="1">
        <v>9.3000000000000007</v>
      </c>
      <c r="I28" s="1">
        <v>9.3000000000000007</v>
      </c>
      <c r="J28" s="1">
        <v>59</v>
      </c>
      <c r="K28" s="1">
        <v>39.799999999999997</v>
      </c>
      <c r="L28" s="1">
        <v>33.299999999999997</v>
      </c>
      <c r="M28" s="1" t="s">
        <v>23</v>
      </c>
      <c r="N28" s="1" t="s">
        <v>23</v>
      </c>
    </row>
    <row r="29" spans="1:18" x14ac:dyDescent="0.25">
      <c r="A29" s="1" t="s">
        <v>26</v>
      </c>
      <c r="B29" s="1">
        <v>1922</v>
      </c>
      <c r="C29" s="1">
        <v>1976</v>
      </c>
      <c r="D29" s="1">
        <v>2</v>
      </c>
      <c r="E29" s="1">
        <v>20.3</v>
      </c>
      <c r="F29" s="1">
        <v>12.3</v>
      </c>
      <c r="G29" s="1">
        <v>9.6</v>
      </c>
      <c r="H29" s="1">
        <v>8.6999999999999993</v>
      </c>
      <c r="I29" s="1">
        <v>9.1999999999999993</v>
      </c>
      <c r="J29" s="1">
        <v>66.099999999999994</v>
      </c>
      <c r="K29" s="1">
        <v>44.6</v>
      </c>
      <c r="L29" s="1">
        <v>39.5</v>
      </c>
      <c r="M29" s="1">
        <v>41.9</v>
      </c>
      <c r="N29" s="1">
        <v>39.9</v>
      </c>
    </row>
    <row r="30" spans="1:18" x14ac:dyDescent="0.25">
      <c r="A30" s="1" t="s">
        <v>26</v>
      </c>
      <c r="B30" s="1">
        <v>1977</v>
      </c>
      <c r="C30" s="1">
        <v>1993</v>
      </c>
      <c r="D30" s="1">
        <v>3</v>
      </c>
      <c r="E30" s="1">
        <v>16.5</v>
      </c>
      <c r="F30" s="1">
        <v>10.7</v>
      </c>
      <c r="G30" s="1">
        <v>8.9</v>
      </c>
      <c r="H30" s="1">
        <v>9.1</v>
      </c>
      <c r="I30" s="1">
        <v>9.4</v>
      </c>
      <c r="J30" s="1">
        <v>60.7</v>
      </c>
      <c r="K30" s="1">
        <v>46.1</v>
      </c>
      <c r="L30" s="1">
        <v>46.1</v>
      </c>
      <c r="M30" s="1">
        <v>46.9</v>
      </c>
      <c r="N30" s="1">
        <v>54.7</v>
      </c>
    </row>
    <row r="31" spans="1:18" x14ac:dyDescent="0.25">
      <c r="A31" s="1" t="s">
        <v>26</v>
      </c>
      <c r="B31" s="1">
        <v>1994</v>
      </c>
      <c r="C31" s="1">
        <v>2025</v>
      </c>
      <c r="D31" s="1">
        <v>4</v>
      </c>
      <c r="E31" s="1">
        <v>13.5</v>
      </c>
      <c r="F31" s="1">
        <v>9.1</v>
      </c>
      <c r="G31" s="1">
        <v>7.7</v>
      </c>
      <c r="H31" s="1">
        <v>8</v>
      </c>
      <c r="I31" s="1">
        <v>7.1</v>
      </c>
      <c r="J31" s="1">
        <v>51.2</v>
      </c>
      <c r="K31" s="1">
        <v>43.3</v>
      </c>
      <c r="L31" s="1">
        <v>44.9</v>
      </c>
      <c r="M31" s="1">
        <v>51</v>
      </c>
      <c r="N31" s="1">
        <v>54.9</v>
      </c>
    </row>
    <row r="32" spans="1:18" x14ac:dyDescent="0.25">
      <c r="A32" s="1" t="s">
        <v>27</v>
      </c>
      <c r="B32" s="1">
        <v>0</v>
      </c>
      <c r="C32" s="1">
        <v>1921</v>
      </c>
      <c r="D32" s="1">
        <v>1</v>
      </c>
      <c r="E32" s="1">
        <v>18.600000000000001</v>
      </c>
      <c r="F32" s="1">
        <v>12.7</v>
      </c>
      <c r="G32" s="1">
        <v>12.7</v>
      </c>
      <c r="H32" s="1">
        <v>12.7</v>
      </c>
      <c r="I32" s="1">
        <v>12.7</v>
      </c>
      <c r="J32" s="1">
        <v>49.3</v>
      </c>
      <c r="K32" s="1">
        <v>37.9</v>
      </c>
      <c r="L32" s="1" t="s">
        <v>23</v>
      </c>
      <c r="M32" s="1" t="s">
        <v>23</v>
      </c>
      <c r="N32" s="1" t="s">
        <v>23</v>
      </c>
    </row>
    <row r="33" spans="1:14" x14ac:dyDescent="0.25">
      <c r="A33" s="1" t="s">
        <v>27</v>
      </c>
      <c r="B33" s="1">
        <v>1922</v>
      </c>
      <c r="C33" s="1">
        <v>1976</v>
      </c>
      <c r="D33" s="1">
        <v>2</v>
      </c>
      <c r="E33" s="1">
        <v>20.399999999999999</v>
      </c>
      <c r="F33" s="1">
        <v>13.6</v>
      </c>
      <c r="G33" s="1">
        <v>12.2</v>
      </c>
      <c r="H33" s="1">
        <v>11.5</v>
      </c>
      <c r="I33" s="1">
        <v>11.5</v>
      </c>
      <c r="J33" s="1">
        <v>68.3</v>
      </c>
      <c r="K33" s="1">
        <v>50.4</v>
      </c>
      <c r="L33" s="1">
        <v>47.4</v>
      </c>
      <c r="M33" s="1">
        <v>46.9</v>
      </c>
      <c r="N33" s="1" t="s">
        <v>23</v>
      </c>
    </row>
    <row r="34" spans="1:14" x14ac:dyDescent="0.25">
      <c r="A34" s="1" t="s">
        <v>27</v>
      </c>
      <c r="B34" s="1">
        <v>1977</v>
      </c>
      <c r="C34" s="1">
        <v>1993</v>
      </c>
      <c r="D34" s="1">
        <v>3</v>
      </c>
      <c r="E34" s="1">
        <v>16.5</v>
      </c>
      <c r="F34" s="1">
        <v>12.1</v>
      </c>
      <c r="G34" s="1">
        <v>13.2</v>
      </c>
      <c r="H34" s="1">
        <v>13.2</v>
      </c>
      <c r="I34" s="1">
        <v>13.2</v>
      </c>
      <c r="J34" s="1">
        <v>70.2</v>
      </c>
      <c r="K34" s="1">
        <v>56.4</v>
      </c>
      <c r="L34" s="1">
        <v>56.8</v>
      </c>
      <c r="M34" s="1">
        <v>58.8</v>
      </c>
      <c r="N34" s="1" t="s">
        <v>23</v>
      </c>
    </row>
    <row r="35" spans="1:14" x14ac:dyDescent="0.25">
      <c r="A35" s="1" t="s">
        <v>27</v>
      </c>
      <c r="B35" s="1">
        <v>1994</v>
      </c>
      <c r="C35" s="1">
        <v>2025</v>
      </c>
      <c r="D35" s="1">
        <v>4</v>
      </c>
      <c r="E35" s="1">
        <v>11.8</v>
      </c>
      <c r="F35" s="1">
        <v>10.8</v>
      </c>
      <c r="G35" s="1">
        <v>11.1</v>
      </c>
      <c r="H35" s="1">
        <v>12.4</v>
      </c>
      <c r="I35" s="1">
        <v>9</v>
      </c>
      <c r="J35" s="1">
        <v>54.1</v>
      </c>
      <c r="K35" s="1">
        <v>53.3</v>
      </c>
      <c r="L35" s="1">
        <v>54.4</v>
      </c>
      <c r="M35" s="1">
        <v>59.3</v>
      </c>
      <c r="N35" s="1">
        <v>55.2</v>
      </c>
    </row>
    <row r="36" spans="1:14" x14ac:dyDescent="0.25">
      <c r="A36" s="1" t="s">
        <v>28</v>
      </c>
      <c r="B36" s="1">
        <v>0</v>
      </c>
      <c r="C36" s="1">
        <v>1921</v>
      </c>
      <c r="D36" s="1">
        <v>1</v>
      </c>
      <c r="E36" s="1">
        <v>23.1</v>
      </c>
      <c r="F36" s="1">
        <v>17</v>
      </c>
      <c r="G36" s="1">
        <v>14.7</v>
      </c>
      <c r="H36" s="1">
        <v>11.8</v>
      </c>
      <c r="I36" s="1">
        <v>11.8</v>
      </c>
      <c r="J36" s="1">
        <v>167.4</v>
      </c>
      <c r="K36" s="1">
        <v>120.5</v>
      </c>
      <c r="L36" s="1">
        <v>93.9</v>
      </c>
      <c r="M36" s="1">
        <v>75.900000000000006</v>
      </c>
      <c r="N36" s="1" t="s">
        <v>23</v>
      </c>
    </row>
    <row r="37" spans="1:14" x14ac:dyDescent="0.25">
      <c r="A37" s="1" t="s">
        <v>28</v>
      </c>
      <c r="B37" s="1">
        <v>1922</v>
      </c>
      <c r="C37" s="1">
        <v>1976</v>
      </c>
      <c r="D37" s="1">
        <v>2</v>
      </c>
      <c r="E37" s="1">
        <v>23.5</v>
      </c>
      <c r="F37" s="1">
        <v>17.600000000000001</v>
      </c>
      <c r="G37" s="1">
        <v>14.8</v>
      </c>
      <c r="H37" s="1">
        <v>10.6</v>
      </c>
      <c r="I37" s="1">
        <v>10.6</v>
      </c>
      <c r="J37" s="1">
        <v>137.5</v>
      </c>
      <c r="K37" s="1">
        <v>109.9</v>
      </c>
      <c r="L37" s="1">
        <v>85.4</v>
      </c>
      <c r="M37" s="1">
        <v>63.6</v>
      </c>
      <c r="N37" s="1" t="s">
        <v>23</v>
      </c>
    </row>
    <row r="38" spans="1:14" x14ac:dyDescent="0.25">
      <c r="A38" s="1" t="s">
        <v>28</v>
      </c>
      <c r="B38" s="1">
        <v>1977</v>
      </c>
      <c r="C38" s="1">
        <v>1993</v>
      </c>
      <c r="D38" s="1">
        <v>3</v>
      </c>
      <c r="E38" s="1">
        <v>18.899999999999999</v>
      </c>
      <c r="F38" s="1">
        <v>16.8</v>
      </c>
      <c r="G38" s="1">
        <v>13.6</v>
      </c>
      <c r="H38" s="1">
        <v>13.6</v>
      </c>
      <c r="I38" s="1">
        <v>13.6</v>
      </c>
      <c r="J38" s="1">
        <v>124</v>
      </c>
      <c r="K38" s="1">
        <v>125.8</v>
      </c>
      <c r="L38" s="1">
        <v>104.8</v>
      </c>
      <c r="M38" s="1" t="s">
        <v>23</v>
      </c>
      <c r="N38" s="1" t="s">
        <v>23</v>
      </c>
    </row>
    <row r="39" spans="1:14" x14ac:dyDescent="0.25">
      <c r="A39" s="1" t="s">
        <v>28</v>
      </c>
      <c r="B39" s="1">
        <v>1994</v>
      </c>
      <c r="C39" s="1">
        <v>2025</v>
      </c>
      <c r="D39" s="1">
        <v>4</v>
      </c>
      <c r="E39" s="1">
        <v>17.600000000000001</v>
      </c>
      <c r="F39" s="1">
        <v>20.399999999999999</v>
      </c>
      <c r="G39" s="1">
        <v>12.7</v>
      </c>
      <c r="H39" s="1">
        <v>12.7</v>
      </c>
      <c r="I39" s="1">
        <v>12.7</v>
      </c>
      <c r="J39" s="1">
        <v>102.6</v>
      </c>
      <c r="K39" s="1">
        <v>135.69999999999999</v>
      </c>
      <c r="L39" s="1">
        <v>90.1</v>
      </c>
      <c r="M39" s="1" t="s">
        <v>23</v>
      </c>
      <c r="N39" s="1" t="s">
        <v>23</v>
      </c>
    </row>
    <row r="40" spans="1:14" x14ac:dyDescent="0.25">
      <c r="A40" s="1" t="s">
        <v>29</v>
      </c>
      <c r="B40" s="1">
        <v>0</v>
      </c>
      <c r="C40" s="1">
        <v>1921</v>
      </c>
      <c r="D40" s="1">
        <v>1</v>
      </c>
      <c r="E40" s="1">
        <v>40.5</v>
      </c>
      <c r="F40" s="1">
        <v>31.1</v>
      </c>
      <c r="G40" s="1">
        <v>24.3</v>
      </c>
      <c r="H40" s="1">
        <v>17.899999999999999</v>
      </c>
      <c r="I40" s="1">
        <v>17.899999999999999</v>
      </c>
      <c r="J40" s="1">
        <v>260.39999999999998</v>
      </c>
      <c r="K40" s="1">
        <v>185.1</v>
      </c>
      <c r="L40" s="1">
        <v>135.69999999999999</v>
      </c>
      <c r="M40" s="1">
        <v>94.7</v>
      </c>
      <c r="N40" s="1" t="s">
        <v>23</v>
      </c>
    </row>
    <row r="41" spans="1:14" x14ac:dyDescent="0.25">
      <c r="A41" s="1" t="s">
        <v>29</v>
      </c>
      <c r="B41" s="1">
        <v>1922</v>
      </c>
      <c r="C41" s="1">
        <v>1976</v>
      </c>
      <c r="D41" s="1">
        <v>2</v>
      </c>
      <c r="E41" s="1">
        <v>39.5</v>
      </c>
      <c r="F41" s="1">
        <v>34.5</v>
      </c>
      <c r="G41" s="1">
        <v>26.5</v>
      </c>
      <c r="H41" s="1">
        <v>20.399999999999999</v>
      </c>
      <c r="I41" s="1">
        <v>20.399999999999999</v>
      </c>
      <c r="J41" s="1">
        <v>217.7</v>
      </c>
      <c r="K41" s="1">
        <v>169</v>
      </c>
      <c r="L41" s="1">
        <v>138.9</v>
      </c>
      <c r="M41" s="1">
        <v>123.2</v>
      </c>
      <c r="N41" s="1" t="s">
        <v>23</v>
      </c>
    </row>
    <row r="42" spans="1:14" x14ac:dyDescent="0.25">
      <c r="A42" s="1" t="s">
        <v>29</v>
      </c>
      <c r="B42" s="1">
        <v>1977</v>
      </c>
      <c r="C42" s="1">
        <v>1993</v>
      </c>
      <c r="D42" s="1">
        <v>3</v>
      </c>
      <c r="E42" s="1">
        <v>33.4</v>
      </c>
      <c r="F42" s="1">
        <v>35.9</v>
      </c>
      <c r="G42" s="1">
        <v>29.1</v>
      </c>
      <c r="H42" s="1">
        <v>29.1</v>
      </c>
      <c r="I42" s="1">
        <v>29.1</v>
      </c>
      <c r="J42" s="1">
        <v>214.5</v>
      </c>
      <c r="K42" s="1">
        <v>205.8</v>
      </c>
      <c r="L42" s="1">
        <v>169.3</v>
      </c>
      <c r="M42" s="1" t="s">
        <v>23</v>
      </c>
      <c r="N42" s="1" t="s">
        <v>23</v>
      </c>
    </row>
    <row r="43" spans="1:14" x14ac:dyDescent="0.25">
      <c r="A43" s="1" t="s">
        <v>29</v>
      </c>
      <c r="B43" s="1">
        <v>1994</v>
      </c>
      <c r="C43" s="1">
        <v>2025</v>
      </c>
      <c r="D43" s="1">
        <v>4</v>
      </c>
      <c r="E43" s="1">
        <v>26.1</v>
      </c>
      <c r="F43" s="1">
        <v>33</v>
      </c>
      <c r="G43" s="1">
        <v>31</v>
      </c>
      <c r="H43" s="1">
        <v>38.200000000000003</v>
      </c>
      <c r="I43" s="1">
        <v>38.200000000000003</v>
      </c>
      <c r="J43" s="1">
        <v>177.4</v>
      </c>
      <c r="K43" s="1">
        <v>217.5</v>
      </c>
      <c r="L43" s="1">
        <v>199.5</v>
      </c>
      <c r="M43" s="1">
        <v>159.19999999999999</v>
      </c>
      <c r="N43" s="1" t="s">
        <v>23</v>
      </c>
    </row>
    <row r="44" spans="1:14" x14ac:dyDescent="0.25">
      <c r="A44" s="1" t="s">
        <v>30</v>
      </c>
      <c r="B44" s="1">
        <v>0</v>
      </c>
      <c r="C44" s="1">
        <v>1921</v>
      </c>
      <c r="D44" s="1">
        <v>1</v>
      </c>
      <c r="E44" s="1">
        <v>40.299999999999997</v>
      </c>
      <c r="F44" s="1">
        <v>25.8</v>
      </c>
      <c r="G44" s="1">
        <v>19</v>
      </c>
      <c r="H44" s="1">
        <v>19</v>
      </c>
      <c r="I44" s="1">
        <v>19</v>
      </c>
      <c r="J44" s="1">
        <v>264.89999999999998</v>
      </c>
      <c r="K44" s="1">
        <v>161.19999999999999</v>
      </c>
      <c r="L44" s="1">
        <v>158.19999999999999</v>
      </c>
      <c r="M44" s="1" t="s">
        <v>23</v>
      </c>
      <c r="N44" s="1" t="s">
        <v>23</v>
      </c>
    </row>
    <row r="45" spans="1:14" x14ac:dyDescent="0.25">
      <c r="A45" s="1" t="s">
        <v>30</v>
      </c>
      <c r="B45" s="1">
        <v>1922</v>
      </c>
      <c r="C45" s="1">
        <v>1976</v>
      </c>
      <c r="D45" s="1">
        <v>2</v>
      </c>
      <c r="E45" s="1">
        <v>36.6</v>
      </c>
      <c r="F45" s="1">
        <v>36.1</v>
      </c>
      <c r="G45" s="1">
        <v>28.5</v>
      </c>
      <c r="H45" s="1">
        <v>28.5</v>
      </c>
      <c r="I45" s="1">
        <v>28.5</v>
      </c>
      <c r="J45" s="1">
        <v>258.8</v>
      </c>
      <c r="K45" s="1">
        <v>153.5</v>
      </c>
      <c r="L45" s="1">
        <v>150.5</v>
      </c>
      <c r="M45" s="1" t="s">
        <v>23</v>
      </c>
      <c r="N45" s="1" t="s">
        <v>23</v>
      </c>
    </row>
    <row r="46" spans="1:14" x14ac:dyDescent="0.25">
      <c r="A46" s="1" t="s">
        <v>30</v>
      </c>
      <c r="B46" s="1">
        <v>1977</v>
      </c>
      <c r="C46" s="1">
        <v>1993</v>
      </c>
      <c r="D46" s="1">
        <v>3</v>
      </c>
      <c r="E46" s="1">
        <v>31.3</v>
      </c>
      <c r="F46" s="1">
        <v>36.5</v>
      </c>
      <c r="G46" s="1">
        <v>36.5</v>
      </c>
      <c r="H46" s="1">
        <v>36.5</v>
      </c>
      <c r="I46" s="1">
        <v>36.5</v>
      </c>
      <c r="J46" s="1">
        <v>295.2</v>
      </c>
      <c r="K46" s="1">
        <v>211.4</v>
      </c>
      <c r="L46" s="1" t="s">
        <v>23</v>
      </c>
      <c r="M46" s="1" t="s">
        <v>23</v>
      </c>
      <c r="N46" s="1" t="s">
        <v>23</v>
      </c>
    </row>
    <row r="47" spans="1:14" x14ac:dyDescent="0.25">
      <c r="A47" s="1" t="s">
        <v>30</v>
      </c>
      <c r="B47" s="1">
        <v>1994</v>
      </c>
      <c r="C47" s="1">
        <v>2025</v>
      </c>
      <c r="D47" s="1">
        <v>4</v>
      </c>
      <c r="E47" s="1">
        <v>25.3</v>
      </c>
      <c r="F47" s="1">
        <v>22.1</v>
      </c>
      <c r="G47" s="1">
        <v>27</v>
      </c>
      <c r="H47" s="1">
        <v>27</v>
      </c>
      <c r="I47" s="1">
        <v>27</v>
      </c>
      <c r="J47" s="1">
        <v>256.3</v>
      </c>
      <c r="K47" s="1">
        <v>218.8</v>
      </c>
      <c r="L47" s="1" t="s">
        <v>23</v>
      </c>
      <c r="M47" s="1" t="s">
        <v>23</v>
      </c>
      <c r="N47" s="1" t="s">
        <v>23</v>
      </c>
    </row>
    <row r="48" spans="1:14" x14ac:dyDescent="0.25">
      <c r="A48" s="1" t="s">
        <v>31</v>
      </c>
      <c r="B48" s="1">
        <v>0</v>
      </c>
      <c r="C48" s="1">
        <v>1921</v>
      </c>
      <c r="D48" s="1">
        <v>1</v>
      </c>
      <c r="E48" s="1">
        <v>25.1</v>
      </c>
      <c r="F48" s="1">
        <v>23.5</v>
      </c>
      <c r="G48" s="1">
        <v>21.4</v>
      </c>
      <c r="H48" s="1">
        <v>21.8</v>
      </c>
      <c r="I48" s="1">
        <v>21.8</v>
      </c>
      <c r="J48" s="1">
        <v>93.2</v>
      </c>
      <c r="K48" s="1">
        <v>68.5</v>
      </c>
      <c r="L48" s="1">
        <v>82.9</v>
      </c>
      <c r="M48" s="1">
        <v>94</v>
      </c>
      <c r="N48" s="1">
        <v>101.5</v>
      </c>
    </row>
    <row r="49" spans="1:14" x14ac:dyDescent="0.25">
      <c r="A49" s="1" t="s">
        <v>31</v>
      </c>
      <c r="B49" s="1">
        <v>1922</v>
      </c>
      <c r="C49" s="1">
        <v>1976</v>
      </c>
      <c r="D49" s="1">
        <v>2</v>
      </c>
      <c r="E49" s="1">
        <v>17.399999999999999</v>
      </c>
      <c r="F49" s="1">
        <v>21.5</v>
      </c>
      <c r="G49" s="1">
        <v>26.3</v>
      </c>
      <c r="H49" s="1">
        <v>22.1</v>
      </c>
      <c r="I49" s="1">
        <v>22.9</v>
      </c>
      <c r="J49" s="1">
        <v>62.7</v>
      </c>
      <c r="K49" s="1">
        <v>75.5</v>
      </c>
      <c r="L49" s="1">
        <v>80.400000000000006</v>
      </c>
      <c r="M49" s="1">
        <v>94.9</v>
      </c>
      <c r="N49" s="1">
        <v>97.5</v>
      </c>
    </row>
    <row r="50" spans="1:14" x14ac:dyDescent="0.25">
      <c r="A50" s="1" t="s">
        <v>31</v>
      </c>
      <c r="B50" s="1">
        <v>1977</v>
      </c>
      <c r="C50" s="1">
        <v>1993</v>
      </c>
      <c r="D50" s="1">
        <v>3</v>
      </c>
      <c r="E50" s="1">
        <v>16.3</v>
      </c>
      <c r="F50" s="1">
        <v>16.3</v>
      </c>
      <c r="G50" s="1">
        <v>22.1</v>
      </c>
      <c r="H50" s="1">
        <v>19.7</v>
      </c>
      <c r="I50" s="1">
        <v>19.7</v>
      </c>
      <c r="J50" s="1">
        <v>42.7</v>
      </c>
      <c r="K50" s="1" t="s">
        <v>23</v>
      </c>
      <c r="L50" s="1">
        <v>100.7</v>
      </c>
      <c r="M50" s="1">
        <v>119.4</v>
      </c>
      <c r="N50" s="1">
        <v>110.8</v>
      </c>
    </row>
    <row r="51" spans="1:14" x14ac:dyDescent="0.25">
      <c r="A51" s="1" t="s">
        <v>31</v>
      </c>
      <c r="B51" s="1">
        <v>1994</v>
      </c>
      <c r="C51" s="1">
        <v>2025</v>
      </c>
      <c r="D51" s="1">
        <v>4</v>
      </c>
      <c r="E51" s="1">
        <v>22.6</v>
      </c>
      <c r="F51" s="1">
        <v>22.6</v>
      </c>
      <c r="G51" s="1">
        <v>21</v>
      </c>
      <c r="H51" s="1">
        <v>21.1</v>
      </c>
      <c r="I51" s="1">
        <v>21.1</v>
      </c>
      <c r="J51" s="1">
        <v>45.5</v>
      </c>
      <c r="K51" s="1">
        <v>73.900000000000006</v>
      </c>
      <c r="L51" s="1">
        <v>103.3</v>
      </c>
      <c r="M51" s="1">
        <v>93.1</v>
      </c>
      <c r="N51" s="1">
        <v>124.2</v>
      </c>
    </row>
    <row r="52" spans="1:14" x14ac:dyDescent="0.25">
      <c r="A52" s="1" t="s">
        <v>32</v>
      </c>
      <c r="B52" s="1">
        <v>0</v>
      </c>
      <c r="C52" s="1">
        <v>1921</v>
      </c>
      <c r="D52" s="1">
        <v>1</v>
      </c>
      <c r="E52" s="1">
        <v>22.4</v>
      </c>
      <c r="F52" s="1">
        <v>19.3</v>
      </c>
      <c r="G52" s="1">
        <v>17.3</v>
      </c>
      <c r="H52" s="1">
        <v>13.8</v>
      </c>
      <c r="I52" s="1">
        <v>13.8</v>
      </c>
      <c r="J52" s="1">
        <v>56.1</v>
      </c>
      <c r="K52" s="1">
        <v>51.3</v>
      </c>
      <c r="L52" s="1">
        <v>42.7</v>
      </c>
      <c r="M52" s="1">
        <v>53.9</v>
      </c>
      <c r="N52" s="1" t="s">
        <v>23</v>
      </c>
    </row>
    <row r="53" spans="1:14" x14ac:dyDescent="0.25">
      <c r="A53" s="1" t="s">
        <v>32</v>
      </c>
      <c r="B53" s="1">
        <v>1922</v>
      </c>
      <c r="C53" s="1">
        <v>1976</v>
      </c>
      <c r="D53" s="1">
        <v>2</v>
      </c>
      <c r="E53" s="1">
        <v>17.7</v>
      </c>
      <c r="F53" s="1">
        <v>17.5</v>
      </c>
      <c r="G53" s="1">
        <v>15</v>
      </c>
      <c r="H53" s="1">
        <v>13.2</v>
      </c>
      <c r="I53" s="1">
        <v>11</v>
      </c>
      <c r="J53" s="1">
        <v>58.9</v>
      </c>
      <c r="K53" s="1">
        <v>46.1</v>
      </c>
      <c r="L53" s="1">
        <v>47.7</v>
      </c>
      <c r="M53" s="1">
        <v>48.1</v>
      </c>
      <c r="N53" s="1">
        <v>81.900000000000006</v>
      </c>
    </row>
    <row r="54" spans="1:14" x14ac:dyDescent="0.25">
      <c r="A54" s="1" t="s">
        <v>32</v>
      </c>
      <c r="B54" s="1">
        <v>1977</v>
      </c>
      <c r="C54" s="1">
        <v>1993</v>
      </c>
      <c r="D54" s="1">
        <v>3</v>
      </c>
      <c r="E54" s="1">
        <v>16.3</v>
      </c>
      <c r="F54" s="1">
        <v>17.600000000000001</v>
      </c>
      <c r="G54" s="1">
        <v>14.7</v>
      </c>
      <c r="H54" s="1">
        <v>12.4</v>
      </c>
      <c r="I54" s="1">
        <v>11.3</v>
      </c>
      <c r="J54" s="1">
        <v>55.1</v>
      </c>
      <c r="K54" s="1">
        <v>47.3</v>
      </c>
      <c r="L54" s="1">
        <v>50.4</v>
      </c>
      <c r="M54" s="1">
        <v>64.7</v>
      </c>
      <c r="N54" s="1">
        <v>80.900000000000006</v>
      </c>
    </row>
    <row r="55" spans="1:14" x14ac:dyDescent="0.25">
      <c r="A55" s="1" t="s">
        <v>32</v>
      </c>
      <c r="B55" s="1">
        <v>1994</v>
      </c>
      <c r="C55" s="1">
        <v>2025</v>
      </c>
      <c r="D55" s="1">
        <v>4</v>
      </c>
      <c r="E55" s="1">
        <v>17.8</v>
      </c>
      <c r="F55" s="1">
        <v>17.100000000000001</v>
      </c>
      <c r="G55" s="1">
        <v>13.7</v>
      </c>
      <c r="H55" s="1">
        <v>10.7</v>
      </c>
      <c r="I55" s="1">
        <v>14.5</v>
      </c>
      <c r="J55" s="1">
        <v>73.599999999999994</v>
      </c>
      <c r="K55" s="1">
        <v>56.9</v>
      </c>
      <c r="L55" s="1">
        <v>65.599999999999994</v>
      </c>
      <c r="M55" s="1">
        <v>62.3</v>
      </c>
      <c r="N55" s="1">
        <v>89.9</v>
      </c>
    </row>
    <row r="56" spans="1:14" x14ac:dyDescent="0.25">
      <c r="A56" s="1" t="s">
        <v>33</v>
      </c>
      <c r="B56" s="1">
        <v>0</v>
      </c>
      <c r="C56" s="1">
        <v>1921</v>
      </c>
      <c r="D56" s="1">
        <v>1</v>
      </c>
      <c r="E56" s="1">
        <v>19.899999999999999</v>
      </c>
      <c r="F56" s="1">
        <v>16.5</v>
      </c>
      <c r="G56" s="1">
        <v>14.2</v>
      </c>
      <c r="H56" s="1">
        <v>12.3</v>
      </c>
      <c r="I56" s="1">
        <v>12.3</v>
      </c>
      <c r="J56" s="1">
        <v>58.1</v>
      </c>
      <c r="K56" s="1">
        <v>44.6</v>
      </c>
      <c r="L56" s="1">
        <v>45.7</v>
      </c>
      <c r="M56" s="1">
        <v>55</v>
      </c>
      <c r="N56" s="1" t="s">
        <v>23</v>
      </c>
    </row>
    <row r="57" spans="1:14" x14ac:dyDescent="0.25">
      <c r="A57" s="1" t="s">
        <v>33</v>
      </c>
      <c r="B57" s="1">
        <v>1922</v>
      </c>
      <c r="C57" s="1">
        <v>1976</v>
      </c>
      <c r="D57" s="1">
        <v>2</v>
      </c>
      <c r="E57" s="1">
        <v>20</v>
      </c>
      <c r="F57" s="1">
        <v>16.5</v>
      </c>
      <c r="G57" s="1">
        <v>14</v>
      </c>
      <c r="H57" s="1">
        <v>11.9</v>
      </c>
      <c r="I57" s="1">
        <v>13</v>
      </c>
      <c r="J57" s="1">
        <v>57.2</v>
      </c>
      <c r="K57" s="1">
        <v>49.9</v>
      </c>
      <c r="L57" s="1">
        <v>51.8</v>
      </c>
      <c r="M57" s="1">
        <v>58.3</v>
      </c>
      <c r="N57" s="1">
        <v>65.900000000000006</v>
      </c>
    </row>
    <row r="58" spans="1:14" x14ac:dyDescent="0.25">
      <c r="A58" s="1" t="s">
        <v>33</v>
      </c>
      <c r="B58" s="1">
        <v>1977</v>
      </c>
      <c r="C58" s="1">
        <v>1993</v>
      </c>
      <c r="D58" s="1">
        <v>3</v>
      </c>
      <c r="E58" s="1">
        <v>16.100000000000001</v>
      </c>
      <c r="F58" s="1">
        <v>14.3</v>
      </c>
      <c r="G58" s="1">
        <v>12.1</v>
      </c>
      <c r="H58" s="1">
        <v>11</v>
      </c>
      <c r="I58" s="1">
        <v>11.1</v>
      </c>
      <c r="J58" s="1">
        <v>58.7</v>
      </c>
      <c r="K58" s="1">
        <v>57</v>
      </c>
      <c r="L58" s="1">
        <v>59.3</v>
      </c>
      <c r="M58" s="1">
        <v>66</v>
      </c>
      <c r="N58" s="1">
        <v>73.900000000000006</v>
      </c>
    </row>
    <row r="59" spans="1:14" x14ac:dyDescent="0.25">
      <c r="A59" s="1" t="s">
        <v>33</v>
      </c>
      <c r="B59" s="1">
        <v>1994</v>
      </c>
      <c r="C59" s="1">
        <v>2025</v>
      </c>
      <c r="D59" s="1">
        <v>4</v>
      </c>
      <c r="E59" s="1">
        <v>12</v>
      </c>
      <c r="F59" s="1">
        <v>11.4</v>
      </c>
      <c r="G59" s="1">
        <v>11.1</v>
      </c>
      <c r="H59" s="1">
        <v>10.3</v>
      </c>
      <c r="I59" s="1">
        <v>9.6999999999999993</v>
      </c>
      <c r="J59" s="1">
        <v>55.9</v>
      </c>
      <c r="K59" s="1">
        <v>53.8</v>
      </c>
      <c r="L59" s="1">
        <v>60.8</v>
      </c>
      <c r="M59" s="1">
        <v>71.400000000000006</v>
      </c>
      <c r="N59" s="1">
        <v>81.2</v>
      </c>
    </row>
    <row r="60" spans="1:14" x14ac:dyDescent="0.25">
      <c r="A60" s="1" t="s">
        <v>34</v>
      </c>
      <c r="B60" s="1">
        <v>0</v>
      </c>
      <c r="C60" s="1">
        <v>1921</v>
      </c>
      <c r="D60" s="1">
        <v>1</v>
      </c>
      <c r="E60" s="1" t="s">
        <v>23</v>
      </c>
      <c r="F60" s="1" t="s">
        <v>23</v>
      </c>
      <c r="G60" s="1">
        <v>16.100000000000001</v>
      </c>
      <c r="H60" s="1">
        <v>12.9</v>
      </c>
      <c r="I60" s="1">
        <v>12.9</v>
      </c>
      <c r="J60" s="1" t="s">
        <v>23</v>
      </c>
      <c r="K60" s="1" t="s">
        <v>23</v>
      </c>
      <c r="L60" s="1">
        <v>35.6</v>
      </c>
      <c r="M60" s="1">
        <v>24.8</v>
      </c>
      <c r="N60" s="1">
        <v>24.8</v>
      </c>
    </row>
    <row r="61" spans="1:14" x14ac:dyDescent="0.25">
      <c r="A61" s="1" t="s">
        <v>34</v>
      </c>
      <c r="B61" s="1">
        <v>1922</v>
      </c>
      <c r="C61" s="1">
        <v>1976</v>
      </c>
      <c r="D61" s="1">
        <v>2</v>
      </c>
      <c r="E61" s="1" t="s">
        <v>23</v>
      </c>
      <c r="F61" s="1">
        <v>15.9</v>
      </c>
      <c r="G61" s="1">
        <v>14</v>
      </c>
      <c r="H61" s="1">
        <v>11.7</v>
      </c>
      <c r="I61" s="1">
        <v>8.1</v>
      </c>
      <c r="J61" s="1" t="s">
        <v>23</v>
      </c>
      <c r="K61" s="1">
        <v>32.299999999999997</v>
      </c>
      <c r="L61" s="1">
        <v>28.1</v>
      </c>
      <c r="M61" s="1">
        <v>25.1</v>
      </c>
      <c r="N61" s="1">
        <v>18.600000000000001</v>
      </c>
    </row>
    <row r="62" spans="1:14" x14ac:dyDescent="0.25">
      <c r="A62" s="1" t="s">
        <v>34</v>
      </c>
      <c r="B62" s="1">
        <v>1977</v>
      </c>
      <c r="C62" s="1">
        <v>1993</v>
      </c>
      <c r="D62" s="1">
        <v>3</v>
      </c>
      <c r="E62" s="1" t="s">
        <v>23</v>
      </c>
      <c r="F62" s="1">
        <v>17.100000000000001</v>
      </c>
      <c r="G62" s="1">
        <v>13</v>
      </c>
      <c r="H62" s="1">
        <v>9.6999999999999993</v>
      </c>
      <c r="I62" s="1">
        <v>6.8</v>
      </c>
      <c r="J62" s="1" t="s">
        <v>23</v>
      </c>
      <c r="K62" s="1">
        <v>34.299999999999997</v>
      </c>
      <c r="L62" s="1">
        <v>29.8</v>
      </c>
      <c r="M62" s="1">
        <v>27.3</v>
      </c>
      <c r="N62" s="1">
        <v>21.1</v>
      </c>
    </row>
    <row r="63" spans="1:14" x14ac:dyDescent="0.25">
      <c r="A63" s="1" t="s">
        <v>34</v>
      </c>
      <c r="B63" s="1">
        <v>1994</v>
      </c>
      <c r="C63" s="1">
        <v>2025</v>
      </c>
      <c r="D63" s="1">
        <v>4</v>
      </c>
      <c r="E63" s="1">
        <v>19.8</v>
      </c>
      <c r="F63" s="1">
        <v>16.3</v>
      </c>
      <c r="G63" s="1">
        <v>13.8</v>
      </c>
      <c r="H63" s="1">
        <v>8.6</v>
      </c>
      <c r="I63" s="1">
        <v>19.600000000000001</v>
      </c>
      <c r="J63" s="1">
        <v>40.200000000000003</v>
      </c>
      <c r="K63" s="1">
        <v>40.5</v>
      </c>
      <c r="L63" s="1">
        <v>34.700000000000003</v>
      </c>
      <c r="M63" s="1">
        <v>34.299999999999997</v>
      </c>
      <c r="N63" s="1">
        <v>37</v>
      </c>
    </row>
    <row r="64" spans="1:14" x14ac:dyDescent="0.25">
      <c r="A64" s="1" t="s">
        <v>35</v>
      </c>
      <c r="B64" s="1">
        <v>0</v>
      </c>
      <c r="C64" s="1">
        <v>1921</v>
      </c>
      <c r="D64" s="1">
        <v>1</v>
      </c>
      <c r="E64" s="1">
        <v>19.600000000000001</v>
      </c>
      <c r="F64" s="1">
        <v>17.2</v>
      </c>
      <c r="G64" s="1">
        <v>15.7</v>
      </c>
      <c r="H64" s="1">
        <v>12.8</v>
      </c>
      <c r="I64" s="1">
        <v>12.8</v>
      </c>
      <c r="J64" s="1">
        <v>46.7</v>
      </c>
      <c r="K64" s="1">
        <v>38.6</v>
      </c>
      <c r="L64" s="1">
        <v>41.8</v>
      </c>
      <c r="M64" s="1">
        <v>34</v>
      </c>
      <c r="N64" s="1" t="s">
        <v>23</v>
      </c>
    </row>
    <row r="65" spans="1:14" x14ac:dyDescent="0.25">
      <c r="A65" s="1" t="s">
        <v>35</v>
      </c>
      <c r="B65" s="1">
        <v>1922</v>
      </c>
      <c r="C65" s="1">
        <v>1976</v>
      </c>
      <c r="D65" s="1">
        <v>2</v>
      </c>
      <c r="E65" s="1">
        <v>15.9</v>
      </c>
      <c r="F65" s="1">
        <v>15.5</v>
      </c>
      <c r="G65" s="1">
        <v>13.6</v>
      </c>
      <c r="H65" s="1">
        <v>12.7</v>
      </c>
      <c r="I65" s="1">
        <v>12.7</v>
      </c>
      <c r="J65" s="1">
        <v>43.4</v>
      </c>
      <c r="K65" s="1">
        <v>36.4</v>
      </c>
      <c r="L65" s="1">
        <v>37.700000000000003</v>
      </c>
      <c r="M65" s="1">
        <v>31.8</v>
      </c>
      <c r="N65" s="1" t="s">
        <v>23</v>
      </c>
    </row>
    <row r="66" spans="1:14" x14ac:dyDescent="0.25">
      <c r="A66" s="1" t="s">
        <v>35</v>
      </c>
      <c r="B66" s="1">
        <v>1977</v>
      </c>
      <c r="C66" s="1">
        <v>1993</v>
      </c>
      <c r="D66" s="1">
        <v>3</v>
      </c>
      <c r="E66" s="1">
        <v>14.4</v>
      </c>
      <c r="F66" s="1">
        <v>13.1</v>
      </c>
      <c r="G66" s="1">
        <v>11.6</v>
      </c>
      <c r="H66" s="1">
        <v>10.4</v>
      </c>
      <c r="I66" s="1">
        <v>10.4</v>
      </c>
      <c r="J66" s="1">
        <v>41.2</v>
      </c>
      <c r="K66" s="1">
        <v>42.9</v>
      </c>
      <c r="L66" s="1">
        <v>43.5</v>
      </c>
      <c r="M66" s="1">
        <v>39.5</v>
      </c>
      <c r="N66" s="1" t="s">
        <v>23</v>
      </c>
    </row>
    <row r="67" spans="1:14" x14ac:dyDescent="0.25">
      <c r="A67" s="1" t="s">
        <v>35</v>
      </c>
      <c r="B67" s="1">
        <v>1994</v>
      </c>
      <c r="C67" s="1">
        <v>2025</v>
      </c>
      <c r="D67" s="1">
        <v>4</v>
      </c>
      <c r="E67" s="1">
        <v>16.399999999999999</v>
      </c>
      <c r="F67" s="1">
        <v>15.8</v>
      </c>
      <c r="G67" s="1">
        <v>13.6</v>
      </c>
      <c r="H67" s="1">
        <v>19.600000000000001</v>
      </c>
      <c r="I67" s="1">
        <v>19.600000000000001</v>
      </c>
      <c r="J67" s="1">
        <v>44.9</v>
      </c>
      <c r="K67" s="1">
        <v>47.7</v>
      </c>
      <c r="L67" s="1">
        <v>42.7</v>
      </c>
      <c r="M67" s="1">
        <v>44.2</v>
      </c>
      <c r="N67" s="1" t="s">
        <v>23</v>
      </c>
    </row>
    <row r="68" spans="1:14" x14ac:dyDescent="0.25">
      <c r="A68" s="1" t="s">
        <v>36</v>
      </c>
      <c r="B68" s="1">
        <v>0</v>
      </c>
      <c r="C68" s="1">
        <v>1921</v>
      </c>
      <c r="D68" s="1">
        <v>1</v>
      </c>
      <c r="E68" s="1">
        <v>19.399999999999999</v>
      </c>
      <c r="F68" s="1">
        <v>16</v>
      </c>
      <c r="G68" s="1">
        <v>14.7</v>
      </c>
      <c r="H68" s="1">
        <v>14.7</v>
      </c>
      <c r="I68" s="1">
        <v>14.7</v>
      </c>
      <c r="J68" s="1">
        <v>60.9</v>
      </c>
      <c r="K68" s="1">
        <v>42.6</v>
      </c>
      <c r="L68" s="1">
        <v>34.700000000000003</v>
      </c>
      <c r="M68" s="1" t="s">
        <v>23</v>
      </c>
      <c r="N68" s="1" t="s">
        <v>23</v>
      </c>
    </row>
    <row r="69" spans="1:14" x14ac:dyDescent="0.25">
      <c r="A69" s="1" t="s">
        <v>36</v>
      </c>
      <c r="B69" s="1">
        <v>1922</v>
      </c>
      <c r="C69" s="1">
        <v>1976</v>
      </c>
      <c r="D69" s="1">
        <v>2</v>
      </c>
      <c r="E69" s="1">
        <v>16</v>
      </c>
      <c r="F69" s="1">
        <v>13.8</v>
      </c>
      <c r="G69" s="1">
        <v>13.3</v>
      </c>
      <c r="H69" s="1">
        <v>12.2</v>
      </c>
      <c r="I69" s="1">
        <v>12.2</v>
      </c>
      <c r="J69" s="1">
        <v>57.2</v>
      </c>
      <c r="K69" s="1">
        <v>49.4</v>
      </c>
      <c r="L69" s="1">
        <v>48.4</v>
      </c>
      <c r="M69" s="1">
        <v>52.1</v>
      </c>
      <c r="N69" s="1" t="s">
        <v>23</v>
      </c>
    </row>
    <row r="70" spans="1:14" x14ac:dyDescent="0.25">
      <c r="A70" s="1" t="s">
        <v>36</v>
      </c>
      <c r="B70" s="1">
        <v>1977</v>
      </c>
      <c r="C70" s="1">
        <v>1993</v>
      </c>
      <c r="D70" s="1">
        <v>3</v>
      </c>
      <c r="E70" s="1">
        <v>12.9</v>
      </c>
      <c r="F70" s="1">
        <v>11.5</v>
      </c>
      <c r="G70" s="1">
        <v>11.5</v>
      </c>
      <c r="H70" s="1">
        <v>11.1</v>
      </c>
      <c r="I70" s="1">
        <v>11.1</v>
      </c>
      <c r="J70" s="1">
        <v>62.2</v>
      </c>
      <c r="K70" s="1">
        <v>56.2</v>
      </c>
      <c r="L70" s="1">
        <v>57.6</v>
      </c>
      <c r="M70" s="1">
        <v>55.6</v>
      </c>
      <c r="N70" s="1" t="s">
        <v>23</v>
      </c>
    </row>
    <row r="71" spans="1:14" x14ac:dyDescent="0.25">
      <c r="A71" s="1" t="s">
        <v>36</v>
      </c>
      <c r="B71" s="1">
        <v>1994</v>
      </c>
      <c r="C71" s="1">
        <v>2025</v>
      </c>
      <c r="D71" s="1">
        <v>4</v>
      </c>
      <c r="E71" s="1">
        <v>16.7</v>
      </c>
      <c r="F71" s="1">
        <v>12.7</v>
      </c>
      <c r="G71" s="1">
        <v>13.6</v>
      </c>
      <c r="H71" s="1">
        <v>24</v>
      </c>
      <c r="I71" s="1">
        <v>24</v>
      </c>
      <c r="J71" s="1">
        <v>61.7</v>
      </c>
      <c r="K71" s="1">
        <v>60.5</v>
      </c>
      <c r="L71" s="1">
        <v>64.2</v>
      </c>
      <c r="M71" s="1">
        <v>67.2</v>
      </c>
      <c r="N71" s="1" t="s">
        <v>23</v>
      </c>
    </row>
    <row r="72" spans="1:14" x14ac:dyDescent="0.25">
      <c r="A72" s="1" t="s">
        <v>37</v>
      </c>
      <c r="B72" s="1">
        <v>0</v>
      </c>
      <c r="C72" s="1">
        <v>1921</v>
      </c>
      <c r="D72" s="1">
        <v>1</v>
      </c>
      <c r="E72" s="1">
        <v>21.9</v>
      </c>
      <c r="F72" s="1">
        <v>19.3</v>
      </c>
      <c r="G72" s="1">
        <v>19.8</v>
      </c>
      <c r="H72" s="1">
        <v>18.899999999999999</v>
      </c>
      <c r="I72" s="1">
        <v>18.899999999999999</v>
      </c>
      <c r="J72" s="1">
        <v>65.5</v>
      </c>
      <c r="K72" s="1">
        <v>58.8</v>
      </c>
      <c r="L72" s="1">
        <v>54.2</v>
      </c>
      <c r="M72" s="1">
        <v>48.2</v>
      </c>
      <c r="N72" s="1" t="s">
        <v>23</v>
      </c>
    </row>
    <row r="73" spans="1:14" x14ac:dyDescent="0.25">
      <c r="A73" s="1" t="s">
        <v>37</v>
      </c>
      <c r="B73" s="1">
        <v>1922</v>
      </c>
      <c r="C73" s="1">
        <v>1976</v>
      </c>
      <c r="D73" s="1">
        <v>2</v>
      </c>
      <c r="E73" s="1">
        <v>18.899999999999999</v>
      </c>
      <c r="F73" s="1">
        <v>18.899999999999999</v>
      </c>
      <c r="G73" s="1">
        <v>17.5</v>
      </c>
      <c r="H73" s="1">
        <v>16.600000000000001</v>
      </c>
      <c r="I73" s="1">
        <v>18.100000000000001</v>
      </c>
      <c r="J73" s="1">
        <v>46.8</v>
      </c>
      <c r="K73" s="1">
        <v>46.9</v>
      </c>
      <c r="L73" s="1">
        <v>46.5</v>
      </c>
      <c r="M73" s="1">
        <v>53.9</v>
      </c>
      <c r="N73" s="1">
        <v>60.8</v>
      </c>
    </row>
    <row r="74" spans="1:14" x14ac:dyDescent="0.25">
      <c r="A74" s="1" t="s">
        <v>37</v>
      </c>
      <c r="B74" s="1">
        <v>1977</v>
      </c>
      <c r="C74" s="1">
        <v>1993</v>
      </c>
      <c r="D74" s="1">
        <v>3</v>
      </c>
      <c r="E74" s="1">
        <v>16.2</v>
      </c>
      <c r="F74" s="1">
        <v>18.600000000000001</v>
      </c>
      <c r="G74" s="1">
        <v>15.2</v>
      </c>
      <c r="H74" s="1">
        <v>13.6</v>
      </c>
      <c r="I74" s="1">
        <v>15.5</v>
      </c>
      <c r="J74" s="1">
        <v>49.5</v>
      </c>
      <c r="K74" s="1">
        <v>51.9</v>
      </c>
      <c r="L74" s="1">
        <v>54.3</v>
      </c>
      <c r="M74" s="1">
        <v>56.8</v>
      </c>
      <c r="N74" s="1">
        <v>65.400000000000006</v>
      </c>
    </row>
    <row r="75" spans="1:14" x14ac:dyDescent="0.25">
      <c r="A75" s="1" t="s">
        <v>37</v>
      </c>
      <c r="B75" s="1">
        <v>1994</v>
      </c>
      <c r="C75" s="1">
        <v>2025</v>
      </c>
      <c r="D75" s="1">
        <v>4</v>
      </c>
      <c r="E75" s="1">
        <v>21.3</v>
      </c>
      <c r="F75" s="1">
        <v>19.600000000000001</v>
      </c>
      <c r="G75" s="1">
        <v>16.7</v>
      </c>
      <c r="H75" s="1">
        <v>21.7</v>
      </c>
      <c r="I75" s="1">
        <v>19.2</v>
      </c>
      <c r="J75" s="1">
        <v>49.9</v>
      </c>
      <c r="K75" s="1">
        <v>62.9</v>
      </c>
      <c r="L75" s="1">
        <v>59.3</v>
      </c>
      <c r="M75" s="1">
        <v>61.4</v>
      </c>
      <c r="N75" s="1">
        <v>71.5</v>
      </c>
    </row>
    <row r="76" spans="1:14" x14ac:dyDescent="0.25">
      <c r="A76" s="1" t="s">
        <v>38</v>
      </c>
      <c r="B76" s="1">
        <v>0</v>
      </c>
      <c r="C76" s="1">
        <v>1921</v>
      </c>
      <c r="D76" s="1">
        <v>1</v>
      </c>
      <c r="E76" s="1">
        <v>19.7</v>
      </c>
      <c r="F76" s="1">
        <v>18.100000000000001</v>
      </c>
      <c r="G76" s="1">
        <v>14.6</v>
      </c>
      <c r="H76" s="1">
        <v>14.6</v>
      </c>
      <c r="I76" s="1">
        <v>14.6</v>
      </c>
      <c r="J76" s="1">
        <v>54.2</v>
      </c>
      <c r="K76" s="1">
        <v>55.3</v>
      </c>
      <c r="L76" s="1">
        <v>53.4</v>
      </c>
      <c r="M76" s="1" t="s">
        <v>23</v>
      </c>
      <c r="N76" s="1" t="s">
        <v>23</v>
      </c>
    </row>
    <row r="77" spans="1:14" x14ac:dyDescent="0.25">
      <c r="A77" s="1" t="s">
        <v>38</v>
      </c>
      <c r="B77" s="1">
        <v>1922</v>
      </c>
      <c r="C77" s="1">
        <v>1976</v>
      </c>
      <c r="D77" s="1">
        <v>2</v>
      </c>
      <c r="E77" s="1">
        <v>15.7</v>
      </c>
      <c r="F77" s="1">
        <v>16.600000000000001</v>
      </c>
      <c r="G77" s="1">
        <v>14.5</v>
      </c>
      <c r="H77" s="1">
        <v>12.4</v>
      </c>
      <c r="I77" s="1">
        <v>9.1999999999999993</v>
      </c>
      <c r="J77" s="1">
        <v>56</v>
      </c>
      <c r="K77" s="1">
        <v>37.9</v>
      </c>
      <c r="L77" s="1">
        <v>48.8</v>
      </c>
      <c r="M77" s="1">
        <v>50.6</v>
      </c>
      <c r="N77" s="1">
        <v>48.9</v>
      </c>
    </row>
    <row r="78" spans="1:14" x14ac:dyDescent="0.25">
      <c r="A78" s="1" t="s">
        <v>38</v>
      </c>
      <c r="B78" s="1">
        <v>1977</v>
      </c>
      <c r="C78" s="1">
        <v>1993</v>
      </c>
      <c r="D78" s="1">
        <v>3</v>
      </c>
      <c r="E78" s="1">
        <v>14.3</v>
      </c>
      <c r="F78" s="1">
        <v>13</v>
      </c>
      <c r="G78" s="1">
        <v>10.4</v>
      </c>
      <c r="H78" s="1">
        <v>9.5</v>
      </c>
      <c r="I78" s="1">
        <v>9.1999999999999993</v>
      </c>
      <c r="J78" s="1">
        <v>54.2</v>
      </c>
      <c r="K78" s="1">
        <v>42</v>
      </c>
      <c r="L78" s="1">
        <v>51.4</v>
      </c>
      <c r="M78" s="1">
        <v>57.9</v>
      </c>
      <c r="N78" s="1">
        <v>52.1</v>
      </c>
    </row>
    <row r="79" spans="1:14" x14ac:dyDescent="0.25">
      <c r="A79" s="1" t="s">
        <v>38</v>
      </c>
      <c r="B79" s="1">
        <v>1994</v>
      </c>
      <c r="C79" s="1">
        <v>2025</v>
      </c>
      <c r="D79" s="1">
        <v>4</v>
      </c>
      <c r="E79" s="1">
        <v>16.399999999999999</v>
      </c>
      <c r="F79" s="1">
        <v>11.6</v>
      </c>
      <c r="G79" s="1">
        <v>12.2</v>
      </c>
      <c r="H79" s="1">
        <v>10.5</v>
      </c>
      <c r="I79" s="1">
        <v>21.4</v>
      </c>
      <c r="J79" s="1">
        <v>54.3</v>
      </c>
      <c r="K79" s="1">
        <v>52.4</v>
      </c>
      <c r="L79" s="1">
        <v>58.6</v>
      </c>
      <c r="M79" s="1">
        <v>68.099999999999994</v>
      </c>
      <c r="N79" s="1">
        <v>66.599999999999994</v>
      </c>
    </row>
    <row r="80" spans="1:14" x14ac:dyDescent="0.25">
      <c r="A80" s="1" t="s">
        <v>39</v>
      </c>
      <c r="B80" s="1">
        <v>0</v>
      </c>
      <c r="C80" s="1">
        <v>1921</v>
      </c>
      <c r="D80" s="1">
        <v>1</v>
      </c>
      <c r="E80" s="1">
        <v>18.600000000000001</v>
      </c>
      <c r="F80" s="1">
        <v>17.3</v>
      </c>
      <c r="G80" s="1">
        <v>17.3</v>
      </c>
      <c r="H80" s="1">
        <v>17.3</v>
      </c>
      <c r="I80" s="1">
        <v>17.3</v>
      </c>
      <c r="J80" s="1">
        <v>97</v>
      </c>
      <c r="K80" s="1">
        <v>67.599999999999994</v>
      </c>
      <c r="L80" s="1" t="s">
        <v>23</v>
      </c>
      <c r="M80" s="1" t="s">
        <v>23</v>
      </c>
      <c r="N80" s="1" t="s">
        <v>23</v>
      </c>
    </row>
    <row r="81" spans="1:14" x14ac:dyDescent="0.25">
      <c r="A81" s="1" t="s">
        <v>39</v>
      </c>
      <c r="B81" s="1">
        <v>1922</v>
      </c>
      <c r="C81" s="1">
        <v>1976</v>
      </c>
      <c r="D81" s="1">
        <v>2</v>
      </c>
      <c r="E81" s="1">
        <v>16.5</v>
      </c>
      <c r="F81" s="1">
        <v>15.7</v>
      </c>
      <c r="G81" s="1">
        <v>13.9</v>
      </c>
      <c r="H81" s="1">
        <v>9</v>
      </c>
      <c r="I81" s="1">
        <v>9</v>
      </c>
      <c r="J81" s="1">
        <v>88</v>
      </c>
      <c r="K81" s="1">
        <v>76.5</v>
      </c>
      <c r="L81" s="1">
        <v>61.6</v>
      </c>
      <c r="M81" s="1">
        <v>45.2</v>
      </c>
      <c r="N81" s="1" t="s">
        <v>23</v>
      </c>
    </row>
    <row r="82" spans="1:14" x14ac:dyDescent="0.25">
      <c r="A82" s="1" t="s">
        <v>39</v>
      </c>
      <c r="B82" s="1">
        <v>1977</v>
      </c>
      <c r="C82" s="1">
        <v>1993</v>
      </c>
      <c r="D82" s="1">
        <v>3</v>
      </c>
      <c r="E82" s="1">
        <v>14.2</v>
      </c>
      <c r="F82" s="1">
        <v>14.4</v>
      </c>
      <c r="G82" s="1">
        <v>12.4</v>
      </c>
      <c r="H82" s="1">
        <v>9.8000000000000007</v>
      </c>
      <c r="I82" s="1">
        <v>9.8000000000000007</v>
      </c>
      <c r="J82" s="1">
        <v>93.3</v>
      </c>
      <c r="K82" s="1">
        <v>82.9</v>
      </c>
      <c r="L82" s="1">
        <v>62.8</v>
      </c>
      <c r="M82" s="1">
        <v>49.3</v>
      </c>
      <c r="N82" s="1" t="s">
        <v>23</v>
      </c>
    </row>
    <row r="83" spans="1:14" x14ac:dyDescent="0.25">
      <c r="A83" s="1" t="s">
        <v>39</v>
      </c>
      <c r="B83" s="1">
        <v>1994</v>
      </c>
      <c r="C83" s="1">
        <v>2025</v>
      </c>
      <c r="D83" s="1">
        <v>4</v>
      </c>
      <c r="E83" s="1">
        <v>14.8</v>
      </c>
      <c r="F83" s="1">
        <v>15.5</v>
      </c>
      <c r="G83" s="1">
        <v>10.7</v>
      </c>
      <c r="H83" s="1">
        <v>19.399999999999999</v>
      </c>
      <c r="I83" s="1">
        <v>19.399999999999999</v>
      </c>
      <c r="J83" s="1">
        <v>77.599999999999994</v>
      </c>
      <c r="K83" s="1">
        <v>84.2</v>
      </c>
      <c r="L83" s="1">
        <v>73.400000000000006</v>
      </c>
      <c r="M83" s="1">
        <v>58.2</v>
      </c>
      <c r="N83" s="1" t="s">
        <v>23</v>
      </c>
    </row>
    <row r="84" spans="1:14" x14ac:dyDescent="0.25">
      <c r="A84" s="1" t="s">
        <v>40</v>
      </c>
      <c r="B84" s="1">
        <v>0</v>
      </c>
      <c r="C84" s="1">
        <v>1921</v>
      </c>
      <c r="D84" s="1">
        <v>1</v>
      </c>
      <c r="E84" s="1">
        <v>19.399999999999999</v>
      </c>
      <c r="F84" s="1">
        <v>16</v>
      </c>
      <c r="G84" s="1">
        <v>13.4</v>
      </c>
      <c r="H84" s="1">
        <v>10.4</v>
      </c>
      <c r="I84" s="1">
        <v>10.4</v>
      </c>
      <c r="J84" s="1">
        <v>23.9</v>
      </c>
      <c r="K84" s="1">
        <v>19</v>
      </c>
      <c r="L84" s="1">
        <v>17.399999999999999</v>
      </c>
      <c r="M84" s="1">
        <v>16.399999999999999</v>
      </c>
      <c r="N84" s="1" t="s">
        <v>23</v>
      </c>
    </row>
    <row r="85" spans="1:14" x14ac:dyDescent="0.25">
      <c r="A85" s="1" t="s">
        <v>40</v>
      </c>
      <c r="B85" s="1">
        <v>1922</v>
      </c>
      <c r="C85" s="1">
        <v>1976</v>
      </c>
      <c r="D85" s="1">
        <v>2</v>
      </c>
      <c r="E85" s="1">
        <v>18.7</v>
      </c>
      <c r="F85" s="1">
        <v>16.5</v>
      </c>
      <c r="G85" s="1">
        <v>14.5</v>
      </c>
      <c r="H85" s="1">
        <v>10.6</v>
      </c>
      <c r="I85" s="1">
        <v>10.6</v>
      </c>
      <c r="J85" s="1">
        <v>25.4</v>
      </c>
      <c r="K85" s="1">
        <v>19.7</v>
      </c>
      <c r="L85" s="1">
        <v>17.5</v>
      </c>
      <c r="M85" s="1">
        <v>15.7</v>
      </c>
      <c r="N85" s="1" t="s">
        <v>23</v>
      </c>
    </row>
    <row r="86" spans="1:14" x14ac:dyDescent="0.25">
      <c r="A86" s="1" t="s">
        <v>40</v>
      </c>
      <c r="B86" s="1">
        <v>1977</v>
      </c>
      <c r="C86" s="1">
        <v>1993</v>
      </c>
      <c r="D86" s="1">
        <v>3</v>
      </c>
      <c r="E86" s="1">
        <v>16.899999999999999</v>
      </c>
      <c r="F86" s="1">
        <v>14.1</v>
      </c>
      <c r="G86" s="1">
        <v>12.6</v>
      </c>
      <c r="H86" s="1">
        <v>8.6</v>
      </c>
      <c r="I86" s="1">
        <v>8.6</v>
      </c>
      <c r="J86" s="1">
        <v>30</v>
      </c>
      <c r="K86" s="1">
        <v>21.2</v>
      </c>
      <c r="L86" s="1">
        <v>19.5</v>
      </c>
      <c r="M86" s="1">
        <v>21.4</v>
      </c>
      <c r="N86" s="1" t="s">
        <v>23</v>
      </c>
    </row>
    <row r="87" spans="1:14" x14ac:dyDescent="0.25">
      <c r="A87" s="1" t="s">
        <v>40</v>
      </c>
      <c r="B87" s="1">
        <v>1994</v>
      </c>
      <c r="C87" s="1">
        <v>2025</v>
      </c>
      <c r="D87" s="1">
        <v>4</v>
      </c>
      <c r="E87" s="1">
        <v>13.2</v>
      </c>
      <c r="F87" s="1">
        <v>13</v>
      </c>
      <c r="G87" s="1">
        <v>10.7</v>
      </c>
      <c r="H87" s="1">
        <v>8.1999999999999993</v>
      </c>
      <c r="I87" s="1">
        <v>8.1999999999999993</v>
      </c>
      <c r="J87" s="1">
        <v>25.8</v>
      </c>
      <c r="K87" s="1">
        <v>22.5</v>
      </c>
      <c r="L87" s="1">
        <v>20.5</v>
      </c>
      <c r="M87" s="1">
        <v>21.2</v>
      </c>
      <c r="N87" s="1" t="s">
        <v>23</v>
      </c>
    </row>
  </sheetData>
  <sheetProtection algorithmName="SHA-512" hashValue="vwzFjAjYfjNC/+9OxfiFSPtYPOVB9yUV9l4PQafIcFV7ljNBk/LDhGPURwg0e4AMvuPjGVvk8G+Je9+we5sGUg==" saltValue="jfy9+hyNCb7wPzC5wfElp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66A-CFB8-664B-A219-70F5BD0C1FA7}">
  <dimension ref="A1:E57"/>
  <sheetViews>
    <sheetView showGridLines="0" tabSelected="1" zoomScale="85" zoomScaleNormal="85" workbookViewId="0">
      <selection activeCell="C37" sqref="C37"/>
    </sheetView>
  </sheetViews>
  <sheetFormatPr defaultColWidth="10.75" defaultRowHeight="15.75" x14ac:dyDescent="0.25"/>
  <cols>
    <col min="1" max="1" width="5.875" customWidth="1"/>
    <col min="2" max="2" width="22.625" customWidth="1"/>
    <col min="3" max="3" width="14.5" style="13" customWidth="1"/>
    <col min="4" max="4" width="5" customWidth="1"/>
    <col min="5" max="5" width="13.125" bestFit="1" customWidth="1"/>
  </cols>
  <sheetData>
    <row r="1" spans="1:5" x14ac:dyDescent="0.25">
      <c r="C1"/>
    </row>
    <row r="2" spans="1:5" x14ac:dyDescent="0.25">
      <c r="B2" s="2" t="s">
        <v>80</v>
      </c>
      <c r="C2"/>
    </row>
    <row r="3" spans="1:5" x14ac:dyDescent="0.25">
      <c r="C3"/>
    </row>
    <row r="4" spans="1:5" x14ac:dyDescent="0.25">
      <c r="B4" s="2" t="s">
        <v>94</v>
      </c>
      <c r="C4"/>
    </row>
    <row r="5" spans="1:5" x14ac:dyDescent="0.25">
      <c r="B5" s="1" t="s">
        <v>97</v>
      </c>
      <c r="C5" s="19">
        <v>0.02</v>
      </c>
      <c r="D5" s="1"/>
      <c r="E5" s="39" t="s">
        <v>123</v>
      </c>
    </row>
    <row r="6" spans="1:5" x14ac:dyDescent="0.25">
      <c r="B6" s="1" t="s">
        <v>96</v>
      </c>
      <c r="C6" s="20" t="s">
        <v>98</v>
      </c>
      <c r="D6" s="1"/>
      <c r="E6" s="48" t="s">
        <v>124</v>
      </c>
    </row>
    <row r="7" spans="1:5" x14ac:dyDescent="0.25">
      <c r="B7" s="1" t="s">
        <v>100</v>
      </c>
      <c r="C7" s="21">
        <v>0.2</v>
      </c>
      <c r="D7" s="1"/>
      <c r="E7" s="21" t="s">
        <v>126</v>
      </c>
    </row>
    <row r="8" spans="1:5" x14ac:dyDescent="0.25">
      <c r="B8" s="1" t="s">
        <v>99</v>
      </c>
      <c r="C8" s="22">
        <v>0.04</v>
      </c>
      <c r="D8" s="1"/>
    </row>
    <row r="9" spans="1:5" x14ac:dyDescent="0.25">
      <c r="B9" s="1" t="s">
        <v>104</v>
      </c>
      <c r="C9" s="23">
        <v>0.16500000000000001</v>
      </c>
      <c r="D9" s="1"/>
    </row>
    <row r="10" spans="1:5" x14ac:dyDescent="0.25">
      <c r="C10"/>
    </row>
    <row r="11" spans="1:5" x14ac:dyDescent="0.25">
      <c r="C11"/>
    </row>
    <row r="12" spans="1:5" x14ac:dyDescent="0.25">
      <c r="A12" s="18" t="s">
        <v>106</v>
      </c>
      <c r="B12" s="2" t="s">
        <v>110</v>
      </c>
      <c r="C12" s="4" t="s">
        <v>86</v>
      </c>
    </row>
    <row r="13" spans="1:5" x14ac:dyDescent="0.25">
      <c r="B13" s="5" t="s">
        <v>90</v>
      </c>
      <c r="C13" s="14">
        <v>12</v>
      </c>
      <c r="D13" s="5" t="s">
        <v>91</v>
      </c>
    </row>
    <row r="14" spans="1:5" x14ac:dyDescent="0.25">
      <c r="B14" s="5" t="s">
        <v>83</v>
      </c>
      <c r="C14" s="14">
        <v>6</v>
      </c>
      <c r="D14" s="5" t="s">
        <v>91</v>
      </c>
    </row>
    <row r="15" spans="1:5" x14ac:dyDescent="0.25">
      <c r="B15" s="5"/>
      <c r="C15" s="14"/>
      <c r="D15" s="5"/>
    </row>
    <row r="16" spans="1:5" x14ac:dyDescent="0.25">
      <c r="B16" s="10" t="s">
        <v>6</v>
      </c>
      <c r="C16" s="38">
        <v>160000</v>
      </c>
      <c r="D16" s="5"/>
    </row>
    <row r="17" spans="2:4" x14ac:dyDescent="0.25">
      <c r="B17" s="10" t="s">
        <v>92</v>
      </c>
      <c r="C17" s="38">
        <v>10000</v>
      </c>
      <c r="D17" s="5"/>
    </row>
    <row r="18" spans="2:4" x14ac:dyDescent="0.25">
      <c r="B18" s="10" t="s">
        <v>109</v>
      </c>
      <c r="C18" s="38">
        <v>0</v>
      </c>
      <c r="D18" s="5"/>
    </row>
    <row r="19" spans="2:4" x14ac:dyDescent="0.25">
      <c r="B19" s="9"/>
      <c r="C19" s="24"/>
      <c r="D19" s="5"/>
    </row>
    <row r="20" spans="2:4" x14ac:dyDescent="0.25">
      <c r="B20" s="5" t="s">
        <v>78</v>
      </c>
      <c r="C20" s="14"/>
      <c r="D20" s="5"/>
    </row>
    <row r="21" spans="2:4" x14ac:dyDescent="0.25">
      <c r="B21" s="9" t="s">
        <v>61</v>
      </c>
      <c r="C21" s="38">
        <v>20000</v>
      </c>
      <c r="D21" s="5"/>
    </row>
    <row r="22" spans="2:4" x14ac:dyDescent="0.25">
      <c r="B22" s="9" t="s">
        <v>93</v>
      </c>
      <c r="C22" s="38">
        <v>800</v>
      </c>
      <c r="D22" s="5"/>
    </row>
    <row r="23" spans="2:4" x14ac:dyDescent="0.25">
      <c r="B23" s="5"/>
      <c r="C23" s="14"/>
      <c r="D23" s="5"/>
    </row>
    <row r="24" spans="2:4" x14ac:dyDescent="0.25">
      <c r="B24" s="5" t="s">
        <v>88</v>
      </c>
      <c r="C24" s="14"/>
      <c r="D24" s="5"/>
    </row>
    <row r="25" spans="2:4" x14ac:dyDescent="0.25">
      <c r="B25" s="9" t="s">
        <v>89</v>
      </c>
      <c r="C25" s="38">
        <v>30000</v>
      </c>
      <c r="D25" s="5"/>
    </row>
    <row r="26" spans="2:4" x14ac:dyDescent="0.25">
      <c r="B26" s="9" t="s">
        <v>82</v>
      </c>
      <c r="C26" s="38">
        <v>2000</v>
      </c>
      <c r="D26" s="5"/>
    </row>
    <row r="27" spans="2:4" x14ac:dyDescent="0.25">
      <c r="B27" s="9" t="s">
        <v>83</v>
      </c>
      <c r="C27" s="38">
        <v>4000</v>
      </c>
      <c r="D27" s="5"/>
    </row>
    <row r="28" spans="2:4" x14ac:dyDescent="0.25">
      <c r="B28" s="5"/>
      <c r="C28" s="14"/>
      <c r="D28" s="5"/>
    </row>
    <row r="29" spans="2:4" x14ac:dyDescent="0.25">
      <c r="B29" s="5" t="s">
        <v>107</v>
      </c>
      <c r="C29" s="14"/>
      <c r="D29" s="5"/>
    </row>
    <row r="30" spans="2:4" x14ac:dyDescent="0.25">
      <c r="B30" s="9" t="s">
        <v>108</v>
      </c>
      <c r="C30" s="26">
        <f>C16-C17</f>
        <v>150000</v>
      </c>
      <c r="D30" s="5"/>
    </row>
    <row r="31" spans="2:4" x14ac:dyDescent="0.25">
      <c r="B31" s="9" t="s">
        <v>102</v>
      </c>
      <c r="C31" s="26">
        <f>(C16-C17-C18)/C13</f>
        <v>12500</v>
      </c>
      <c r="D31" s="5"/>
    </row>
    <row r="32" spans="2:4" x14ac:dyDescent="0.25">
      <c r="B32" s="9" t="s">
        <v>101</v>
      </c>
      <c r="C32" s="26">
        <f>C30*(1-$C$7)/C13</f>
        <v>10000</v>
      </c>
      <c r="D32" s="5"/>
    </row>
    <row r="33" spans="1:4" x14ac:dyDescent="0.25">
      <c r="B33" s="5"/>
      <c r="C33" s="24"/>
      <c r="D33" s="5"/>
    </row>
    <row r="34" spans="1:4" x14ac:dyDescent="0.25">
      <c r="B34" s="5"/>
      <c r="C34" s="24"/>
      <c r="D34" s="5"/>
    </row>
    <row r="35" spans="1:4" x14ac:dyDescent="0.25">
      <c r="B35" s="28"/>
      <c r="C35" s="25"/>
      <c r="D35" s="28"/>
    </row>
    <row r="36" spans="1:4" x14ac:dyDescent="0.25">
      <c r="B36" s="28"/>
      <c r="C36" s="25"/>
      <c r="D36" s="28"/>
    </row>
    <row r="37" spans="1:4" x14ac:dyDescent="0.25">
      <c r="B37" s="6" t="s">
        <v>111</v>
      </c>
      <c r="C37" s="49">
        <f>IRR('Opdracht_2_berekening en output'!D26:AH26,0.05)</f>
        <v>4.3871507572853519E-2</v>
      </c>
      <c r="D37" s="6"/>
    </row>
    <row r="38" spans="1:4" x14ac:dyDescent="0.25">
      <c r="B38" s="6" t="s">
        <v>112</v>
      </c>
      <c r="C38" s="49">
        <f>IRR('Opdracht_2_berekening en output'!D27:AH27,0.1)</f>
        <v>4.9842184792445954E-2</v>
      </c>
      <c r="D38" s="6"/>
    </row>
    <row r="39" spans="1:4" x14ac:dyDescent="0.25">
      <c r="B39" s="11" t="s">
        <v>105</v>
      </c>
      <c r="C39" s="50">
        <f>SUM('Opdracht_2_berekening en output'!$D25:$AH25)</f>
        <v>25901.984552141803</v>
      </c>
      <c r="D39" s="6"/>
    </row>
    <row r="40" spans="1:4" x14ac:dyDescent="0.25">
      <c r="A40" s="2"/>
      <c r="B40" s="52" t="s">
        <v>115</v>
      </c>
      <c r="C40" s="51">
        <f>MIN('Opdracht_2_berekening en output'!D28:P28)</f>
        <v>9.532798932395492</v>
      </c>
      <c r="D40" s="53"/>
    </row>
    <row r="41" spans="1:4" x14ac:dyDescent="0.25">
      <c r="B41" s="30"/>
      <c r="C41" s="29"/>
      <c r="D41" s="28"/>
    </row>
    <row r="42" spans="1:4" x14ac:dyDescent="0.25">
      <c r="B42" s="28"/>
      <c r="C42" s="25"/>
      <c r="D42" s="28"/>
    </row>
    <row r="43" spans="1:4" x14ac:dyDescent="0.25">
      <c r="B43" s="30"/>
      <c r="C43" s="25"/>
      <c r="D43" s="28"/>
    </row>
    <row r="44" spans="1:4" x14ac:dyDescent="0.25">
      <c r="B44" s="30"/>
      <c r="C44" s="25"/>
      <c r="D44" s="28"/>
    </row>
    <row r="45" spans="1:4" x14ac:dyDescent="0.25">
      <c r="B45" s="28"/>
      <c r="C45" s="25"/>
      <c r="D45" s="28"/>
    </row>
    <row r="46" spans="1:4" x14ac:dyDescent="0.25">
      <c r="B46" s="28"/>
      <c r="C46" s="25"/>
      <c r="D46" s="28"/>
    </row>
    <row r="47" spans="1:4" x14ac:dyDescent="0.25">
      <c r="B47" s="30"/>
      <c r="C47" s="25"/>
      <c r="D47" s="28"/>
    </row>
    <row r="48" spans="1:4" x14ac:dyDescent="0.25">
      <c r="B48" s="30"/>
      <c r="C48" s="25"/>
      <c r="D48" s="28"/>
    </row>
    <row r="49" spans="2:4" x14ac:dyDescent="0.25">
      <c r="B49" s="30"/>
      <c r="C49" s="25"/>
      <c r="D49" s="28"/>
    </row>
    <row r="50" spans="2:4" x14ac:dyDescent="0.25">
      <c r="B50" s="28"/>
      <c r="C50" s="25"/>
      <c r="D50" s="28"/>
    </row>
    <row r="51" spans="2:4" x14ac:dyDescent="0.25">
      <c r="B51" s="28"/>
      <c r="C51" s="25"/>
      <c r="D51" s="28"/>
    </row>
    <row r="52" spans="2:4" x14ac:dyDescent="0.25">
      <c r="B52" s="30"/>
      <c r="C52" s="29"/>
      <c r="D52" s="28"/>
    </row>
    <row r="53" spans="2:4" x14ac:dyDescent="0.25">
      <c r="B53" s="30"/>
      <c r="C53" s="29"/>
      <c r="D53" s="28"/>
    </row>
    <row r="54" spans="2:4" x14ac:dyDescent="0.25">
      <c r="B54" s="30"/>
      <c r="C54" s="29"/>
      <c r="D54" s="28"/>
    </row>
    <row r="55" spans="2:4" x14ac:dyDescent="0.25">
      <c r="B55" s="28"/>
      <c r="C55" s="29"/>
      <c r="D55" s="28"/>
    </row>
    <row r="56" spans="2:4" x14ac:dyDescent="0.25">
      <c r="B56" s="28"/>
      <c r="C56" s="29"/>
      <c r="D56" s="28"/>
    </row>
    <row r="57" spans="2:4" x14ac:dyDescent="0.25">
      <c r="B57" s="28"/>
      <c r="C57" s="29"/>
      <c r="D57" s="28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24DE-25E1-3549-B9FD-F8D9A98F8159}">
  <dimension ref="B1:Q181"/>
  <sheetViews>
    <sheetView showGridLines="0" workbookViewId="0">
      <selection activeCell="E11" sqref="E11"/>
    </sheetView>
  </sheetViews>
  <sheetFormatPr defaultColWidth="10.75" defaultRowHeight="15.75" x14ac:dyDescent="0.25"/>
  <cols>
    <col min="1" max="1" width="2.875" customWidth="1"/>
    <col min="2" max="2" width="10.75" style="7"/>
    <col min="3" max="3" width="42.125" style="5" customWidth="1"/>
    <col min="4" max="4" width="23.125" style="15" customWidth="1"/>
    <col min="5" max="16" width="10.75" style="15"/>
  </cols>
  <sheetData>
    <row r="1" spans="2:17" x14ac:dyDescent="0.25"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7" x14ac:dyDescent="0.25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2">
        <v>1</v>
      </c>
    </row>
    <row r="3" spans="2:17" x14ac:dyDescent="0.25">
      <c r="C3" s="5" t="s">
        <v>131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2">
        <v>1</v>
      </c>
    </row>
    <row r="4" spans="2:17" x14ac:dyDescent="0.25">
      <c r="C4" s="53" t="s">
        <v>80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12">
        <v>1</v>
      </c>
    </row>
    <row r="5" spans="2:17" x14ac:dyDescent="0.25">
      <c r="C5" s="56" t="s">
        <v>77</v>
      </c>
      <c r="D5" s="57">
        <v>0</v>
      </c>
      <c r="E5" s="48">
        <v>1</v>
      </c>
      <c r="F5" s="48">
        <v>2</v>
      </c>
      <c r="G5" s="48">
        <v>3</v>
      </c>
      <c r="H5" s="48">
        <v>4</v>
      </c>
      <c r="I5" s="48">
        <v>5</v>
      </c>
      <c r="J5" s="48">
        <v>6</v>
      </c>
      <c r="K5" s="48">
        <v>7</v>
      </c>
      <c r="L5" s="48">
        <v>8</v>
      </c>
      <c r="M5" s="48">
        <v>9</v>
      </c>
      <c r="N5" s="48">
        <v>10</v>
      </c>
      <c r="O5" s="48">
        <v>11</v>
      </c>
      <c r="P5" s="48">
        <v>12</v>
      </c>
      <c r="Q5" s="12">
        <v>1</v>
      </c>
    </row>
    <row r="6" spans="2:17" x14ac:dyDescent="0.25">
      <c r="C6" s="4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12">
        <v>1</v>
      </c>
    </row>
    <row r="7" spans="2:17" x14ac:dyDescent="0.25">
      <c r="C7" s="4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12">
        <v>1</v>
      </c>
    </row>
    <row r="8" spans="2:17" x14ac:dyDescent="0.25">
      <c r="B8" s="7" t="str">
        <f>[1]Opdracht_2_input_output!A12</f>
        <v>1.</v>
      </c>
      <c r="C8" s="60" t="str">
        <f>[1]Opdracht_2_input_output!B12</f>
        <v>Infrarood</v>
      </c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12">
        <v>1</v>
      </c>
    </row>
    <row r="9" spans="2:17" x14ac:dyDescent="0.25">
      <c r="C9" s="4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12">
        <v>1</v>
      </c>
    </row>
    <row r="10" spans="2:17" x14ac:dyDescent="0.25">
      <c r="C10" s="48" t="s">
        <v>78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12">
        <v>1</v>
      </c>
    </row>
    <row r="11" spans="2:17" x14ac:dyDescent="0.25">
      <c r="C11" s="62" t="str">
        <f>[1]Opdracht_2_input_output!B21</f>
        <v>Besparing</v>
      </c>
      <c r="D11" s="59"/>
      <c r="E11" s="63">
        <f>IF(E$5&lt;=Opdracht_2_input_output!$C13,Opdracht_2_input_output!$C21*(1+Opdracht_2_input_output!$C5)^D$5,0)</f>
        <v>20000</v>
      </c>
      <c r="F11" s="63">
        <f>IF(F$5&lt;=Opdracht_2_input_output!$C13,Opdracht_2_input_output!$C21*(1+Opdracht_2_input_output!$C5)^E$5,0)</f>
        <v>20400</v>
      </c>
      <c r="G11" s="63">
        <f>IF(G$5&lt;=Opdracht_2_input_output!$C13,Opdracht_2_input_output!$C21*(1+Opdracht_2_input_output!$C5)^F$5,0)</f>
        <v>20808</v>
      </c>
      <c r="H11" s="63">
        <f>IF(H$5&lt;=Opdracht_2_input_output!$C13,Opdracht_2_input_output!$C21*(1+Opdracht_2_input_output!$C5)^G$5,0)</f>
        <v>21224.16</v>
      </c>
      <c r="I11" s="63">
        <f>IF(I$5&lt;=Opdracht_2_input_output!$C13,Opdracht_2_input_output!$C21*(1+Opdracht_2_input_output!$C5)^H$5,0)</f>
        <v>21648.643199999999</v>
      </c>
      <c r="J11" s="63">
        <f>IF(J$5&lt;=Opdracht_2_input_output!$C13,Opdracht_2_input_output!$C21*(1+Opdracht_2_input_output!$C5)^I$5,0)</f>
        <v>22081.616064000002</v>
      </c>
      <c r="K11" s="63">
        <f>IF(K$5&lt;=Opdracht_2_input_output!$C13,Opdracht_2_input_output!$C21*(1+Opdracht_2_input_output!$C5)^J$5,0)</f>
        <v>22523.24838528</v>
      </c>
      <c r="L11" s="63">
        <f>IF(L$5&lt;=Opdracht_2_input_output!$C13,Opdracht_2_input_output!$C21*(1+Opdracht_2_input_output!$C5)^K$5,0)</f>
        <v>22973.713352985596</v>
      </c>
      <c r="M11" s="63">
        <f>IF(M$5&lt;=Opdracht_2_input_output!$C13,Opdracht_2_input_output!$C21*(1+Opdracht_2_input_output!$C5)^L$5,0)</f>
        <v>23433.187620045312</v>
      </c>
      <c r="N11" s="63">
        <f>IF(N$5&lt;=Opdracht_2_input_output!$C13,Opdracht_2_input_output!$C21*(1+Opdracht_2_input_output!$C5)^M$5,0)</f>
        <v>23901.851372446217</v>
      </c>
      <c r="O11" s="63">
        <f>IF(O$5&lt;=Opdracht_2_input_output!$C13,Opdracht_2_input_output!$C21*(1+Opdracht_2_input_output!$C5)^N$5,0)</f>
        <v>24379.888399895142</v>
      </c>
      <c r="P11" s="63">
        <f>IF(P$5&lt;=Opdracht_2_input_output!$C13,Opdracht_2_input_output!$C21*(1+Opdracht_2_input_output!$C5)^O$5,0)</f>
        <v>24867.486167893039</v>
      </c>
      <c r="Q11" s="12">
        <v>1</v>
      </c>
    </row>
    <row r="12" spans="2:17" x14ac:dyDescent="0.25">
      <c r="C12" s="62" t="str">
        <f>[1]Opdracht_2_input_output!B22</f>
        <v>Subsidie (jaarlijks)</v>
      </c>
      <c r="D12" s="59"/>
      <c r="E12" s="63">
        <f>IF(E$5&lt;=Opdracht_2_input_output!$C$13,Opdracht_2_input_output!$C$22*(1+Opdracht_2_input_output!$C$5)^D$5,0)</f>
        <v>800</v>
      </c>
      <c r="F12" s="63">
        <f>IF(F$5&lt;=Opdracht_2_input_output!$C$13,Opdracht_2_input_output!$C$22*(1+Opdracht_2_input_output!$C$5)^E$5,0)</f>
        <v>816</v>
      </c>
      <c r="G12" s="63">
        <f>IF(G$5&lt;=Opdracht_2_input_output!$C$13,Opdracht_2_input_output!$C$22*(1+Opdracht_2_input_output!$C$5)^F$5,0)</f>
        <v>832.31999999999994</v>
      </c>
      <c r="H12" s="63">
        <f>IF(H$5&lt;=Opdracht_2_input_output!$C$13,Opdracht_2_input_output!$C$22*(1+Opdracht_2_input_output!$C$5)^G$5,0)</f>
        <v>848.96639999999991</v>
      </c>
      <c r="I12" s="63">
        <f>IF(I$5&lt;=Opdracht_2_input_output!$C$13,Opdracht_2_input_output!$C$22*(1+Opdracht_2_input_output!$C$5)^H$5,0)</f>
        <v>865.94572800000003</v>
      </c>
      <c r="J12" s="63">
        <f>IF(J$5&lt;=Opdracht_2_input_output!$C$13,Opdracht_2_input_output!$C$22*(1+Opdracht_2_input_output!$C$5)^I$5,0)</f>
        <v>883.26464255999997</v>
      </c>
      <c r="K12" s="63">
        <f>IF(K$5&lt;=Opdracht_2_input_output!$C$13,Opdracht_2_input_output!$C$22*(1+Opdracht_2_input_output!$C$5)^J$5,0)</f>
        <v>900.92993541120006</v>
      </c>
      <c r="L12" s="63">
        <f>IF(L$5&lt;=Opdracht_2_input_output!$C$13,Opdracht_2_input_output!$C$22*(1+Opdracht_2_input_output!$C$5)^K$5,0)</f>
        <v>918.94853411942381</v>
      </c>
      <c r="M12" s="63">
        <f>IF(M$5&lt;=Opdracht_2_input_output!$C$13,Opdracht_2_input_output!$C$22*(1+Opdracht_2_input_output!$C$5)^L$5,0)</f>
        <v>937.32750480181244</v>
      </c>
      <c r="N12" s="63">
        <f>IF(N$5&lt;=Opdracht_2_input_output!$C$13,Opdracht_2_input_output!$C$22*(1+Opdracht_2_input_output!$C$5)^M$5,0)</f>
        <v>956.07405489784867</v>
      </c>
      <c r="O12" s="63">
        <f>IF(O$5&lt;=Opdracht_2_input_output!$C$13,Opdracht_2_input_output!$C$22*(1+Opdracht_2_input_output!$C$5)^N$5,0)</f>
        <v>975.1955359958057</v>
      </c>
      <c r="P12" s="63">
        <f>IF(P$5&lt;=Opdracht_2_input_output!$C$13,Opdracht_2_input_output!$C$22*(1+Opdracht_2_input_output!$C$5)^O$5,0)</f>
        <v>994.69944671572159</v>
      </c>
      <c r="Q12" s="12">
        <v>1</v>
      </c>
    </row>
    <row r="13" spans="2:17" x14ac:dyDescent="0.25">
      <c r="C13" s="48"/>
      <c r="D13" s="59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12">
        <v>1</v>
      </c>
    </row>
    <row r="14" spans="2:17" x14ac:dyDescent="0.25">
      <c r="C14" s="48" t="s">
        <v>81</v>
      </c>
      <c r="D14" s="59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12">
        <v>1</v>
      </c>
    </row>
    <row r="15" spans="2:17" x14ac:dyDescent="0.25">
      <c r="C15" s="62" t="str">
        <f>[1]Opdracht_2_input_output!B25</f>
        <v xml:space="preserve">Eenmalige kosten </v>
      </c>
      <c r="D15" s="63">
        <f>IF(D5=0,Opdracht_2_input_output!$C$25,0)*-1</f>
        <v>-30000</v>
      </c>
      <c r="E15" s="63">
        <f>IF(E5=0,Opdracht_2_input_output!$C$25,0)*-1</f>
        <v>0</v>
      </c>
      <c r="F15" s="63">
        <f>IF(F5=0,Opdracht_2_input_output!$C$25,0)*-1</f>
        <v>0</v>
      </c>
      <c r="G15" s="63">
        <f>IF(G5=0,Opdracht_2_input_output!$C$25,0)*-1</f>
        <v>0</v>
      </c>
      <c r="H15" s="63">
        <f>IF(H5=0,Opdracht_2_input_output!$C$25,0)*-1</f>
        <v>0</v>
      </c>
      <c r="I15" s="63">
        <f>IF(I5=0,Opdracht_2_input_output!$C$25,0)*-1</f>
        <v>0</v>
      </c>
      <c r="J15" s="63">
        <f>IF(J5=0,Opdracht_2_input_output!$C$25,0)*-1</f>
        <v>0</v>
      </c>
      <c r="K15" s="63">
        <f>IF(K5=0,Opdracht_2_input_output!$C$25,0)*-1</f>
        <v>0</v>
      </c>
      <c r="L15" s="63">
        <f>IF(L5=0,Opdracht_2_input_output!$C$25,0)*-1</f>
        <v>0</v>
      </c>
      <c r="M15" s="63">
        <f>IF(M5=0,Opdracht_2_input_output!$C$25,0)*-1</f>
        <v>0</v>
      </c>
      <c r="N15" s="63">
        <f>IF(N5=0,Opdracht_2_input_output!$C$25,0)*-1</f>
        <v>0</v>
      </c>
      <c r="O15" s="63">
        <f>IF(O5=0,Opdracht_2_input_output!$C$25,0)*-1</f>
        <v>0</v>
      </c>
      <c r="P15" s="63">
        <f>IF(P5=0,Opdracht_2_input_output!$C$25,0)*-1</f>
        <v>0</v>
      </c>
      <c r="Q15" s="12">
        <v>1</v>
      </c>
    </row>
    <row r="16" spans="2:17" x14ac:dyDescent="0.25">
      <c r="C16" s="62" t="str">
        <f>[1]Opdracht_2_input_output!B26</f>
        <v>Vaste exploitatiekosten</v>
      </c>
      <c r="D16" s="63">
        <v>0</v>
      </c>
      <c r="E16" s="63">
        <f>IF(E$5&lt;=Opdracht_2_input_output!$C$13,Opdracht_2_input_output!$C$26*(1+Opdracht_2_input_output!$C$5)^D$5,0)*-1</f>
        <v>-2000</v>
      </c>
      <c r="F16" s="63">
        <f>IF(F$5&lt;=Opdracht_2_input_output!$C$13,Opdracht_2_input_output!$C$26*(1+Opdracht_2_input_output!$C$5)^E$5,0)*-1</f>
        <v>-2040</v>
      </c>
      <c r="G16" s="63">
        <f>IF(G$5&lt;=Opdracht_2_input_output!$C$13,Opdracht_2_input_output!$C$26*(1+Opdracht_2_input_output!$C$5)^F$5,0)*-1</f>
        <v>-2080.8000000000002</v>
      </c>
      <c r="H16" s="63">
        <f>IF(H$5&lt;=Opdracht_2_input_output!$C$13,Opdracht_2_input_output!$C$26*(1+Opdracht_2_input_output!$C$5)^G$5,0)*-1</f>
        <v>-2122.4159999999997</v>
      </c>
      <c r="I16" s="63">
        <f>IF(I$5&lt;=Opdracht_2_input_output!$C$13,Opdracht_2_input_output!$C$26*(1+Opdracht_2_input_output!$C$5)^H$5,0)*-1</f>
        <v>-2164.8643200000001</v>
      </c>
      <c r="J16" s="63">
        <f>IF(J$5&lt;=Opdracht_2_input_output!$C$13,Opdracht_2_input_output!$C$26*(1+Opdracht_2_input_output!$C$5)^I$5,0)*-1</f>
        <v>-2208.1616064</v>
      </c>
      <c r="K16" s="63">
        <f>IF(K$5&lt;=Opdracht_2_input_output!$C$13,Opdracht_2_input_output!$C$26*(1+Opdracht_2_input_output!$C$5)^J$5,0)*-1</f>
        <v>-2252.3248385280003</v>
      </c>
      <c r="L16" s="63">
        <f>IF(L$5&lt;=Opdracht_2_input_output!$C$13,Opdracht_2_input_output!$C$26*(1+Opdracht_2_input_output!$C$5)^K$5,0)*-1</f>
        <v>-2297.3713352985596</v>
      </c>
      <c r="M16" s="63">
        <f>IF(M$5&lt;=Opdracht_2_input_output!$C$13,Opdracht_2_input_output!$C$26*(1+Opdracht_2_input_output!$C$5)^L$5,0)*-1</f>
        <v>-2343.318762004531</v>
      </c>
      <c r="N16" s="63">
        <f>IF(N$5&lt;=Opdracht_2_input_output!$C$13,Opdracht_2_input_output!$C$26*(1+Opdracht_2_input_output!$C$5)^M$5,0)*-1</f>
        <v>-2390.1851372446217</v>
      </c>
      <c r="O16" s="63">
        <f>IF(O$5&lt;=Opdracht_2_input_output!$C$13,Opdracht_2_input_output!$C$26*(1+Opdracht_2_input_output!$C$5)^N$5,0)*-1</f>
        <v>-2437.9888399895144</v>
      </c>
      <c r="P16" s="63">
        <f>IF(P$5&lt;=Opdracht_2_input_output!$C$13,Opdracht_2_input_output!$C$26*(1+Opdracht_2_input_output!$C$5)^O$5,0)*-1</f>
        <v>-2486.7486167893039</v>
      </c>
      <c r="Q16" s="12">
        <v>1</v>
      </c>
    </row>
    <row r="17" spans="3:17" x14ac:dyDescent="0.25">
      <c r="C17" s="62" t="str">
        <f>[1]Opdracht_2_input_output!B27</f>
        <v>Herinvestering</v>
      </c>
      <c r="D17" s="63">
        <v>0</v>
      </c>
      <c r="E17" s="63">
        <f>IF(E$5=Opdracht_2_input_output!$C$14,Opdracht_2_input_output!$C$27,0)*-1</f>
        <v>0</v>
      </c>
      <c r="F17" s="63">
        <f>IF(F$5=Opdracht_2_input_output!$C$14,Opdracht_2_input_output!$C$27,0)*-1</f>
        <v>0</v>
      </c>
      <c r="G17" s="63">
        <f>IF(G$5=Opdracht_2_input_output!$C$14,Opdracht_2_input_output!$C$27,0)*-1</f>
        <v>0</v>
      </c>
      <c r="H17" s="63">
        <f>IF(H$5=Opdracht_2_input_output!$C$14,Opdracht_2_input_output!$C$27,0)*-1</f>
        <v>0</v>
      </c>
      <c r="I17" s="63">
        <f>IF(I$5=Opdracht_2_input_output!$C$14,Opdracht_2_input_output!$C$27,0)*-1</f>
        <v>0</v>
      </c>
      <c r="J17" s="63">
        <f>IF(J$5=Opdracht_2_input_output!$C$14,Opdracht_2_input_output!$C$27,0)*-1</f>
        <v>-4000</v>
      </c>
      <c r="K17" s="63">
        <f>IF(K$5=Opdracht_2_input_output!$C$14,Opdracht_2_input_output!$C$27,0)*-1</f>
        <v>0</v>
      </c>
      <c r="L17" s="63">
        <f>IF(L$5=Opdracht_2_input_output!$C$14,Opdracht_2_input_output!$C$27,0)*-1</f>
        <v>0</v>
      </c>
      <c r="M17" s="63">
        <f>IF(M$5=Opdracht_2_input_output!$C$14,Opdracht_2_input_output!$C$27,0)*-1</f>
        <v>0</v>
      </c>
      <c r="N17" s="63">
        <f>IF(N$5=Opdracht_2_input_output!$C$14,Opdracht_2_input_output!$C$27,0)*-1</f>
        <v>0</v>
      </c>
      <c r="O17" s="63">
        <f>IF(O$5=Opdracht_2_input_output!$C$14,Opdracht_2_input_output!$C$27,0)*-1</f>
        <v>0</v>
      </c>
      <c r="P17" s="63">
        <f>IF(P$5=Opdracht_2_input_output!$C$14,Opdracht_2_input_output!$C$27,0)*-1</f>
        <v>0</v>
      </c>
      <c r="Q17" s="12">
        <v>1</v>
      </c>
    </row>
    <row r="18" spans="3:17" x14ac:dyDescent="0.25">
      <c r="C18" s="48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12">
        <v>1</v>
      </c>
    </row>
    <row r="19" spans="3:17" x14ac:dyDescent="0.25">
      <c r="C19" s="66" t="s">
        <v>84</v>
      </c>
      <c r="D19" s="67">
        <f>SUM(D11:D17)</f>
        <v>-30000</v>
      </c>
      <c r="E19" s="67">
        <f t="shared" ref="E19:P19" si="0">SUM(E11:E17)</f>
        <v>18800</v>
      </c>
      <c r="F19" s="67">
        <f t="shared" si="0"/>
        <v>19176</v>
      </c>
      <c r="G19" s="67">
        <f t="shared" si="0"/>
        <v>19559.52</v>
      </c>
      <c r="H19" s="67">
        <f t="shared" si="0"/>
        <v>19950.7104</v>
      </c>
      <c r="I19" s="67">
        <f t="shared" si="0"/>
        <v>20349.724607999997</v>
      </c>
      <c r="J19" s="67">
        <f t="shared" si="0"/>
        <v>16756.71910016</v>
      </c>
      <c r="K19" s="67">
        <f t="shared" si="0"/>
        <v>21171.853482163198</v>
      </c>
      <c r="L19" s="67">
        <f t="shared" si="0"/>
        <v>21595.290551806458</v>
      </c>
      <c r="M19" s="67">
        <f t="shared" si="0"/>
        <v>22027.196362842591</v>
      </c>
      <c r="N19" s="67">
        <f t="shared" si="0"/>
        <v>22467.740290099446</v>
      </c>
      <c r="O19" s="67">
        <f t="shared" si="0"/>
        <v>22917.095095901434</v>
      </c>
      <c r="P19" s="67">
        <f t="shared" si="0"/>
        <v>23375.436997819455</v>
      </c>
      <c r="Q19" s="12">
        <v>1</v>
      </c>
    </row>
    <row r="20" spans="3:17" x14ac:dyDescent="0.25">
      <c r="C20" s="48"/>
      <c r="D20" s="59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12">
        <v>1</v>
      </c>
    </row>
    <row r="21" spans="3:17" x14ac:dyDescent="0.25">
      <c r="C21" s="48" t="s">
        <v>95</v>
      </c>
      <c r="D21" s="59">
        <v>0</v>
      </c>
      <c r="E21" s="63">
        <f>IF(E5&lt;=Opdracht_2_input_output!$C$13,Opdracht_2_input_output!$C$31,0)*-1</f>
        <v>-12500</v>
      </c>
      <c r="F21" s="63">
        <f>IF(F5&lt;=Opdracht_2_input_output!$C$13,Opdracht_2_input_output!$C$31,0)*-1</f>
        <v>-12500</v>
      </c>
      <c r="G21" s="63">
        <f>IF(G5&lt;=Opdracht_2_input_output!$C$13,Opdracht_2_input_output!$C$31,0)*-1</f>
        <v>-12500</v>
      </c>
      <c r="H21" s="63">
        <f>IF(H5&lt;=Opdracht_2_input_output!$C$13,Opdracht_2_input_output!$C$31,0)*-1</f>
        <v>-12500</v>
      </c>
      <c r="I21" s="63">
        <f>IF(I5&lt;=Opdracht_2_input_output!$C$13,Opdracht_2_input_output!$C$31,0)*-1</f>
        <v>-12500</v>
      </c>
      <c r="J21" s="63">
        <f>IF(J5&lt;=Opdracht_2_input_output!$C$13,Opdracht_2_input_output!$C$31,0)*-1</f>
        <v>-12500</v>
      </c>
      <c r="K21" s="63">
        <f>IF(K5&lt;=Opdracht_2_input_output!$C$13,Opdracht_2_input_output!$C$31,0)*-1</f>
        <v>-12500</v>
      </c>
      <c r="L21" s="63">
        <f>IF(L5&lt;=Opdracht_2_input_output!$C$13,Opdracht_2_input_output!$C$31,0)*-1</f>
        <v>-12500</v>
      </c>
      <c r="M21" s="63">
        <f>IF(M5&lt;=Opdracht_2_input_output!$C$13,Opdracht_2_input_output!$C$31,0)*-1</f>
        <v>-12500</v>
      </c>
      <c r="N21" s="63">
        <f>IF(N5&lt;=Opdracht_2_input_output!$C$13,Opdracht_2_input_output!$C$31,0)*-1</f>
        <v>-12500</v>
      </c>
      <c r="O21" s="63">
        <f>IF(O5&lt;=Opdracht_2_input_output!$C$13,Opdracht_2_input_output!$C$31,0)*-1</f>
        <v>-12500</v>
      </c>
      <c r="P21" s="63">
        <f>IF(P5&lt;=Opdracht_2_input_output!$C$13,Opdracht_2_input_output!$C$31,0)*-1</f>
        <v>-12500</v>
      </c>
      <c r="Q21" s="12">
        <v>1</v>
      </c>
    </row>
    <row r="22" spans="3:17" x14ac:dyDescent="0.25">
      <c r="C22" s="48" t="s">
        <v>103</v>
      </c>
      <c r="D22" s="59">
        <v>0</v>
      </c>
      <c r="E22" s="63">
        <f>IF(E$5&lt;=Opdracht_2_input_output!$C$13,((Opdracht_2_input_output!$C$30*(1-Opdracht_2_input_output!$C$7)-(Opdracht_2_input_output!$C$32*D$5))*Opdracht_2_input_output!$C$8),0)*-1</f>
        <v>-4800</v>
      </c>
      <c r="F22" s="63">
        <f>IF(F$5&lt;=Opdracht_2_input_output!$C$13,((Opdracht_2_input_output!$C$30*(1-Opdracht_2_input_output!$C$7)-(Opdracht_2_input_output!$C$32*E$5))*Opdracht_2_input_output!$C$8),0)*-1</f>
        <v>-4400</v>
      </c>
      <c r="G22" s="63">
        <f>IF(G$5&lt;=Opdracht_2_input_output!$C$13,((Opdracht_2_input_output!$C$30*(1-Opdracht_2_input_output!$C$7)-(Opdracht_2_input_output!$C$32*F$5))*Opdracht_2_input_output!$C$8),0)*-1</f>
        <v>-4000</v>
      </c>
      <c r="H22" s="63">
        <f>IF(H$5&lt;=Opdracht_2_input_output!$C$13,((Opdracht_2_input_output!$C$30*(1-Opdracht_2_input_output!$C$7)-(Opdracht_2_input_output!$C$32*G$5))*Opdracht_2_input_output!$C$8),0)*-1</f>
        <v>-3600</v>
      </c>
      <c r="I22" s="63">
        <f>IF(I$5&lt;=Opdracht_2_input_output!$C$13,((Opdracht_2_input_output!$C$30*(1-Opdracht_2_input_output!$C$7)-(Opdracht_2_input_output!$C$32*H$5))*Opdracht_2_input_output!$C$8),0)*-1</f>
        <v>-3200</v>
      </c>
      <c r="J22" s="63">
        <f>IF(J$5&lt;=Opdracht_2_input_output!$C$13,((Opdracht_2_input_output!$C$30*(1-Opdracht_2_input_output!$C$7)-(Opdracht_2_input_output!$C$32*I$5))*Opdracht_2_input_output!$C$8),0)*-1</f>
        <v>-2800</v>
      </c>
      <c r="K22" s="63">
        <f>IF(K$5&lt;=Opdracht_2_input_output!$C$13,((Opdracht_2_input_output!$C$30*(1-Opdracht_2_input_output!$C$7)-(Opdracht_2_input_output!$C$32*J$5))*Opdracht_2_input_output!$C$8),0)*-1</f>
        <v>-2400</v>
      </c>
      <c r="L22" s="63">
        <f>IF(L$5&lt;=Opdracht_2_input_output!$C$13,((Opdracht_2_input_output!$C$30*(1-Opdracht_2_input_output!$C$7)-(Opdracht_2_input_output!$C$32*K$5))*Opdracht_2_input_output!$C$8),0)*-1</f>
        <v>-2000</v>
      </c>
      <c r="M22" s="63">
        <f>IF(M$5&lt;=Opdracht_2_input_output!$C$13,((Opdracht_2_input_output!$C$30*(1-Opdracht_2_input_output!$C$7)-(Opdracht_2_input_output!$C$32*L$5))*Opdracht_2_input_output!$C$8),0)*-1</f>
        <v>-1600</v>
      </c>
      <c r="N22" s="63">
        <f>IF(N$5&lt;=Opdracht_2_input_output!$C$13,((Opdracht_2_input_output!$C$30*(1-Opdracht_2_input_output!$C$7)-(Opdracht_2_input_output!$C$32*M$5))*Opdracht_2_input_output!$C$8),0)*-1</f>
        <v>-1200</v>
      </c>
      <c r="O22" s="63">
        <f>IF(O$5&lt;=Opdracht_2_input_output!$C$13,((Opdracht_2_input_output!$C$30*(1-Opdracht_2_input_output!$C$7)-(Opdracht_2_input_output!$C$32*N$5))*Opdracht_2_input_output!$C$8),0)*-1</f>
        <v>-800</v>
      </c>
      <c r="P22" s="63">
        <f>IF(P$5&lt;=Opdracht_2_input_output!$C$13,((Opdracht_2_input_output!$C$30*(1-Opdracht_2_input_output!$C$7)-(Opdracht_2_input_output!$C$32*O$5))*Opdracht_2_input_output!$C$8),0)*-1</f>
        <v>-400</v>
      </c>
      <c r="Q22" s="12">
        <v>1</v>
      </c>
    </row>
    <row r="23" spans="3:17" x14ac:dyDescent="0.25">
      <c r="C23" s="48" t="s">
        <v>104</v>
      </c>
      <c r="D23" s="59">
        <v>0</v>
      </c>
      <c r="E23" s="63">
        <f>IF(AND(E5&lt;=Opdracht_2_input_output!$C$13,SUM(E19:E22)&gt;0),-1*SUM(E19:E22)*Opdracht_2_input_output!$C$9,0)</f>
        <v>-247.5</v>
      </c>
      <c r="F23" s="63">
        <f>IF(AND(F5&lt;=Opdracht_2_input_output!$C$13,SUM(F19:F22)&gt;0),-1*SUM(F19:F22)*Opdracht_2_input_output!$C$9,0)</f>
        <v>-375.54</v>
      </c>
      <c r="G23" s="63">
        <f>IF(AND(G5&lt;=Opdracht_2_input_output!$C$13,SUM(G19:G22)&gt;0),-1*SUM(G19:G22)*Opdracht_2_input_output!$C$9,0)</f>
        <v>-504.82080000000008</v>
      </c>
      <c r="H23" s="63">
        <f>IF(AND(H5&lt;=Opdracht_2_input_output!$C$13,SUM(H19:H22)&gt;0),-1*SUM(H19:H22)*Opdracht_2_input_output!$C$9,0)</f>
        <v>-635.36721599999998</v>
      </c>
      <c r="I23" s="63">
        <f>IF(AND(I5&lt;=Opdracht_2_input_output!$C$13,SUM(I19:I22)&gt;0),-1*SUM(I19:I22)*Opdracht_2_input_output!$C$9,0)</f>
        <v>-767.20456031999947</v>
      </c>
      <c r="J23" s="63">
        <f>IF(AND(J5&lt;=Opdracht_2_input_output!$C$13,SUM(J19:J22)&gt;0),-1*SUM(J19:J22)*Opdracht_2_input_output!$C$9,0)</f>
        <v>-240.35865152640008</v>
      </c>
      <c r="K23" s="63">
        <f>IF(AND(K5&lt;=Opdracht_2_input_output!$C$13,SUM(K19:K22)&gt;0),-1*SUM(K19:K22)*Opdracht_2_input_output!$C$9,0)</f>
        <v>-1034.8558245569277</v>
      </c>
      <c r="L23" s="63">
        <f>IF(AND(L5&lt;=Opdracht_2_input_output!$C$13,SUM(L19:L22)&gt;0),-1*SUM(L19:L22)*Opdracht_2_input_output!$C$9,0)</f>
        <v>-1170.7229410480656</v>
      </c>
      <c r="M23" s="63">
        <f>IF(AND(M5&lt;=Opdracht_2_input_output!$C$13,SUM(M19:M22)&gt;0),-1*SUM(M19:M22)*Opdracht_2_input_output!$C$9,0)</f>
        <v>-1307.9873998690275</v>
      </c>
      <c r="N23" s="63">
        <f>IF(AND(N5&lt;=Opdracht_2_input_output!$C$13,SUM(N19:N22)&gt;0),-1*SUM(N19:N22)*Opdracht_2_input_output!$C$9,0)</f>
        <v>-1446.6771478664086</v>
      </c>
      <c r="O23" s="63">
        <f>IF(AND(O5&lt;=Opdracht_2_input_output!$C$13,SUM(O19:O22)&gt;0),-1*SUM(O19:O22)*Opdracht_2_input_output!$C$9,0)</f>
        <v>-1586.8206908237366</v>
      </c>
      <c r="P23" s="63">
        <f>IF(AND(P5&lt;=Opdracht_2_input_output!$C$13,SUM(P19:P22)&gt;0),-1*SUM(P19:P22)*Opdracht_2_input_output!$C$9,0)</f>
        <v>-1728.4471046402102</v>
      </c>
      <c r="Q23" s="12">
        <v>1</v>
      </c>
    </row>
    <row r="24" spans="3:17" x14ac:dyDescent="0.25">
      <c r="C24" s="48"/>
      <c r="D24" s="59"/>
      <c r="E24" s="63"/>
      <c r="F24" s="63"/>
      <c r="G24" s="63"/>
      <c r="H24" s="63"/>
      <c r="I24" s="63"/>
      <c r="J24" s="63"/>
      <c r="K24" s="63"/>
      <c r="L24" s="65"/>
      <c r="M24" s="65"/>
      <c r="N24" s="63"/>
      <c r="O24" s="63"/>
      <c r="P24" s="63"/>
      <c r="Q24" s="12">
        <v>1</v>
      </c>
    </row>
    <row r="25" spans="3:17" x14ac:dyDescent="0.25">
      <c r="C25" s="66" t="s">
        <v>105</v>
      </c>
      <c r="D25" s="67">
        <f>SUM(D19:D23)</f>
        <v>-30000</v>
      </c>
      <c r="E25" s="67">
        <f>SUM(E19:E23)</f>
        <v>1252.5</v>
      </c>
      <c r="F25" s="67">
        <f t="shared" ref="F25:P25" si="1">SUM(F19:F23)</f>
        <v>1900.46</v>
      </c>
      <c r="G25" s="67">
        <f t="shared" si="1"/>
        <v>2554.6992000000005</v>
      </c>
      <c r="H25" s="67">
        <f t="shared" si="1"/>
        <v>3215.3431839999998</v>
      </c>
      <c r="I25" s="67">
        <f t="shared" si="1"/>
        <v>3882.5200476799973</v>
      </c>
      <c r="J25" s="67">
        <f t="shared" si="1"/>
        <v>1216.3604486336003</v>
      </c>
      <c r="K25" s="67">
        <f t="shared" si="1"/>
        <v>5236.9976576062709</v>
      </c>
      <c r="L25" s="67">
        <f t="shared" si="1"/>
        <v>5924.5676107583922</v>
      </c>
      <c r="M25" s="67">
        <f t="shared" si="1"/>
        <v>6619.2089629735638</v>
      </c>
      <c r="N25" s="67">
        <f t="shared" si="1"/>
        <v>7321.0631422330371</v>
      </c>
      <c r="O25" s="67">
        <f t="shared" si="1"/>
        <v>8030.2744050776964</v>
      </c>
      <c r="P25" s="67">
        <f t="shared" si="1"/>
        <v>8746.989893179245</v>
      </c>
      <c r="Q25" s="12">
        <v>1</v>
      </c>
    </row>
    <row r="26" spans="3:17" x14ac:dyDescent="0.25">
      <c r="C26" s="62" t="s">
        <v>113</v>
      </c>
      <c r="D26" s="59">
        <f>(Opdracht_2_input_output!C25+Opdracht_2_input_output!C30)*-1</f>
        <v>-180000</v>
      </c>
      <c r="E26" s="63">
        <f>IF(E5&lt;=Opdracht_2_input_output!$C$13,E19+E23,0)</f>
        <v>18552.5</v>
      </c>
      <c r="F26" s="63">
        <f>IF(F5&lt;=Opdracht_2_input_output!$C$13,F19+F23,0)</f>
        <v>18800.46</v>
      </c>
      <c r="G26" s="63">
        <f>IF(G5&lt;=Opdracht_2_input_output!$C$13,G19+G23,0)</f>
        <v>19054.699199999999</v>
      </c>
      <c r="H26" s="63">
        <f>IF(H5&lt;=Opdracht_2_input_output!$C$13,H19+H23,0)</f>
        <v>19315.343184000001</v>
      </c>
      <c r="I26" s="63">
        <f>IF(I5&lt;=Opdracht_2_input_output!$C$13,I19+I23,0)</f>
        <v>19582.520047679998</v>
      </c>
      <c r="J26" s="63">
        <f>IF(J5&lt;=Opdracht_2_input_output!$C$13,J19+J23,0)</f>
        <v>16516.360448633601</v>
      </c>
      <c r="K26" s="63">
        <f>IF(K5&lt;=Opdracht_2_input_output!$C$13,K19+K23,0)</f>
        <v>20136.997657606269</v>
      </c>
      <c r="L26" s="63">
        <f>IF(L5&lt;=Opdracht_2_input_output!$C$13,L19+L23,0)</f>
        <v>20424.567610758393</v>
      </c>
      <c r="M26" s="63">
        <f>IF(M5&lt;=Opdracht_2_input_output!$C$13,M19+M23,0)</f>
        <v>20719.208962973564</v>
      </c>
      <c r="N26" s="63">
        <f>IF(N5&lt;=Opdracht_2_input_output!$C$13,N19+N23,0)</f>
        <v>21021.063142233037</v>
      </c>
      <c r="O26" s="63">
        <f>IF(O5&lt;=Opdracht_2_input_output!$C$13,O19+O23,0)</f>
        <v>21330.274405077696</v>
      </c>
      <c r="P26" s="63">
        <f>IF(P5&lt;=Opdracht_2_input_output!$C$13,P19+P23,0)</f>
        <v>21646.989893179245</v>
      </c>
      <c r="Q26" s="12">
        <v>1</v>
      </c>
    </row>
    <row r="27" spans="3:17" x14ac:dyDescent="0.25">
      <c r="C27" s="62" t="s">
        <v>114</v>
      </c>
      <c r="D27" s="59">
        <f>(Opdracht_2_input_output!C30*Opdracht_2_input_output!C7-D25)*-1</f>
        <v>-60000</v>
      </c>
      <c r="E27" s="59">
        <f>IF(E5&lt;=Opdracht_2_input_output!$C$13,E19+E22+E23-Opdracht_2_input_output!$C$32,0)</f>
        <v>3752.5</v>
      </c>
      <c r="F27" s="59">
        <f>IF(F5&lt;=Opdracht_2_input_output!$C$13,F19+F22+F23-Opdracht_2_input_output!$C$32,0)</f>
        <v>4400.4599999999991</v>
      </c>
      <c r="G27" s="59">
        <f>IF(G5&lt;=Opdracht_2_input_output!$C$13,G19+G22+G23-Opdracht_2_input_output!$C$32,0)</f>
        <v>5054.6992000000009</v>
      </c>
      <c r="H27" s="59">
        <f>IF(H5&lt;=Opdracht_2_input_output!$C$13,H19+H22+H23-Opdracht_2_input_output!$C$32,0)</f>
        <v>5715.3431839999994</v>
      </c>
      <c r="I27" s="59">
        <f>IF(I5&lt;=Opdracht_2_input_output!$C$13,I19+I22+I23-Opdracht_2_input_output!$C$32,0)</f>
        <v>6382.5200476799982</v>
      </c>
      <c r="J27" s="59">
        <f>IF(J5&lt;=Opdracht_2_input_output!$C$13,J19+J22+J23-Opdracht_2_input_output!$C$32,0)</f>
        <v>3716.3604486336008</v>
      </c>
      <c r="K27" s="59">
        <f>IF(K5&lt;=Opdracht_2_input_output!$C$13,K19+K22+K23-Opdracht_2_input_output!$C$32,0)</f>
        <v>7736.9976576062691</v>
      </c>
      <c r="L27" s="59">
        <f>IF(L5&lt;=Opdracht_2_input_output!$C$13,L19+L22+L23-Opdracht_2_input_output!$C$32,0)</f>
        <v>8424.5676107583931</v>
      </c>
      <c r="M27" s="59">
        <f>IF(M5&lt;=Opdracht_2_input_output!$C$13,M19+M22+M23-Opdracht_2_input_output!$C$32,0)</f>
        <v>9119.2089629735638</v>
      </c>
      <c r="N27" s="59">
        <f>IF(N5&lt;=Opdracht_2_input_output!$C$13,N19+N22+N23-Opdracht_2_input_output!$C$32,0)</f>
        <v>9821.0631422330371</v>
      </c>
      <c r="O27" s="59">
        <f>IF(O5&lt;=Opdracht_2_input_output!$C$13,O19+O22+O23-Opdracht_2_input_output!$C$32,0)</f>
        <v>10530.274405077696</v>
      </c>
      <c r="P27" s="59">
        <f>IF(P5&lt;=Opdracht_2_input_output!$C$13,P19+P22+P23-Opdracht_2_input_output!$C$32,0)</f>
        <v>11246.989893179245</v>
      </c>
      <c r="Q27" s="12">
        <v>1</v>
      </c>
    </row>
    <row r="28" spans="3:17" x14ac:dyDescent="0.25">
      <c r="C28" s="62" t="s">
        <v>115</v>
      </c>
      <c r="D28" s="68" t="str">
        <f>IF(D5&lt;=Opdracht_2_input_output!$C$13,IF(SUM($D26:D26)&gt;0,D5-(D27/D26),""),"")</f>
        <v/>
      </c>
      <c r="E28" s="68" t="str">
        <f>IF(E5&lt;=Opdracht_2_input_output!$C$13,IF(SUM($D26:E26)&gt;0,E5-(E27/E26),""),"")</f>
        <v/>
      </c>
      <c r="F28" s="68" t="str">
        <f>IF(F5&lt;=Opdracht_2_input_output!$C$13,IF(SUM($D26:F26)&gt;0,F5-(F27/F26),""),"")</f>
        <v/>
      </c>
      <c r="G28" s="68" t="str">
        <f>IF(G5&lt;=Opdracht_2_input_output!$C$13,IF(SUM($D26:G26)&gt;0,G5-(G27/G26),""),"")</f>
        <v/>
      </c>
      <c r="H28" s="68" t="str">
        <f>IF(H5&lt;=Opdracht_2_input_output!$C$13,IF(SUM($D26:H26)&gt;0,H5-(H27/H26),""),"")</f>
        <v/>
      </c>
      <c r="I28" s="68" t="str">
        <f>IF(I5&lt;=Opdracht_2_input_output!$C$13,IF(SUM($D26:I26)&gt;0,I5-(I27/I26),""),"")</f>
        <v/>
      </c>
      <c r="J28" s="68" t="str">
        <f>IF(J5&lt;=Opdracht_2_input_output!$C$13,IF(SUM($D26:J26)&gt;0,J5-(J27/J26),""),"")</f>
        <v/>
      </c>
      <c r="K28" s="68" t="str">
        <f>IF(K5&lt;=Opdracht_2_input_output!$C$13,IF(SUM($D26:K26)&gt;0,K5-(K27/K26),""),"")</f>
        <v/>
      </c>
      <c r="L28" s="68" t="str">
        <f>IF(L5&lt;=Opdracht_2_input_output!$C$13,IF(SUM($D26:L26)&gt;0,L5-(L27/L26),""),"")</f>
        <v/>
      </c>
      <c r="M28" s="68" t="str">
        <f>IF(M5&lt;=Opdracht_2_input_output!$C$13,IF(SUM($D26:M26)&gt;0,M5-(M27/M26),""),"")</f>
        <v/>
      </c>
      <c r="N28" s="68">
        <f>IF(N5&lt;=Opdracht_2_input_output!$C$13,IF(SUM($D26:N26)&gt;0,N5-(N27/N26),""),"")</f>
        <v>9.532798932395492</v>
      </c>
      <c r="O28" s="68">
        <f>IF(O5&lt;=Opdracht_2_input_output!$C$13,IF(SUM($D26:O26)&gt;0,O5-(O27/O26),""),"")</f>
        <v>10.506322600211325</v>
      </c>
      <c r="P28" s="68">
        <f>IF(P5&lt;=Opdracht_2_input_output!$C$13,IF(SUM($D26:P26)&gt;0,P5-(P27/P26),""),"")</f>
        <v>11.480436312453628</v>
      </c>
      <c r="Q28" s="40"/>
    </row>
    <row r="29" spans="3:17" x14ac:dyDescent="0.25"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2">
        <v>1</v>
      </c>
    </row>
    <row r="30" spans="3:17" x14ac:dyDescent="0.25"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2">
        <v>1</v>
      </c>
    </row>
    <row r="31" spans="3:17" x14ac:dyDescent="0.25"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2">
        <v>1</v>
      </c>
    </row>
    <row r="32" spans="3:17" x14ac:dyDescent="0.25"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2">
        <v>1</v>
      </c>
    </row>
    <row r="33" spans="4:17" x14ac:dyDescent="0.25"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2">
        <v>1</v>
      </c>
    </row>
    <row r="34" spans="4:17" x14ac:dyDescent="0.25"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2">
        <v>1</v>
      </c>
    </row>
    <row r="35" spans="4:17" x14ac:dyDescent="0.25"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2">
        <v>1</v>
      </c>
    </row>
    <row r="36" spans="4:17" x14ac:dyDescent="0.25"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2">
        <v>1</v>
      </c>
    </row>
    <row r="37" spans="4:17" x14ac:dyDescent="0.25"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2">
        <v>1</v>
      </c>
    </row>
    <row r="38" spans="4:17" x14ac:dyDescent="0.25"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2">
        <v>1</v>
      </c>
    </row>
    <row r="39" spans="4:17" x14ac:dyDescent="0.25"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2">
        <v>1</v>
      </c>
    </row>
    <row r="40" spans="4:17" x14ac:dyDescent="0.25"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2">
        <v>1</v>
      </c>
    </row>
    <row r="41" spans="4:17" x14ac:dyDescent="0.25"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2">
        <v>1</v>
      </c>
    </row>
    <row r="42" spans="4:17" x14ac:dyDescent="0.25"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2">
        <v>1</v>
      </c>
    </row>
    <row r="43" spans="4:17" x14ac:dyDescent="0.25"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2">
        <v>1</v>
      </c>
    </row>
    <row r="44" spans="4:17" x14ac:dyDescent="0.25"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2">
        <v>1</v>
      </c>
    </row>
    <row r="45" spans="4:17" x14ac:dyDescent="0.25"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2">
        <v>1</v>
      </c>
    </row>
    <row r="46" spans="4:17" x14ac:dyDescent="0.25"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2">
        <v>1</v>
      </c>
    </row>
    <row r="47" spans="4:17" x14ac:dyDescent="0.25"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2">
        <v>1</v>
      </c>
    </row>
    <row r="48" spans="4:17" x14ac:dyDescent="0.25"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2">
        <v>1</v>
      </c>
    </row>
    <row r="49" spans="4:17" x14ac:dyDescent="0.25"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2">
        <v>1</v>
      </c>
    </row>
    <row r="50" spans="4:17" x14ac:dyDescent="0.25"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2">
        <v>1</v>
      </c>
    </row>
    <row r="51" spans="4:17" x14ac:dyDescent="0.25"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2">
        <v>1</v>
      </c>
    </row>
    <row r="52" spans="4:17" x14ac:dyDescent="0.25"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2">
        <v>1</v>
      </c>
    </row>
    <row r="53" spans="4:17" x14ac:dyDescent="0.25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2">
        <v>1</v>
      </c>
    </row>
    <row r="54" spans="4:17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2">
        <v>1</v>
      </c>
    </row>
    <row r="55" spans="4:17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2">
        <v>1</v>
      </c>
    </row>
    <row r="56" spans="4:17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2">
        <v>1</v>
      </c>
    </row>
    <row r="57" spans="4:17" x14ac:dyDescent="0.25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2">
        <v>1</v>
      </c>
    </row>
    <row r="58" spans="4:17" x14ac:dyDescent="0.25"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2">
        <v>1</v>
      </c>
    </row>
    <row r="59" spans="4:17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2">
        <v>1</v>
      </c>
    </row>
    <row r="60" spans="4:17" x14ac:dyDescent="0.25"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2">
        <v>1</v>
      </c>
    </row>
    <row r="61" spans="4:17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2">
        <v>1</v>
      </c>
    </row>
    <row r="62" spans="4:17" x14ac:dyDescent="0.25">
      <c r="Q62" s="12">
        <v>1</v>
      </c>
    </row>
    <row r="63" spans="4:17" x14ac:dyDescent="0.25">
      <c r="Q63" s="12">
        <v>1</v>
      </c>
    </row>
    <row r="64" spans="4:17" x14ac:dyDescent="0.25">
      <c r="Q64" s="12">
        <v>1</v>
      </c>
    </row>
    <row r="65" spans="17:17" x14ac:dyDescent="0.25">
      <c r="Q65" s="12">
        <v>1</v>
      </c>
    </row>
    <row r="66" spans="17:17" x14ac:dyDescent="0.25">
      <c r="Q66" s="12">
        <v>1</v>
      </c>
    </row>
    <row r="67" spans="17:17" x14ac:dyDescent="0.25">
      <c r="Q67" s="12">
        <v>1</v>
      </c>
    </row>
    <row r="68" spans="17:17" x14ac:dyDescent="0.25">
      <c r="Q68" s="12">
        <v>1</v>
      </c>
    </row>
    <row r="69" spans="17:17" x14ac:dyDescent="0.25">
      <c r="Q69" s="12">
        <v>1</v>
      </c>
    </row>
    <row r="70" spans="17:17" x14ac:dyDescent="0.25">
      <c r="Q70" s="12">
        <v>1</v>
      </c>
    </row>
    <row r="71" spans="17:17" x14ac:dyDescent="0.25">
      <c r="Q71" s="12">
        <v>1</v>
      </c>
    </row>
    <row r="72" spans="17:17" x14ac:dyDescent="0.25">
      <c r="Q72" s="12">
        <v>1</v>
      </c>
    </row>
    <row r="73" spans="17:17" x14ac:dyDescent="0.25">
      <c r="Q73" s="12">
        <v>1</v>
      </c>
    </row>
    <row r="74" spans="17:17" x14ac:dyDescent="0.25">
      <c r="Q74" s="12">
        <v>1</v>
      </c>
    </row>
    <row r="75" spans="17:17" x14ac:dyDescent="0.25">
      <c r="Q75" s="12">
        <v>1</v>
      </c>
    </row>
    <row r="76" spans="17:17" x14ac:dyDescent="0.25">
      <c r="Q76" s="12">
        <v>1</v>
      </c>
    </row>
    <row r="77" spans="17:17" x14ac:dyDescent="0.25">
      <c r="Q77" s="12">
        <v>1</v>
      </c>
    </row>
    <row r="78" spans="17:17" x14ac:dyDescent="0.25">
      <c r="Q78" s="12">
        <v>1</v>
      </c>
    </row>
    <row r="79" spans="17:17" x14ac:dyDescent="0.25">
      <c r="Q79" s="12">
        <v>1</v>
      </c>
    </row>
    <row r="80" spans="17:17" x14ac:dyDescent="0.25">
      <c r="Q80" s="12">
        <v>1</v>
      </c>
    </row>
    <row r="81" spans="17:17" x14ac:dyDescent="0.25">
      <c r="Q81" s="12">
        <v>1</v>
      </c>
    </row>
    <row r="82" spans="17:17" x14ac:dyDescent="0.25">
      <c r="Q82" s="12">
        <v>1</v>
      </c>
    </row>
    <row r="83" spans="17:17" x14ac:dyDescent="0.25">
      <c r="Q83" s="12">
        <v>1</v>
      </c>
    </row>
    <row r="84" spans="17:17" x14ac:dyDescent="0.25">
      <c r="Q84" s="12">
        <v>1</v>
      </c>
    </row>
    <row r="85" spans="17:17" x14ac:dyDescent="0.25">
      <c r="Q85" s="12">
        <v>1</v>
      </c>
    </row>
    <row r="86" spans="17:17" x14ac:dyDescent="0.25">
      <c r="Q86" s="12">
        <v>1</v>
      </c>
    </row>
    <row r="87" spans="17:17" x14ac:dyDescent="0.25">
      <c r="Q87" s="12">
        <v>1</v>
      </c>
    </row>
    <row r="88" spans="17:17" x14ac:dyDescent="0.25">
      <c r="Q88" s="12">
        <v>1</v>
      </c>
    </row>
    <row r="89" spans="17:17" x14ac:dyDescent="0.25">
      <c r="Q89" s="12">
        <v>1</v>
      </c>
    </row>
    <row r="90" spans="17:17" x14ac:dyDescent="0.25">
      <c r="Q90" s="12">
        <v>1</v>
      </c>
    </row>
    <row r="91" spans="17:17" x14ac:dyDescent="0.25">
      <c r="Q91" s="12">
        <v>1</v>
      </c>
    </row>
    <row r="92" spans="17:17" x14ac:dyDescent="0.25">
      <c r="Q92" s="12">
        <v>1</v>
      </c>
    </row>
    <row r="93" spans="17:17" x14ac:dyDescent="0.25">
      <c r="Q93" s="12">
        <v>1</v>
      </c>
    </row>
    <row r="94" spans="17:17" x14ac:dyDescent="0.25">
      <c r="Q94" s="12">
        <v>1</v>
      </c>
    </row>
    <row r="95" spans="17:17" x14ac:dyDescent="0.25">
      <c r="Q95" s="12">
        <v>1</v>
      </c>
    </row>
    <row r="96" spans="17:17" x14ac:dyDescent="0.25">
      <c r="Q96" s="12">
        <v>1</v>
      </c>
    </row>
    <row r="97" spans="17:17" x14ac:dyDescent="0.25">
      <c r="Q97" s="12">
        <v>1</v>
      </c>
    </row>
    <row r="98" spans="17:17" x14ac:dyDescent="0.25">
      <c r="Q98" s="12">
        <v>1</v>
      </c>
    </row>
    <row r="99" spans="17:17" x14ac:dyDescent="0.25">
      <c r="Q99" s="12">
        <v>1</v>
      </c>
    </row>
    <row r="100" spans="17:17" x14ac:dyDescent="0.25">
      <c r="Q100" s="12">
        <v>1</v>
      </c>
    </row>
    <row r="101" spans="17:17" x14ac:dyDescent="0.25">
      <c r="Q101" s="12">
        <v>1</v>
      </c>
    </row>
    <row r="102" spans="17:17" x14ac:dyDescent="0.25">
      <c r="Q102" s="12">
        <v>1</v>
      </c>
    </row>
    <row r="103" spans="17:17" x14ac:dyDescent="0.25">
      <c r="Q103" s="12">
        <v>1</v>
      </c>
    </row>
    <row r="104" spans="17:17" x14ac:dyDescent="0.25">
      <c r="Q104" s="12">
        <v>1</v>
      </c>
    </row>
    <row r="105" spans="17:17" x14ac:dyDescent="0.25">
      <c r="Q105" s="12">
        <v>1</v>
      </c>
    </row>
    <row r="106" spans="17:17" x14ac:dyDescent="0.25">
      <c r="Q106" s="12">
        <v>1</v>
      </c>
    </row>
    <row r="107" spans="17:17" x14ac:dyDescent="0.25">
      <c r="Q107" s="12">
        <v>1</v>
      </c>
    </row>
    <row r="108" spans="17:17" x14ac:dyDescent="0.25">
      <c r="Q108" s="12">
        <v>1</v>
      </c>
    </row>
    <row r="109" spans="17:17" x14ac:dyDescent="0.25">
      <c r="Q109" s="12">
        <v>1</v>
      </c>
    </row>
    <row r="110" spans="17:17" x14ac:dyDescent="0.25">
      <c r="Q110" s="12">
        <v>1</v>
      </c>
    </row>
    <row r="111" spans="17:17" x14ac:dyDescent="0.25">
      <c r="Q111" s="12">
        <v>1</v>
      </c>
    </row>
    <row r="112" spans="17:17" x14ac:dyDescent="0.25">
      <c r="Q112" s="12">
        <v>1</v>
      </c>
    </row>
    <row r="113" spans="17:17" x14ac:dyDescent="0.25">
      <c r="Q113" s="12">
        <v>1</v>
      </c>
    </row>
    <row r="114" spans="17:17" x14ac:dyDescent="0.25">
      <c r="Q114" s="12">
        <v>1</v>
      </c>
    </row>
    <row r="115" spans="17:17" x14ac:dyDescent="0.25">
      <c r="Q115" s="12">
        <v>1</v>
      </c>
    </row>
    <row r="116" spans="17:17" x14ac:dyDescent="0.25">
      <c r="Q116" s="12">
        <v>1</v>
      </c>
    </row>
    <row r="117" spans="17:17" x14ac:dyDescent="0.25">
      <c r="Q117" s="12">
        <v>1</v>
      </c>
    </row>
    <row r="118" spans="17:17" x14ac:dyDescent="0.25">
      <c r="Q118" s="12">
        <v>1</v>
      </c>
    </row>
    <row r="119" spans="17:17" x14ac:dyDescent="0.25">
      <c r="Q119" s="12">
        <v>1</v>
      </c>
    </row>
    <row r="120" spans="17:17" x14ac:dyDescent="0.25">
      <c r="Q120" s="12">
        <v>1</v>
      </c>
    </row>
    <row r="121" spans="17:17" x14ac:dyDescent="0.25">
      <c r="Q121" s="12">
        <v>1</v>
      </c>
    </row>
    <row r="122" spans="17:17" x14ac:dyDescent="0.25">
      <c r="Q122" s="12">
        <v>1</v>
      </c>
    </row>
    <row r="123" spans="17:17" x14ac:dyDescent="0.25">
      <c r="Q123" s="12">
        <v>1</v>
      </c>
    </row>
    <row r="124" spans="17:17" x14ac:dyDescent="0.25">
      <c r="Q124" s="12">
        <v>1</v>
      </c>
    </row>
    <row r="125" spans="17:17" x14ac:dyDescent="0.25">
      <c r="Q125" s="12">
        <v>1</v>
      </c>
    </row>
    <row r="126" spans="17:17" x14ac:dyDescent="0.25">
      <c r="Q126" s="12">
        <v>1</v>
      </c>
    </row>
    <row r="127" spans="17:17" x14ac:dyDescent="0.25">
      <c r="Q127" s="12">
        <v>1</v>
      </c>
    </row>
    <row r="128" spans="17:17" x14ac:dyDescent="0.25">
      <c r="Q128" s="12">
        <v>1</v>
      </c>
    </row>
    <row r="129" spans="17:17" x14ac:dyDescent="0.25">
      <c r="Q129" s="12">
        <v>1</v>
      </c>
    </row>
    <row r="130" spans="17:17" x14ac:dyDescent="0.25">
      <c r="Q130" s="12">
        <v>1</v>
      </c>
    </row>
    <row r="131" spans="17:17" x14ac:dyDescent="0.25">
      <c r="Q131" s="12">
        <v>1</v>
      </c>
    </row>
    <row r="132" spans="17:17" x14ac:dyDescent="0.25">
      <c r="Q132" s="12">
        <v>1</v>
      </c>
    </row>
    <row r="133" spans="17:17" x14ac:dyDescent="0.25">
      <c r="Q133" s="12">
        <v>1</v>
      </c>
    </row>
    <row r="134" spans="17:17" x14ac:dyDescent="0.25">
      <c r="Q134" s="12">
        <v>1</v>
      </c>
    </row>
    <row r="135" spans="17:17" x14ac:dyDescent="0.25">
      <c r="Q135" s="12">
        <v>1</v>
      </c>
    </row>
    <row r="136" spans="17:17" x14ac:dyDescent="0.25">
      <c r="Q136" s="12">
        <v>1</v>
      </c>
    </row>
    <row r="137" spans="17:17" x14ac:dyDescent="0.25">
      <c r="Q137" s="12">
        <v>1</v>
      </c>
    </row>
    <row r="138" spans="17:17" x14ac:dyDescent="0.25">
      <c r="Q138" s="12">
        <v>1</v>
      </c>
    </row>
    <row r="139" spans="17:17" x14ac:dyDescent="0.25">
      <c r="Q139" s="12">
        <v>1</v>
      </c>
    </row>
    <row r="140" spans="17:17" x14ac:dyDescent="0.25">
      <c r="Q140" s="12">
        <v>1</v>
      </c>
    </row>
    <row r="141" spans="17:17" x14ac:dyDescent="0.25">
      <c r="Q141" s="12">
        <v>1</v>
      </c>
    </row>
    <row r="142" spans="17:17" x14ac:dyDescent="0.25">
      <c r="Q142" s="12">
        <v>1</v>
      </c>
    </row>
    <row r="143" spans="17:17" x14ac:dyDescent="0.25">
      <c r="Q143" s="12">
        <v>1</v>
      </c>
    </row>
    <row r="144" spans="17:17" x14ac:dyDescent="0.25">
      <c r="Q144" s="12">
        <v>1</v>
      </c>
    </row>
    <row r="145" spans="17:17" x14ac:dyDescent="0.25">
      <c r="Q145" s="12">
        <v>1</v>
      </c>
    </row>
    <row r="146" spans="17:17" x14ac:dyDescent="0.25">
      <c r="Q146" s="12">
        <v>1</v>
      </c>
    </row>
    <row r="147" spans="17:17" x14ac:dyDescent="0.25">
      <c r="Q147" s="12">
        <v>1</v>
      </c>
    </row>
    <row r="148" spans="17:17" x14ac:dyDescent="0.25">
      <c r="Q148" s="12">
        <v>1</v>
      </c>
    </row>
    <row r="149" spans="17:17" x14ac:dyDescent="0.25">
      <c r="Q149" s="12">
        <v>1</v>
      </c>
    </row>
    <row r="150" spans="17:17" x14ac:dyDescent="0.25">
      <c r="Q150" s="12">
        <v>1</v>
      </c>
    </row>
    <row r="151" spans="17:17" x14ac:dyDescent="0.25">
      <c r="Q151" s="12">
        <v>1</v>
      </c>
    </row>
    <row r="152" spans="17:17" x14ac:dyDescent="0.25">
      <c r="Q152" s="12">
        <v>1</v>
      </c>
    </row>
    <row r="153" spans="17:17" x14ac:dyDescent="0.25">
      <c r="Q153" s="12">
        <v>1</v>
      </c>
    </row>
    <row r="154" spans="17:17" x14ac:dyDescent="0.25">
      <c r="Q154" s="12">
        <v>1</v>
      </c>
    </row>
    <row r="155" spans="17:17" x14ac:dyDescent="0.25">
      <c r="Q155" s="12">
        <v>1</v>
      </c>
    </row>
    <row r="156" spans="17:17" x14ac:dyDescent="0.25">
      <c r="Q156" s="12">
        <v>1</v>
      </c>
    </row>
    <row r="157" spans="17:17" x14ac:dyDescent="0.25">
      <c r="Q157" s="12">
        <v>1</v>
      </c>
    </row>
    <row r="158" spans="17:17" x14ac:dyDescent="0.25">
      <c r="Q158" s="12">
        <v>1</v>
      </c>
    </row>
    <row r="159" spans="17:17" x14ac:dyDescent="0.25">
      <c r="Q159" s="12">
        <v>1</v>
      </c>
    </row>
    <row r="160" spans="17:17" x14ac:dyDescent="0.25">
      <c r="Q160" s="12">
        <v>1</v>
      </c>
    </row>
    <row r="161" spans="17:17" x14ac:dyDescent="0.25">
      <c r="Q161" s="12">
        <v>1</v>
      </c>
    </row>
    <row r="162" spans="17:17" x14ac:dyDescent="0.25">
      <c r="Q162" s="12">
        <v>1</v>
      </c>
    </row>
    <row r="163" spans="17:17" x14ac:dyDescent="0.25">
      <c r="Q163" s="12">
        <v>1</v>
      </c>
    </row>
    <row r="164" spans="17:17" x14ac:dyDescent="0.25">
      <c r="Q164" s="12">
        <v>1</v>
      </c>
    </row>
    <row r="165" spans="17:17" x14ac:dyDescent="0.25">
      <c r="Q165" s="12">
        <v>1</v>
      </c>
    </row>
    <row r="166" spans="17:17" x14ac:dyDescent="0.25">
      <c r="Q166" s="12">
        <v>1</v>
      </c>
    </row>
    <row r="167" spans="17:17" x14ac:dyDescent="0.25">
      <c r="Q167" s="12">
        <v>1</v>
      </c>
    </row>
    <row r="168" spans="17:17" x14ac:dyDescent="0.25">
      <c r="Q168" s="12">
        <v>1</v>
      </c>
    </row>
    <row r="169" spans="17:17" x14ac:dyDescent="0.25">
      <c r="Q169" s="12">
        <v>1</v>
      </c>
    </row>
    <row r="170" spans="17:17" x14ac:dyDescent="0.25">
      <c r="Q170" s="12">
        <v>1</v>
      </c>
    </row>
    <row r="171" spans="17:17" x14ac:dyDescent="0.25">
      <c r="Q171" s="12">
        <v>1</v>
      </c>
    </row>
    <row r="172" spans="17:17" x14ac:dyDescent="0.25">
      <c r="Q172" s="12">
        <v>1</v>
      </c>
    </row>
    <row r="173" spans="17:17" x14ac:dyDescent="0.25">
      <c r="Q173" s="12">
        <v>1</v>
      </c>
    </row>
    <row r="174" spans="17:17" x14ac:dyDescent="0.25">
      <c r="Q174" s="12">
        <v>1</v>
      </c>
    </row>
    <row r="175" spans="17:17" x14ac:dyDescent="0.25">
      <c r="Q175" s="12">
        <v>1</v>
      </c>
    </row>
    <row r="176" spans="17:17" x14ac:dyDescent="0.25">
      <c r="Q176" s="12">
        <v>1</v>
      </c>
    </row>
    <row r="177" spans="17:17" x14ac:dyDescent="0.25">
      <c r="Q177" s="12">
        <v>1</v>
      </c>
    </row>
    <row r="178" spans="17:17" x14ac:dyDescent="0.25">
      <c r="Q178" s="12">
        <v>1</v>
      </c>
    </row>
    <row r="179" spans="17:17" x14ac:dyDescent="0.25">
      <c r="Q179" s="12">
        <v>1</v>
      </c>
    </row>
    <row r="180" spans="17:17" x14ac:dyDescent="0.25">
      <c r="Q180" s="12">
        <v>1</v>
      </c>
    </row>
    <row r="181" spans="17:17" x14ac:dyDescent="0.25">
      <c r="Q181" s="12">
        <v>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183EBE49F8A4DB3E42F9C2D55F1B3" ma:contentTypeVersion="19" ma:contentTypeDescription="Een nieuw document maken." ma:contentTypeScope="" ma:versionID="62fccfafc670ea6b185f9a76b69e2a21">
  <xsd:schema xmlns:xsd="http://www.w3.org/2001/XMLSchema" xmlns:xs="http://www.w3.org/2001/XMLSchema" xmlns:p="http://schemas.microsoft.com/office/2006/metadata/properties" xmlns:ns2="b7937081-0da7-473e-9db1-5367429b46d6" xmlns:ns3="97751f29-4893-4451-a229-d002cea538ad" targetNamespace="http://schemas.microsoft.com/office/2006/metadata/properties" ma:root="true" ma:fieldsID="5dded1c0c79dec757c279d37d03cf1fd" ns2:_="" ns3:_="">
    <xsd:import namespace="b7937081-0da7-473e-9db1-5367429b46d6"/>
    <xsd:import namespace="97751f29-4893-4451-a229-d002cea5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37081-0da7-473e-9db1-5367429b4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bb86326e-4602-4919-a576-4248baa2f3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51f29-4893-4451-a229-d002cea538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227057-044d-495b-8084-4657fb895242}" ma:internalName="TaxCatchAll" ma:showField="CatchAllData" ma:web="97751f29-4893-4451-a229-d002cea538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37081-0da7-473e-9db1-5367429b46d6">
      <Terms xmlns="http://schemas.microsoft.com/office/infopath/2007/PartnerControls"/>
    </lcf76f155ced4ddcb4097134ff3c332f>
    <TaxCatchAll xmlns="97751f29-4893-4451-a229-d002cea538ad" xsi:nil="true"/>
  </documentManagement>
</p:properties>
</file>

<file path=customXml/itemProps1.xml><?xml version="1.0" encoding="utf-8"?>
<ds:datastoreItem xmlns:ds="http://schemas.openxmlformats.org/officeDocument/2006/customXml" ds:itemID="{62022C61-6DDF-40AC-B1EB-AA7FFDDE155B}"/>
</file>

<file path=customXml/itemProps2.xml><?xml version="1.0" encoding="utf-8"?>
<ds:datastoreItem xmlns:ds="http://schemas.openxmlformats.org/officeDocument/2006/customXml" ds:itemID="{537B03F4-6D80-4BF4-857E-3728CACFAFD5}"/>
</file>

<file path=customXml/itemProps3.xml><?xml version="1.0" encoding="utf-8"?>
<ds:datastoreItem xmlns:ds="http://schemas.openxmlformats.org/officeDocument/2006/customXml" ds:itemID="{7D139833-6BAE-4AE5-A599-D0A61FBD2D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Opdracht_1_voorbeeld</vt:lpstr>
      <vt:lpstr>Opdracht_1_CBS</vt:lpstr>
      <vt:lpstr>Opdracht_2_input_output</vt:lpstr>
      <vt:lpstr>Opdracht_2_berekening en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Baus Verbeek</dc:creator>
  <cp:lastModifiedBy>Stefan Ekelmans</cp:lastModifiedBy>
  <cp:lastPrinted>2022-01-14T14:06:52Z</cp:lastPrinted>
  <dcterms:created xsi:type="dcterms:W3CDTF">2022-01-10T12:27:52Z</dcterms:created>
  <dcterms:modified xsi:type="dcterms:W3CDTF">2025-06-27T11:20:08Z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0x010100FF4183EBE49F8A4DB3E42F9C2D55F1B3</vt:lpwstr>
  </property>
</Properties>
</file>